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updateLinks="always" codeName="ThisWorkbook"/>
  <mc:AlternateContent xmlns:mc="http://schemas.openxmlformats.org/markup-compatibility/2006">
    <mc:Choice Requires="x15">
      <x15ac:absPath xmlns:x15ac="http://schemas.microsoft.com/office/spreadsheetml/2010/11/ac" url="https://flankspeed-my.sharepoint-mil.us/personal/hallock_n_mohler_civ_us_navy_mil/Documents/Desktop/"/>
    </mc:Choice>
  </mc:AlternateContent>
  <xr:revisionPtr revIDLastSave="11" documentId="8_{10B5CB74-F96E-47FF-A752-75BF617FC27B}" xr6:coauthVersionLast="47" xr6:coauthVersionMax="47" xr10:uidLastSave="{8B167272-E328-4AD0-BCE4-DD8AFFC51953}"/>
  <bookViews>
    <workbookView xWindow="-120" yWindow="-120" windowWidth="29040" windowHeight="15720" firstSheet="11" activeTab="11" xr2:uid="{00000000-000D-0000-FFFF-FFFF00000000}"/>
  </bookViews>
  <sheets>
    <sheet name="TSD-%" sheetId="20" state="hidden" r:id="rId1"/>
    <sheet name="Planning-Need vs Planned" sheetId="32" state="hidden" r:id="rId2"/>
    <sheet name="TSD- FY26 Canceled Courses" sheetId="41" state="hidden" r:id="rId3"/>
    <sheet name="Detail1" sheetId="37" state="hidden" r:id="rId4"/>
    <sheet name="Detail2" sheetId="38" state="hidden" r:id="rId5"/>
    <sheet name="Detail3" sheetId="39" state="hidden" r:id="rId6"/>
    <sheet name="FLT" sheetId="31" state="hidden" r:id="rId7"/>
    <sheet name="OH" sheetId="28" state="hidden" r:id="rId8"/>
    <sheet name="SAF" sheetId="27" state="hidden" r:id="rId9"/>
    <sheet name="ENV" sheetId="29" state="hidden" r:id="rId10"/>
    <sheet name="Detail4" sheetId="40" state="hidden" r:id="rId11"/>
    <sheet name="FY26 Status" sheetId="17" r:id="rId12"/>
    <sheet name="Planned vs Need by Course" sheetId="51" state="hidden" r:id="rId13"/>
    <sheet name="FY 2026 Schedule" sheetId="1" r:id="rId14"/>
    <sheet name="Planning-Hours tabulation" sheetId="33" r:id="rId15"/>
    <sheet name="FY26 Needs Assessment Dashboard" sheetId="48" r:id="rId16"/>
    <sheet name="TSD-Data" sheetId="3" state="hidden" r:id="rId17"/>
    <sheet name="FY26 SOH Global Online All" sheetId="52" r:id="rId18"/>
    <sheet name="FY26  SOH Resident Courses All" sheetId="49" r:id="rId19"/>
    <sheet name="FY26 EEM Resident Courses All" sheetId="53" r:id="rId20"/>
    <sheet name="FY26 EEM Online Courses All" sheetId="54" r:id="rId21"/>
    <sheet name="Detail5" sheetId="43" state="hidden" r:id="rId22"/>
    <sheet name="Detail6" sheetId="44" state="hidden" r:id="rId23"/>
    <sheet name="Detail7" sheetId="45" state="hidden" r:id="rId24"/>
    <sheet name="Detail8" sheetId="46" state="hidden" r:id="rId25"/>
    <sheet name="Detail9" sheetId="47" state="hidden" r:id="rId26"/>
  </sheets>
  <definedNames>
    <definedName name="_xlnm._FilterDatabase" localSheetId="1" hidden="1">'Planning-Need vs Planned'!$B$2:$L$39</definedName>
    <definedName name="CIN">'TSD-Data'!$B$2:$B$56</definedName>
    <definedName name="Class" localSheetId="9">#REF!</definedName>
    <definedName name="Class" localSheetId="6">#REF!</definedName>
    <definedName name="Class" localSheetId="18">#REF!</definedName>
    <definedName name="Class" localSheetId="20">#REF!</definedName>
    <definedName name="Class" localSheetId="19">#REF!</definedName>
    <definedName name="Class" localSheetId="15">#REF!</definedName>
    <definedName name="Class" localSheetId="17">#REF!</definedName>
    <definedName name="Class" localSheetId="7">#REF!</definedName>
    <definedName name="Class" localSheetId="8">#REF!</definedName>
    <definedName name="Class">'TSD-Data'!$A$2:$A$56</definedName>
    <definedName name="Courses">'TSD-Data'!$A$2:$C$56</definedName>
    <definedName name="HighlightRow" localSheetId="9">2</definedName>
    <definedName name="HighlightRow" localSheetId="6">2</definedName>
    <definedName name="HighlightRow" localSheetId="13">2</definedName>
    <definedName name="HighlightRow" localSheetId="7">2</definedName>
    <definedName name="HighlightRow" localSheetId="8">2</definedName>
    <definedName name="HighlightRow">10</definedName>
    <definedName name="Instructor" localSheetId="9">#REF!</definedName>
    <definedName name="Instructor" localSheetId="6">#REF!</definedName>
    <definedName name="Instructor" localSheetId="7">#REF!</definedName>
    <definedName name="Instructor" localSheetId="8">#REF!</definedName>
    <definedName name="Instructor">'TSD-Data'!$H$2:$H$37</definedName>
    <definedName name="Location" localSheetId="9">#REF!</definedName>
    <definedName name="Location" localSheetId="6">#REF!</definedName>
    <definedName name="Location" localSheetId="18">#REF!</definedName>
    <definedName name="Location" localSheetId="20">#REF!</definedName>
    <definedName name="Location" localSheetId="19">#REF!</definedName>
    <definedName name="Location" localSheetId="15">#REF!</definedName>
    <definedName name="Location" localSheetId="17">#REF!</definedName>
    <definedName name="Location" localSheetId="7">#REF!</definedName>
    <definedName name="Location" localSheetId="8">#REF!</definedName>
    <definedName name="Location">'TSD-Data'!$L$2:$L$92</definedName>
    <definedName name="_xlnm.Print_Area" localSheetId="9">ENV!$A$1:$X$164</definedName>
    <definedName name="_xlnm.Print_Area" localSheetId="6">FLT!$A$1:$X$99</definedName>
    <definedName name="_xlnm.Print_Area" localSheetId="13">'FY 2026 Schedule'!$B$1:$AE$611</definedName>
    <definedName name="_xlnm.Print_Area" localSheetId="15">Table119[#All]</definedName>
    <definedName name="_xlnm.Print_Area" localSheetId="11">'FY26 Status'!$B$3:$AA$42</definedName>
    <definedName name="_xlnm.Print_Area" localSheetId="7">OH!$A$1:$X$460</definedName>
    <definedName name="_xlnm.Print_Area" localSheetId="8">SAF!$A$1:$X$460</definedName>
    <definedName name="Roster" localSheetId="9">#REF!</definedName>
    <definedName name="Roster" localSheetId="6">#REF!</definedName>
    <definedName name="Roster" localSheetId="7">#REF!</definedName>
    <definedName name="Roster" localSheetId="8">#REF!</definedName>
    <definedName name="Roster">'TSD-Data'!$N$2:$N$5</definedName>
  </definedNames>
  <calcPr calcId="191028"/>
  <pivotCaches>
    <pivotCache cacheId="0" r:id="rId27"/>
    <pivotCache cacheId="1" r:id="rId28"/>
    <pivotCache cacheId="2" r:id="rId29"/>
    <pivotCache cacheId="3" r:id="rId30"/>
    <pivotCache cacheId="4" r:id="rId3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41" l="1"/>
  <c r="D19" i="41"/>
  <c r="AN303" i="1"/>
  <c r="AN304" i="1"/>
  <c r="AN302" i="1"/>
  <c r="AN301" i="1"/>
  <c r="AN311" i="1"/>
  <c r="AN312" i="1"/>
  <c r="AN310" i="1"/>
  <c r="AN313" i="1"/>
  <c r="AN315" i="1"/>
  <c r="AN314" i="1"/>
  <c r="AN316" i="1"/>
  <c r="AN320" i="1"/>
  <c r="AN322" i="1"/>
  <c r="AN321" i="1"/>
  <c r="AN323" i="1"/>
  <c r="AN319" i="1"/>
  <c r="AN324" i="1"/>
  <c r="D303" i="1"/>
  <c r="E303" i="1"/>
  <c r="T303" i="1"/>
  <c r="X303" i="1" s="1"/>
  <c r="U303" i="1"/>
  <c r="V303" i="1"/>
  <c r="AF303" i="1"/>
  <c r="AG303" i="1"/>
  <c r="AH303" i="1"/>
  <c r="AI303" i="1"/>
  <c r="AJ303" i="1"/>
  <c r="D304" i="1"/>
  <c r="E304" i="1"/>
  <c r="T304" i="1"/>
  <c r="X304" i="1" s="1"/>
  <c r="U304" i="1"/>
  <c r="V304" i="1"/>
  <c r="AF304" i="1"/>
  <c r="AG304" i="1"/>
  <c r="AH304" i="1"/>
  <c r="AI304" i="1"/>
  <c r="AJ304" i="1"/>
  <c r="D302" i="1"/>
  <c r="E302" i="1"/>
  <c r="T302" i="1"/>
  <c r="X302" i="1" s="1"/>
  <c r="U302" i="1"/>
  <c r="V302" i="1"/>
  <c r="AF302" i="1"/>
  <c r="AG302" i="1"/>
  <c r="AH302" i="1"/>
  <c r="AI302" i="1"/>
  <c r="AJ302" i="1"/>
  <c r="D301" i="1"/>
  <c r="E301" i="1"/>
  <c r="T301" i="1"/>
  <c r="X301" i="1" s="1"/>
  <c r="U301" i="1"/>
  <c r="V301" i="1"/>
  <c r="AF301" i="1"/>
  <c r="AG301" i="1"/>
  <c r="AH301" i="1"/>
  <c r="AI301" i="1"/>
  <c r="AJ301" i="1"/>
  <c r="D311" i="1"/>
  <c r="E311" i="1"/>
  <c r="T311" i="1"/>
  <c r="X311" i="1" s="1"/>
  <c r="U311" i="1"/>
  <c r="V311" i="1"/>
  <c r="AF311" i="1"/>
  <c r="AG311" i="1"/>
  <c r="AH311" i="1"/>
  <c r="AI311" i="1"/>
  <c r="AJ311" i="1"/>
  <c r="D312" i="1"/>
  <c r="E312" i="1"/>
  <c r="T312" i="1"/>
  <c r="X312" i="1" s="1"/>
  <c r="U312" i="1"/>
  <c r="V312" i="1"/>
  <c r="AF312" i="1"/>
  <c r="AG312" i="1"/>
  <c r="AH312" i="1"/>
  <c r="AI312" i="1"/>
  <c r="AJ312" i="1"/>
  <c r="D310" i="1"/>
  <c r="E310" i="1"/>
  <c r="T310" i="1"/>
  <c r="X310" i="1" s="1"/>
  <c r="U310" i="1"/>
  <c r="V310" i="1"/>
  <c r="AF310" i="1"/>
  <c r="AG310" i="1"/>
  <c r="AH310" i="1"/>
  <c r="AI310" i="1"/>
  <c r="AJ310" i="1"/>
  <c r="D313" i="1"/>
  <c r="E313" i="1"/>
  <c r="T313" i="1"/>
  <c r="X313" i="1" s="1"/>
  <c r="U313" i="1"/>
  <c r="V313" i="1"/>
  <c r="AF313" i="1"/>
  <c r="AG313" i="1"/>
  <c r="AH313" i="1"/>
  <c r="AI313" i="1"/>
  <c r="AJ313" i="1"/>
  <c r="D315" i="1"/>
  <c r="E315" i="1"/>
  <c r="T315" i="1"/>
  <c r="X315" i="1" s="1"/>
  <c r="U315" i="1"/>
  <c r="V315" i="1"/>
  <c r="AF315" i="1"/>
  <c r="AG315" i="1"/>
  <c r="AH315" i="1"/>
  <c r="AI315" i="1"/>
  <c r="AJ315" i="1"/>
  <c r="D314" i="1"/>
  <c r="E314" i="1"/>
  <c r="T314" i="1"/>
  <c r="X314" i="1" s="1"/>
  <c r="U314" i="1"/>
  <c r="V314" i="1"/>
  <c r="AF314" i="1"/>
  <c r="AG314" i="1"/>
  <c r="AH314" i="1"/>
  <c r="AI314" i="1"/>
  <c r="AJ314" i="1"/>
  <c r="D316" i="1"/>
  <c r="E316" i="1"/>
  <c r="T316" i="1"/>
  <c r="X316" i="1" s="1"/>
  <c r="U316" i="1"/>
  <c r="V316" i="1"/>
  <c r="AF316" i="1"/>
  <c r="AG316" i="1"/>
  <c r="AH316" i="1"/>
  <c r="AI316" i="1"/>
  <c r="AJ316" i="1"/>
  <c r="D320" i="1"/>
  <c r="E320" i="1"/>
  <c r="T320" i="1"/>
  <c r="X320" i="1" s="1"/>
  <c r="U320" i="1"/>
  <c r="V320" i="1"/>
  <c r="AF320" i="1"/>
  <c r="AG320" i="1"/>
  <c r="AH320" i="1"/>
  <c r="AI320" i="1"/>
  <c r="AJ320" i="1"/>
  <c r="D322" i="1"/>
  <c r="E322" i="1"/>
  <c r="T322" i="1"/>
  <c r="X322" i="1" s="1"/>
  <c r="U322" i="1"/>
  <c r="V322" i="1"/>
  <c r="AF322" i="1"/>
  <c r="AG322" i="1"/>
  <c r="AH322" i="1"/>
  <c r="AI322" i="1"/>
  <c r="AJ322" i="1"/>
  <c r="D321" i="1"/>
  <c r="E321" i="1"/>
  <c r="T321" i="1"/>
  <c r="X321" i="1" s="1"/>
  <c r="U321" i="1"/>
  <c r="V321" i="1"/>
  <c r="AF321" i="1"/>
  <c r="AG321" i="1"/>
  <c r="AH321" i="1"/>
  <c r="AI321" i="1"/>
  <c r="AJ321" i="1"/>
  <c r="D323" i="1"/>
  <c r="E323" i="1"/>
  <c r="T323" i="1"/>
  <c r="X323" i="1" s="1"/>
  <c r="U323" i="1"/>
  <c r="V323" i="1"/>
  <c r="AF323" i="1"/>
  <c r="AG323" i="1"/>
  <c r="AH323" i="1"/>
  <c r="AI323" i="1"/>
  <c r="AJ323" i="1"/>
  <c r="D319" i="1"/>
  <c r="E319" i="1"/>
  <c r="T319" i="1"/>
  <c r="X319" i="1" s="1"/>
  <c r="U319" i="1"/>
  <c r="V319" i="1"/>
  <c r="AF319" i="1"/>
  <c r="AG319" i="1"/>
  <c r="AH319" i="1"/>
  <c r="AI319" i="1"/>
  <c r="AJ319" i="1"/>
  <c r="D324" i="1"/>
  <c r="E324" i="1"/>
  <c r="T324" i="1"/>
  <c r="X324" i="1" s="1"/>
  <c r="U324" i="1"/>
  <c r="V324" i="1"/>
  <c r="AF324" i="1"/>
  <c r="AG324" i="1"/>
  <c r="AH324" i="1"/>
  <c r="AI324" i="1"/>
  <c r="AJ324" i="1"/>
  <c r="U177" i="1"/>
  <c r="U254" i="1"/>
  <c r="U253" i="1"/>
  <c r="U257" i="1"/>
  <c r="U255" i="1"/>
  <c r="U256" i="1"/>
  <c r="U249" i="1"/>
  <c r="U251" i="1"/>
  <c r="U248" i="1"/>
  <c r="U250" i="1"/>
  <c r="U244" i="1"/>
  <c r="U245" i="1"/>
  <c r="U246" i="1"/>
  <c r="U242" i="1"/>
  <c r="U243" i="1"/>
  <c r="U236" i="1"/>
  <c r="U238" i="1"/>
  <c r="U237" i="1"/>
  <c r="U235" i="1"/>
  <c r="U176" i="1"/>
  <c r="U180" i="1"/>
  <c r="U178" i="1"/>
  <c r="V178" i="1"/>
  <c r="V180" i="1"/>
  <c r="V176" i="1"/>
  <c r="V235" i="1"/>
  <c r="V237" i="1"/>
  <c r="V238" i="1"/>
  <c r="V236" i="1"/>
  <c r="V243" i="1"/>
  <c r="V242" i="1"/>
  <c r="V246" i="1"/>
  <c r="V245" i="1"/>
  <c r="V244" i="1"/>
  <c r="V250" i="1"/>
  <c r="V248" i="1"/>
  <c r="V251" i="1"/>
  <c r="V249" i="1"/>
  <c r="V256" i="1"/>
  <c r="V255" i="1"/>
  <c r="V257" i="1"/>
  <c r="V253" i="1"/>
  <c r="V254" i="1"/>
  <c r="V4" i="1"/>
  <c r="V5" i="1"/>
  <c r="V6" i="1"/>
  <c r="V10" i="1"/>
  <c r="V12" i="1"/>
  <c r="V9" i="1"/>
  <c r="V7" i="1"/>
  <c r="V8" i="1"/>
  <c r="V13" i="1"/>
  <c r="V11" i="1"/>
  <c r="V14" i="1"/>
  <c r="V15" i="1"/>
  <c r="V16" i="1"/>
  <c r="V17" i="1"/>
  <c r="V18" i="1"/>
  <c r="V21" i="1"/>
  <c r="V26" i="1"/>
  <c r="V29" i="1"/>
  <c r="V27" i="1"/>
  <c r="V22" i="1"/>
  <c r="V24" i="1"/>
  <c r="V25" i="1"/>
  <c r="V23" i="1"/>
  <c r="V20" i="1"/>
  <c r="V30" i="1"/>
  <c r="V19" i="1"/>
  <c r="V28" i="1"/>
  <c r="V33" i="1"/>
  <c r="V32" i="1"/>
  <c r="V31" i="1"/>
  <c r="V36" i="1"/>
  <c r="V35" i="1"/>
  <c r="V34" i="1"/>
  <c r="V39" i="1"/>
  <c r="V37" i="1"/>
  <c r="V38" i="1"/>
  <c r="V40" i="1"/>
  <c r="V41" i="1"/>
  <c r="V44" i="1"/>
  <c r="V45" i="1"/>
  <c r="V42" i="1"/>
  <c r="V43" i="1"/>
  <c r="V46" i="1"/>
  <c r="V47" i="1"/>
  <c r="V50" i="1"/>
  <c r="V51" i="1"/>
  <c r="V48" i="1"/>
  <c r="V49" i="1"/>
  <c r="V52" i="1"/>
  <c r="V53" i="1"/>
  <c r="V64" i="1"/>
  <c r="V63" i="1"/>
  <c r="V54" i="1"/>
  <c r="V59" i="1"/>
  <c r="V62" i="1"/>
  <c r="V60" i="1"/>
  <c r="V61" i="1"/>
  <c r="V55" i="1"/>
  <c r="V56" i="1"/>
  <c r="V57" i="1"/>
  <c r="V58" i="1"/>
  <c r="V66" i="1"/>
  <c r="V65" i="1"/>
  <c r="V69" i="1"/>
  <c r="V68" i="1"/>
  <c r="V67" i="1"/>
  <c r="V72" i="1"/>
  <c r="V70" i="1"/>
  <c r="V71" i="1"/>
  <c r="V73" i="1"/>
  <c r="V74" i="1"/>
  <c r="V77" i="1"/>
  <c r="V78" i="1"/>
  <c r="V75" i="1"/>
  <c r="V76" i="1"/>
  <c r="V79" i="1"/>
  <c r="V80" i="1"/>
  <c r="V91" i="1"/>
  <c r="V85" i="1"/>
  <c r="V82" i="1"/>
  <c r="V83" i="1"/>
  <c r="V90" i="1"/>
  <c r="V84" i="1"/>
  <c r="V87" i="1"/>
  <c r="V81" i="1"/>
  <c r="V89" i="1"/>
  <c r="V88" i="1"/>
  <c r="V86" i="1"/>
  <c r="V92" i="1"/>
  <c r="V93" i="1"/>
  <c r="V94" i="1"/>
  <c r="V95" i="1"/>
  <c r="V100" i="1"/>
  <c r="V96" i="1"/>
  <c r="V99" i="1"/>
  <c r="V97" i="1"/>
  <c r="V98" i="1"/>
  <c r="V101" i="1"/>
  <c r="V107" i="1"/>
  <c r="V105" i="1"/>
  <c r="V103" i="1"/>
  <c r="V106" i="1"/>
  <c r="V104" i="1"/>
  <c r="V102" i="1"/>
  <c r="V108" i="1"/>
  <c r="V109" i="1"/>
  <c r="V111" i="1"/>
  <c r="V110" i="1"/>
  <c r="V112" i="1"/>
  <c r="V113" i="1"/>
  <c r="V114" i="1"/>
  <c r="V118" i="1"/>
  <c r="V115" i="1"/>
  <c r="V120" i="1"/>
  <c r="V121" i="1"/>
  <c r="V119" i="1"/>
  <c r="V117" i="1"/>
  <c r="V116" i="1"/>
  <c r="V124" i="1"/>
  <c r="V123" i="1"/>
  <c r="V126" i="1"/>
  <c r="V127" i="1"/>
  <c r="V128" i="1"/>
  <c r="V129" i="1"/>
  <c r="V125" i="1"/>
  <c r="V130" i="1"/>
  <c r="V122" i="1"/>
  <c r="V132" i="1"/>
  <c r="V134" i="1"/>
  <c r="V133" i="1"/>
  <c r="V131" i="1"/>
  <c r="V154" i="1"/>
  <c r="V156" i="1"/>
  <c r="V155" i="1"/>
  <c r="V157" i="1"/>
  <c r="V164" i="1"/>
  <c r="V163" i="1"/>
  <c r="V169" i="1"/>
  <c r="V168" i="1"/>
  <c r="V167" i="1"/>
  <c r="V173" i="1"/>
  <c r="V171" i="1"/>
  <c r="V172" i="1"/>
  <c r="V174" i="1"/>
  <c r="V179" i="1"/>
  <c r="V291" i="1"/>
  <c r="V177" i="1"/>
  <c r="V135" i="1"/>
  <c r="V136" i="1"/>
  <c r="V138" i="1"/>
  <c r="V140" i="1"/>
  <c r="V141" i="1"/>
  <c r="V137" i="1"/>
  <c r="V139" i="1"/>
  <c r="V142" i="1"/>
  <c r="V150" i="1"/>
  <c r="V161" i="1"/>
  <c r="V148" i="1"/>
  <c r="V149" i="1"/>
  <c r="V151" i="1"/>
  <c r="V145" i="1"/>
  <c r="V160" i="1"/>
  <c r="V158" i="1"/>
  <c r="V146" i="1"/>
  <c r="V143" i="1"/>
  <c r="V144" i="1"/>
  <c r="V159" i="1"/>
  <c r="V152" i="1"/>
  <c r="V147" i="1"/>
  <c r="V153" i="1"/>
  <c r="V162" i="1"/>
  <c r="V165" i="1"/>
  <c r="V166" i="1"/>
  <c r="V170" i="1"/>
  <c r="V175" i="1"/>
  <c r="V181" i="1"/>
  <c r="V185" i="1"/>
  <c r="V186" i="1"/>
  <c r="V183" i="1"/>
  <c r="V184" i="1"/>
  <c r="V182" i="1"/>
  <c r="V187" i="1"/>
  <c r="V194" i="1"/>
  <c r="V195" i="1"/>
  <c r="V188" i="1"/>
  <c r="V189" i="1"/>
  <c r="V190" i="1"/>
  <c r="V191" i="1"/>
  <c r="V192" i="1"/>
  <c r="V193" i="1"/>
  <c r="V196" i="1"/>
  <c r="V200" i="1"/>
  <c r="V197" i="1"/>
  <c r="V198" i="1"/>
  <c r="V199" i="1"/>
  <c r="V201" i="1"/>
  <c r="V202" i="1"/>
  <c r="V203" i="1"/>
  <c r="V206" i="1"/>
  <c r="V204" i="1"/>
  <c r="V208" i="1"/>
  <c r="V209" i="1"/>
  <c r="V211" i="1"/>
  <c r="V210" i="1"/>
  <c r="V207" i="1"/>
  <c r="V205" i="1"/>
  <c r="V212" i="1"/>
  <c r="V213" i="1"/>
  <c r="V214" i="1"/>
  <c r="V215" i="1"/>
  <c r="V216" i="1"/>
  <c r="V217" i="1"/>
  <c r="V218" i="1"/>
  <c r="V219" i="1"/>
  <c r="V222" i="1"/>
  <c r="V220" i="1"/>
  <c r="V221" i="1"/>
  <c r="V223" i="1"/>
  <c r="V224" i="1"/>
  <c r="V225" i="1"/>
  <c r="V232" i="1"/>
  <c r="V233" i="1"/>
  <c r="V240" i="1"/>
  <c r="V228" i="1"/>
  <c r="V230" i="1"/>
  <c r="V231" i="1"/>
  <c r="V226" i="1"/>
  <c r="V239" i="1"/>
  <c r="V227" i="1"/>
  <c r="V229" i="1"/>
  <c r="V241" i="1"/>
  <c r="V234" i="1"/>
  <c r="V247" i="1"/>
  <c r="V252" i="1"/>
  <c r="V260" i="1"/>
  <c r="V259" i="1"/>
  <c r="V261" i="1"/>
  <c r="V258" i="1"/>
  <c r="V262" i="1"/>
  <c r="V263" i="1"/>
  <c r="V265" i="1"/>
  <c r="V270" i="1"/>
  <c r="V272" i="1"/>
  <c r="V267" i="1"/>
  <c r="V268" i="1"/>
  <c r="V271" i="1"/>
  <c r="V264" i="1"/>
  <c r="V269" i="1"/>
  <c r="V266" i="1"/>
  <c r="V274" i="1"/>
  <c r="V273" i="1"/>
  <c r="V275" i="1"/>
  <c r="V276" i="1"/>
  <c r="V280" i="1"/>
  <c r="V281" i="1"/>
  <c r="V278" i="1"/>
  <c r="V283" i="1"/>
  <c r="V277" i="1"/>
  <c r="V282" i="1"/>
  <c r="V279" i="1"/>
  <c r="V285" i="1"/>
  <c r="V286" i="1"/>
  <c r="V287" i="1"/>
  <c r="V284" i="1"/>
  <c r="V288" i="1"/>
  <c r="V289" i="1"/>
  <c r="V290" i="1"/>
  <c r="V298" i="1"/>
  <c r="V297" i="1"/>
  <c r="V306" i="1"/>
  <c r="V300" i="1"/>
  <c r="V308" i="1"/>
  <c r="V293" i="1"/>
  <c r="V295" i="1"/>
  <c r="V296" i="1"/>
  <c r="V299" i="1"/>
  <c r="V307" i="1"/>
  <c r="V305" i="1"/>
  <c r="V292" i="1"/>
  <c r="V294" i="1"/>
  <c r="V309" i="1"/>
  <c r="V318" i="1"/>
  <c r="V317" i="1"/>
  <c r="V327" i="1"/>
  <c r="V326" i="1"/>
  <c r="V325" i="1"/>
  <c r="V328" i="1"/>
  <c r="V329" i="1"/>
  <c r="V330" i="1"/>
  <c r="V336" i="1"/>
  <c r="V334" i="1"/>
  <c r="V338" i="1"/>
  <c r="V333" i="1"/>
  <c r="V331" i="1"/>
  <c r="V332" i="1"/>
  <c r="V339" i="1"/>
  <c r="V335" i="1"/>
  <c r="V337" i="1"/>
  <c r="V340" i="1"/>
  <c r="V341" i="1"/>
  <c r="V342" i="1"/>
  <c r="V343" i="1"/>
  <c r="V348" i="1"/>
  <c r="V349" i="1"/>
  <c r="V350" i="1"/>
  <c r="V351" i="1"/>
  <c r="V352" i="1"/>
  <c r="V344" i="1"/>
  <c r="V345" i="1"/>
  <c r="V347" i="1"/>
  <c r="V346" i="1"/>
  <c r="V353" i="1"/>
  <c r="V355" i="1"/>
  <c r="V354" i="1"/>
  <c r="V356" i="1"/>
  <c r="V357" i="1"/>
  <c r="V358" i="1"/>
  <c r="V360" i="1"/>
  <c r="V362" i="1"/>
  <c r="V359" i="1"/>
  <c r="V361" i="1"/>
  <c r="V363" i="1"/>
  <c r="V364" i="1"/>
  <c r="V365" i="1"/>
  <c r="V366" i="1"/>
  <c r="V367" i="1"/>
  <c r="V369" i="1"/>
  <c r="V368" i="1"/>
  <c r="V371" i="1"/>
  <c r="V370" i="1"/>
  <c r="V372" i="1"/>
  <c r="V378" i="1"/>
  <c r="V374" i="1"/>
  <c r="V375" i="1"/>
  <c r="V376" i="1"/>
  <c r="V380" i="1"/>
  <c r="V382" i="1"/>
  <c r="V381" i="1"/>
  <c r="V373" i="1"/>
  <c r="V383" i="1"/>
  <c r="V379" i="1"/>
  <c r="V377" i="1"/>
  <c r="V384" i="1"/>
  <c r="V385" i="1"/>
  <c r="V386" i="1"/>
  <c r="V387" i="1"/>
  <c r="V391" i="1"/>
  <c r="V392" i="1"/>
  <c r="V393" i="1"/>
  <c r="V389" i="1"/>
  <c r="V398" i="1"/>
  <c r="V388" i="1"/>
  <c r="V397" i="1"/>
  <c r="V390" i="1"/>
  <c r="V394" i="1"/>
  <c r="V395" i="1"/>
  <c r="V396" i="1"/>
  <c r="V400" i="1"/>
  <c r="V399" i="1"/>
  <c r="V401" i="1"/>
  <c r="V413" i="1"/>
  <c r="V406" i="1"/>
  <c r="V407" i="1"/>
  <c r="V411" i="1"/>
  <c r="V410" i="1"/>
  <c r="V412" i="1"/>
  <c r="V405" i="1"/>
  <c r="V409" i="1"/>
  <c r="V402" i="1"/>
  <c r="V403" i="1"/>
  <c r="V408" i="1"/>
  <c r="V404" i="1"/>
  <c r="V414" i="1"/>
  <c r="V415" i="1"/>
  <c r="V417" i="1"/>
  <c r="V418" i="1"/>
  <c r="V416" i="1"/>
  <c r="V419" i="1"/>
  <c r="V420" i="1"/>
  <c r="V421" i="1"/>
  <c r="V422" i="1"/>
  <c r="V423" i="1"/>
  <c r="V424" i="1"/>
  <c r="V426" i="1"/>
  <c r="V425" i="1"/>
  <c r="V435" i="1"/>
  <c r="V431" i="1"/>
  <c r="V432" i="1"/>
  <c r="V429" i="1"/>
  <c r="V433" i="1"/>
  <c r="V427" i="1"/>
  <c r="V428" i="1"/>
  <c r="V434" i="1"/>
  <c r="V430" i="1"/>
  <c r="V436" i="1"/>
  <c r="V440" i="1"/>
  <c r="V441" i="1"/>
  <c r="V442" i="1"/>
  <c r="V443" i="1"/>
  <c r="V444" i="1"/>
  <c r="V439" i="1"/>
  <c r="V437" i="1"/>
  <c r="V438" i="1"/>
  <c r="V445" i="1"/>
  <c r="V446" i="1"/>
  <c r="V448" i="1"/>
  <c r="V447" i="1"/>
  <c r="V449" i="1"/>
  <c r="V450" i="1"/>
  <c r="V451" i="1"/>
  <c r="V455" i="1"/>
  <c r="V454" i="1"/>
  <c r="V453" i="1"/>
  <c r="V452" i="1"/>
  <c r="V456" i="1"/>
  <c r="V457" i="1"/>
  <c r="V463" i="1"/>
  <c r="V464" i="1"/>
  <c r="V459" i="1"/>
  <c r="V462" i="1"/>
  <c r="V458" i="1"/>
  <c r="V466" i="1"/>
  <c r="V460" i="1"/>
  <c r="V461" i="1"/>
  <c r="V465" i="1"/>
  <c r="V468" i="1"/>
  <c r="V470" i="1"/>
  <c r="V469" i="1"/>
  <c r="V467" i="1"/>
  <c r="V471" i="1"/>
  <c r="V472" i="1"/>
  <c r="V476" i="1"/>
  <c r="V474" i="1"/>
  <c r="V475" i="1"/>
  <c r="V473" i="1"/>
  <c r="V477" i="1"/>
  <c r="V478" i="1"/>
  <c r="V480" i="1"/>
  <c r="V479" i="1"/>
  <c r="V481" i="1"/>
  <c r="V482" i="1"/>
  <c r="V483" i="1"/>
  <c r="V485" i="1"/>
  <c r="V486" i="1"/>
  <c r="V484" i="1"/>
  <c r="V487" i="1"/>
  <c r="V489" i="1"/>
  <c r="V488" i="1"/>
  <c r="V495" i="1"/>
  <c r="V492" i="1"/>
  <c r="V493" i="1"/>
  <c r="V491" i="1"/>
  <c r="V490" i="1"/>
  <c r="V494" i="1"/>
  <c r="V496" i="1"/>
  <c r="V500" i="1"/>
  <c r="V501" i="1"/>
  <c r="V497" i="1"/>
  <c r="V498" i="1"/>
  <c r="V499" i="1"/>
  <c r="V502" i="1"/>
  <c r="V503" i="1"/>
  <c r="V504" i="1"/>
  <c r="V507" i="1"/>
  <c r="V506" i="1"/>
  <c r="V505" i="1"/>
  <c r="V508" i="1"/>
  <c r="V514" i="1"/>
  <c r="V512" i="1"/>
  <c r="V509" i="1"/>
  <c r="V510" i="1"/>
  <c r="V511" i="1"/>
  <c r="V513" i="1"/>
  <c r="V515" i="1"/>
  <c r="V516" i="1"/>
  <c r="V520" i="1"/>
  <c r="V521" i="1"/>
  <c r="V517" i="1"/>
  <c r="V518" i="1"/>
  <c r="V524" i="1"/>
  <c r="V519" i="1"/>
  <c r="V522" i="1"/>
  <c r="V523" i="1"/>
  <c r="V527" i="1"/>
  <c r="V528" i="1"/>
  <c r="V530" i="1"/>
  <c r="V529" i="1"/>
  <c r="V526" i="1"/>
  <c r="V525" i="1"/>
  <c r="V532" i="1"/>
  <c r="V531" i="1"/>
  <c r="V542" i="1"/>
  <c r="V537" i="1"/>
  <c r="V541" i="1"/>
  <c r="V533" i="1"/>
  <c r="V534" i="1"/>
  <c r="V536" i="1"/>
  <c r="V538" i="1"/>
  <c r="V539" i="1"/>
  <c r="V535" i="1"/>
  <c r="V540" i="1"/>
  <c r="V544" i="1"/>
  <c r="V543" i="1"/>
  <c r="V545" i="1"/>
  <c r="V546" i="1"/>
  <c r="V547" i="1"/>
  <c r="V551" i="1"/>
  <c r="V550" i="1"/>
  <c r="V552" i="1"/>
  <c r="V548" i="1"/>
  <c r="V549" i="1"/>
  <c r="V554" i="1"/>
  <c r="V555" i="1"/>
  <c r="V553" i="1"/>
  <c r="V557" i="1"/>
  <c r="V556" i="1"/>
  <c r="V564" i="1"/>
  <c r="V561" i="1"/>
  <c r="V558" i="1"/>
  <c r="V559" i="1"/>
  <c r="V560" i="1"/>
  <c r="V562" i="1"/>
  <c r="V563" i="1"/>
  <c r="V565" i="1"/>
  <c r="V566" i="1"/>
  <c r="V567" i="1"/>
  <c r="V568" i="1"/>
  <c r="V569" i="1"/>
  <c r="V570" i="1"/>
  <c r="V571" i="1"/>
  <c r="V572" i="1"/>
  <c r="V573" i="1"/>
  <c r="V574" i="1"/>
  <c r="V575" i="1"/>
  <c r="V576" i="1"/>
  <c r="V578" i="1"/>
  <c r="V577" i="1"/>
  <c r="V584" i="1"/>
  <c r="V585" i="1"/>
  <c r="V587" i="1"/>
  <c r="V582" i="1"/>
  <c r="V581" i="1"/>
  <c r="V592" i="1"/>
  <c r="V593" i="1"/>
  <c r="V579" i="1"/>
  <c r="V580" i="1"/>
  <c r="V583" i="1"/>
  <c r="V586" i="1"/>
  <c r="V589" i="1"/>
  <c r="V588" i="1"/>
  <c r="V590" i="1"/>
  <c r="V591" i="1"/>
  <c r="V594" i="1"/>
  <c r="V596" i="1"/>
  <c r="V595" i="1"/>
  <c r="V599" i="1"/>
  <c r="V603" i="1"/>
  <c r="V600" i="1"/>
  <c r="V601" i="1"/>
  <c r="V602" i="1"/>
  <c r="V598" i="1"/>
  <c r="V597" i="1"/>
  <c r="V604" i="1"/>
  <c r="V605" i="1"/>
  <c r="V607" i="1"/>
  <c r="V608" i="1"/>
  <c r="V606" i="1"/>
  <c r="V609" i="1"/>
  <c r="D235" i="1"/>
  <c r="E235" i="1"/>
  <c r="T235" i="1"/>
  <c r="X235" i="1" s="1"/>
  <c r="AF235" i="1"/>
  <c r="AG235" i="1"/>
  <c r="AH235" i="1"/>
  <c r="AI235" i="1"/>
  <c r="AJ235" i="1"/>
  <c r="AN235" i="1"/>
  <c r="D237" i="1"/>
  <c r="E237" i="1"/>
  <c r="T237" i="1"/>
  <c r="X237" i="1" s="1"/>
  <c r="AF237" i="1"/>
  <c r="AG237" i="1"/>
  <c r="AH237" i="1"/>
  <c r="AI237" i="1"/>
  <c r="AJ237" i="1"/>
  <c r="AN237" i="1"/>
  <c r="D238" i="1"/>
  <c r="E238" i="1"/>
  <c r="T238" i="1"/>
  <c r="X238" i="1" s="1"/>
  <c r="AF238" i="1"/>
  <c r="AG238" i="1"/>
  <c r="AH238" i="1"/>
  <c r="AI238" i="1"/>
  <c r="AJ238" i="1"/>
  <c r="AN238" i="1"/>
  <c r="D236" i="1"/>
  <c r="E236" i="1"/>
  <c r="T236" i="1"/>
  <c r="X236" i="1" s="1"/>
  <c r="AF236" i="1"/>
  <c r="AG236" i="1"/>
  <c r="AH236" i="1"/>
  <c r="AI236" i="1"/>
  <c r="AJ236" i="1"/>
  <c r="AN236" i="1"/>
  <c r="D243" i="1"/>
  <c r="E243" i="1"/>
  <c r="T243" i="1"/>
  <c r="X243" i="1" s="1"/>
  <c r="AF243" i="1"/>
  <c r="AG243" i="1"/>
  <c r="AH243" i="1"/>
  <c r="AI243" i="1"/>
  <c r="AJ243" i="1"/>
  <c r="AN243" i="1"/>
  <c r="D242" i="1"/>
  <c r="E242" i="1"/>
  <c r="T242" i="1"/>
  <c r="X242" i="1" s="1"/>
  <c r="AF242" i="1"/>
  <c r="AG242" i="1"/>
  <c r="AH242" i="1"/>
  <c r="AI242" i="1"/>
  <c r="AJ242" i="1"/>
  <c r="AN242" i="1"/>
  <c r="D246" i="1"/>
  <c r="E246" i="1"/>
  <c r="T246" i="1"/>
  <c r="X246" i="1" s="1"/>
  <c r="AF246" i="1"/>
  <c r="AG246" i="1"/>
  <c r="AH246" i="1"/>
  <c r="AI246" i="1"/>
  <c r="AJ246" i="1"/>
  <c r="AN246" i="1"/>
  <c r="D245" i="1"/>
  <c r="E245" i="1"/>
  <c r="T245" i="1"/>
  <c r="X245" i="1" s="1"/>
  <c r="AF245" i="1"/>
  <c r="AG245" i="1"/>
  <c r="AH245" i="1"/>
  <c r="AI245" i="1"/>
  <c r="AJ245" i="1"/>
  <c r="AN245" i="1"/>
  <c r="D244" i="1"/>
  <c r="E244" i="1"/>
  <c r="T244" i="1"/>
  <c r="X244" i="1" s="1"/>
  <c r="AF244" i="1"/>
  <c r="AG244" i="1"/>
  <c r="AH244" i="1"/>
  <c r="AI244" i="1"/>
  <c r="AJ244" i="1"/>
  <c r="AN244" i="1"/>
  <c r="D250" i="1"/>
  <c r="E250" i="1"/>
  <c r="T250" i="1"/>
  <c r="X250" i="1" s="1"/>
  <c r="AF250" i="1"/>
  <c r="AG250" i="1"/>
  <c r="AH250" i="1"/>
  <c r="AI250" i="1"/>
  <c r="AJ250" i="1"/>
  <c r="AN250" i="1"/>
  <c r="D248" i="1"/>
  <c r="E248" i="1"/>
  <c r="T248" i="1"/>
  <c r="X248" i="1" s="1"/>
  <c r="AF248" i="1"/>
  <c r="AG248" i="1"/>
  <c r="AH248" i="1"/>
  <c r="AI248" i="1"/>
  <c r="AJ248" i="1"/>
  <c r="AN248" i="1"/>
  <c r="D251" i="1"/>
  <c r="E251" i="1"/>
  <c r="T251" i="1"/>
  <c r="X251" i="1" s="1"/>
  <c r="AF251" i="1"/>
  <c r="AG251" i="1"/>
  <c r="AH251" i="1"/>
  <c r="AI251" i="1"/>
  <c r="AJ251" i="1"/>
  <c r="AN251" i="1"/>
  <c r="D249" i="1"/>
  <c r="E249" i="1"/>
  <c r="T249" i="1"/>
  <c r="X249" i="1" s="1"/>
  <c r="AF249" i="1"/>
  <c r="AG249" i="1"/>
  <c r="AH249" i="1"/>
  <c r="AI249" i="1"/>
  <c r="AJ249" i="1"/>
  <c r="AN249" i="1"/>
  <c r="D256" i="1"/>
  <c r="E256" i="1"/>
  <c r="T256" i="1"/>
  <c r="X256" i="1" s="1"/>
  <c r="AF256" i="1"/>
  <c r="AG256" i="1"/>
  <c r="AH256" i="1"/>
  <c r="AI256" i="1"/>
  <c r="AJ256" i="1"/>
  <c r="AN256" i="1"/>
  <c r="D255" i="1"/>
  <c r="E255" i="1"/>
  <c r="T255" i="1"/>
  <c r="X255" i="1" s="1"/>
  <c r="AF255" i="1"/>
  <c r="AG255" i="1"/>
  <c r="AH255" i="1"/>
  <c r="AI255" i="1"/>
  <c r="AJ255" i="1"/>
  <c r="AN255" i="1"/>
  <c r="D257" i="1"/>
  <c r="E257" i="1"/>
  <c r="T257" i="1"/>
  <c r="X257" i="1" s="1"/>
  <c r="AF257" i="1"/>
  <c r="AG257" i="1"/>
  <c r="AH257" i="1"/>
  <c r="AI257" i="1"/>
  <c r="AJ257" i="1"/>
  <c r="AN257" i="1"/>
  <c r="D253" i="1"/>
  <c r="E253" i="1"/>
  <c r="T253" i="1"/>
  <c r="X253" i="1" s="1"/>
  <c r="AF253" i="1"/>
  <c r="AG253" i="1"/>
  <c r="AH253" i="1"/>
  <c r="AI253" i="1"/>
  <c r="AJ253" i="1"/>
  <c r="AN253" i="1"/>
  <c r="D254" i="1"/>
  <c r="E254" i="1"/>
  <c r="T254" i="1"/>
  <c r="X254" i="1" s="1"/>
  <c r="AF254" i="1"/>
  <c r="AG254" i="1"/>
  <c r="AH254" i="1"/>
  <c r="AI254" i="1"/>
  <c r="AJ254" i="1"/>
  <c r="AN254" i="1"/>
  <c r="D291" i="1"/>
  <c r="E291" i="1"/>
  <c r="T291" i="1"/>
  <c r="X291" i="1" s="1"/>
  <c r="U291" i="1"/>
  <c r="AF291" i="1"/>
  <c r="AG291" i="1"/>
  <c r="AH291" i="1"/>
  <c r="AI291" i="1"/>
  <c r="AJ291" i="1"/>
  <c r="AN291" i="1"/>
  <c r="D179" i="1"/>
  <c r="E179" i="1"/>
  <c r="T179" i="1"/>
  <c r="X179" i="1" s="1"/>
  <c r="U179" i="1"/>
  <c r="AF179" i="1"/>
  <c r="AG179" i="1"/>
  <c r="AH179" i="1"/>
  <c r="AI179" i="1"/>
  <c r="AJ179" i="1"/>
  <c r="AN179" i="1"/>
  <c r="D178" i="1"/>
  <c r="E178" i="1"/>
  <c r="T178" i="1"/>
  <c r="X178" i="1" s="1"/>
  <c r="AF178" i="1"/>
  <c r="AG178" i="1"/>
  <c r="AH178" i="1"/>
  <c r="AI178" i="1"/>
  <c r="AJ178" i="1"/>
  <c r="AN178" i="1"/>
  <c r="D180" i="1"/>
  <c r="E180" i="1"/>
  <c r="T180" i="1"/>
  <c r="X180" i="1" s="1"/>
  <c r="AF180" i="1"/>
  <c r="AG180" i="1"/>
  <c r="AH180" i="1"/>
  <c r="AI180" i="1"/>
  <c r="AJ180" i="1"/>
  <c r="AN180" i="1"/>
  <c r="D176" i="1"/>
  <c r="E176" i="1"/>
  <c r="T176" i="1"/>
  <c r="X176" i="1" s="1"/>
  <c r="AF176" i="1"/>
  <c r="AG176" i="1"/>
  <c r="AH176" i="1"/>
  <c r="AI176" i="1"/>
  <c r="AJ176" i="1"/>
  <c r="AN176" i="1"/>
  <c r="D177" i="1"/>
  <c r="E177" i="1"/>
  <c r="T177" i="1"/>
  <c r="X177" i="1" s="1"/>
  <c r="AF177" i="1"/>
  <c r="AG177" i="1"/>
  <c r="AH177" i="1"/>
  <c r="AI177" i="1"/>
  <c r="AJ177" i="1"/>
  <c r="AN177" i="1"/>
  <c r="D172" i="1"/>
  <c r="E172" i="1"/>
  <c r="T172" i="1"/>
  <c r="X172" i="1" s="1"/>
  <c r="U172" i="1"/>
  <c r="AF172" i="1"/>
  <c r="AG172" i="1"/>
  <c r="AH172" i="1"/>
  <c r="AI172" i="1"/>
  <c r="AJ172" i="1"/>
  <c r="AN172" i="1"/>
  <c r="D173" i="1"/>
  <c r="E173" i="1"/>
  <c r="T173" i="1"/>
  <c r="X173" i="1" s="1"/>
  <c r="U173" i="1"/>
  <c r="AF173" i="1"/>
  <c r="AG173" i="1"/>
  <c r="AH173" i="1"/>
  <c r="AI173" i="1"/>
  <c r="AJ173" i="1"/>
  <c r="AN173" i="1"/>
  <c r="D171" i="1"/>
  <c r="E171" i="1"/>
  <c r="T171" i="1"/>
  <c r="X171" i="1" s="1"/>
  <c r="U171" i="1"/>
  <c r="AF171" i="1"/>
  <c r="AG171" i="1"/>
  <c r="AH171" i="1"/>
  <c r="AI171" i="1"/>
  <c r="AJ171" i="1"/>
  <c r="AN171" i="1"/>
  <c r="D174" i="1"/>
  <c r="E174" i="1"/>
  <c r="T174" i="1"/>
  <c r="X174" i="1" s="1"/>
  <c r="U174" i="1"/>
  <c r="AF174" i="1"/>
  <c r="AG174" i="1"/>
  <c r="AH174" i="1"/>
  <c r="AI174" i="1"/>
  <c r="AJ174" i="1"/>
  <c r="AN174" i="1"/>
  <c r="D167" i="1"/>
  <c r="E167" i="1"/>
  <c r="T167" i="1"/>
  <c r="X167" i="1" s="1"/>
  <c r="U167" i="1"/>
  <c r="AF167" i="1"/>
  <c r="AG167" i="1"/>
  <c r="AH167" i="1"/>
  <c r="AI167" i="1"/>
  <c r="AJ167" i="1"/>
  <c r="AN167" i="1"/>
  <c r="D168" i="1"/>
  <c r="E168" i="1"/>
  <c r="T168" i="1"/>
  <c r="X168" i="1" s="1"/>
  <c r="U168" i="1"/>
  <c r="AF168" i="1"/>
  <c r="AG168" i="1"/>
  <c r="AH168" i="1"/>
  <c r="AI168" i="1"/>
  <c r="AJ168" i="1"/>
  <c r="AN168" i="1"/>
  <c r="D169" i="1"/>
  <c r="E169" i="1"/>
  <c r="T169" i="1"/>
  <c r="X169" i="1" s="1"/>
  <c r="U169" i="1"/>
  <c r="AF169" i="1"/>
  <c r="AG169" i="1"/>
  <c r="AH169" i="1"/>
  <c r="AI169" i="1"/>
  <c r="AJ169" i="1"/>
  <c r="AN169" i="1"/>
  <c r="D163" i="1"/>
  <c r="E163" i="1"/>
  <c r="T163" i="1"/>
  <c r="X163" i="1" s="1"/>
  <c r="U163" i="1"/>
  <c r="AF163" i="1"/>
  <c r="AG163" i="1"/>
  <c r="AH163" i="1"/>
  <c r="AI163" i="1"/>
  <c r="AJ163" i="1"/>
  <c r="AN163" i="1"/>
  <c r="D164" i="1"/>
  <c r="E164" i="1"/>
  <c r="T164" i="1"/>
  <c r="X164" i="1" s="1"/>
  <c r="U164" i="1"/>
  <c r="AF164" i="1"/>
  <c r="AG164" i="1"/>
  <c r="AH164" i="1"/>
  <c r="AI164" i="1"/>
  <c r="AJ164" i="1"/>
  <c r="AN164" i="1"/>
  <c r="D155" i="1"/>
  <c r="E155" i="1"/>
  <c r="T155" i="1"/>
  <c r="X155" i="1" s="1"/>
  <c r="U155" i="1"/>
  <c r="AF155" i="1"/>
  <c r="AG155" i="1"/>
  <c r="AH155" i="1"/>
  <c r="AI155" i="1"/>
  <c r="AJ155" i="1"/>
  <c r="AN155" i="1"/>
  <c r="D157" i="1"/>
  <c r="E157" i="1"/>
  <c r="T157" i="1"/>
  <c r="X157" i="1" s="1"/>
  <c r="U157" i="1"/>
  <c r="AF157" i="1"/>
  <c r="AG157" i="1"/>
  <c r="AH157" i="1"/>
  <c r="AI157" i="1"/>
  <c r="AJ157" i="1"/>
  <c r="AN157" i="1"/>
  <c r="D156" i="1"/>
  <c r="E156" i="1"/>
  <c r="T156" i="1"/>
  <c r="X156" i="1" s="1"/>
  <c r="U156" i="1"/>
  <c r="AF156" i="1"/>
  <c r="AG156" i="1"/>
  <c r="AH156" i="1"/>
  <c r="AI156" i="1"/>
  <c r="AJ156" i="1"/>
  <c r="AN156" i="1"/>
  <c r="D154" i="1"/>
  <c r="E154" i="1"/>
  <c r="T154" i="1"/>
  <c r="X154" i="1" s="1"/>
  <c r="U154" i="1"/>
  <c r="AF154" i="1"/>
  <c r="AG154" i="1"/>
  <c r="AH154" i="1"/>
  <c r="AI154" i="1"/>
  <c r="AJ154" i="1"/>
  <c r="AN154" i="1"/>
  <c r="D109" i="1"/>
  <c r="E109" i="1"/>
  <c r="T109" i="1"/>
  <c r="U109" i="1"/>
  <c r="AF109" i="1"/>
  <c r="AG109" i="1"/>
  <c r="AH109" i="1"/>
  <c r="AI109" i="1"/>
  <c r="AJ109" i="1"/>
  <c r="AN109" i="1"/>
  <c r="D108" i="1"/>
  <c r="E108" i="1"/>
  <c r="T108" i="1"/>
  <c r="U108" i="1"/>
  <c r="AF108" i="1"/>
  <c r="AG108" i="1"/>
  <c r="AH108" i="1"/>
  <c r="AI108" i="1"/>
  <c r="AJ108" i="1"/>
  <c r="AN108" i="1"/>
  <c r="D102" i="1"/>
  <c r="E102" i="1"/>
  <c r="T102" i="1"/>
  <c r="U102" i="1"/>
  <c r="AF102" i="1"/>
  <c r="AG102" i="1"/>
  <c r="AH102" i="1"/>
  <c r="AI102" i="1"/>
  <c r="AJ102" i="1"/>
  <c r="AN102" i="1"/>
  <c r="C18" i="41"/>
  <c r="D122" i="1"/>
  <c r="E122" i="1"/>
  <c r="T122" i="1"/>
  <c r="U122" i="1"/>
  <c r="AF122" i="1"/>
  <c r="AG122" i="1"/>
  <c r="AH122" i="1"/>
  <c r="AI122" i="1"/>
  <c r="AJ122" i="1"/>
  <c r="AN122" i="1"/>
  <c r="D182" i="1"/>
  <c r="E182" i="1"/>
  <c r="T182" i="1"/>
  <c r="U182" i="1"/>
  <c r="AF182" i="1"/>
  <c r="AG182" i="1"/>
  <c r="AH182" i="1"/>
  <c r="AI182" i="1"/>
  <c r="AJ182" i="1"/>
  <c r="AN182" i="1"/>
  <c r="E39" i="17"/>
  <c r="G39" i="17" s="1"/>
  <c r="K39" i="17"/>
  <c r="U39" i="17" s="1"/>
  <c r="M39" i="17"/>
  <c r="N39" i="17"/>
  <c r="O39" i="17"/>
  <c r="E45" i="17"/>
  <c r="G45" i="17" s="1"/>
  <c r="K45" i="17"/>
  <c r="U45" i="17" s="1"/>
  <c r="M45" i="17"/>
  <c r="N45" i="17"/>
  <c r="O45" i="17"/>
  <c r="E46" i="17"/>
  <c r="G46" i="17" s="1"/>
  <c r="K46" i="17"/>
  <c r="U46" i="17" s="1"/>
  <c r="M46" i="17"/>
  <c r="N46" i="17"/>
  <c r="O46" i="17"/>
  <c r="E47" i="17"/>
  <c r="G47" i="17" s="1"/>
  <c r="K47" i="17"/>
  <c r="U47" i="17" s="1"/>
  <c r="M47" i="17"/>
  <c r="N47" i="17"/>
  <c r="O47" i="17"/>
  <c r="E48" i="17"/>
  <c r="G48" i="17" s="1"/>
  <c r="K48" i="17"/>
  <c r="U48" i="17" s="1"/>
  <c r="M48" i="17"/>
  <c r="N48" i="17"/>
  <c r="O48" i="17"/>
  <c r="E49" i="17"/>
  <c r="G49" i="17" s="1"/>
  <c r="K49" i="17"/>
  <c r="U49" i="17" s="1"/>
  <c r="M49" i="17"/>
  <c r="N49" i="17"/>
  <c r="O49" i="17"/>
  <c r="E54" i="17"/>
  <c r="G54" i="17" s="1"/>
  <c r="K54" i="17"/>
  <c r="Z54" i="17" s="1"/>
  <c r="M54" i="17"/>
  <c r="N54" i="17"/>
  <c r="O54" i="17"/>
  <c r="E127" i="1"/>
  <c r="AK303" i="1" l="1"/>
  <c r="AK304" i="1"/>
  <c r="AK302" i="1"/>
  <c r="AK301" i="1"/>
  <c r="AK312" i="1"/>
  <c r="AK311" i="1"/>
  <c r="AK310" i="1"/>
  <c r="AK313" i="1"/>
  <c r="AK314" i="1"/>
  <c r="AK315" i="1"/>
  <c r="AK316" i="1"/>
  <c r="AK320" i="1"/>
  <c r="AK322" i="1"/>
  <c r="AK321" i="1"/>
  <c r="AK323" i="1"/>
  <c r="AK324" i="1"/>
  <c r="AK319" i="1"/>
  <c r="AK236" i="1"/>
  <c r="AK243" i="1"/>
  <c r="AK235" i="1"/>
  <c r="AK242" i="1"/>
  <c r="AK256" i="1"/>
  <c r="AK238" i="1"/>
  <c r="AK254" i="1"/>
  <c r="AK237" i="1"/>
  <c r="AK245" i="1"/>
  <c r="AK255" i="1"/>
  <c r="AK250" i="1"/>
  <c r="AK251" i="1"/>
  <c r="AK257" i="1"/>
  <c r="AK253" i="1"/>
  <c r="AK249" i="1"/>
  <c r="AK244" i="1"/>
  <c r="AK246" i="1"/>
  <c r="AK248" i="1"/>
  <c r="AK179" i="1"/>
  <c r="AK291" i="1"/>
  <c r="AK176" i="1"/>
  <c r="AK178" i="1"/>
  <c r="AK180" i="1"/>
  <c r="AK177" i="1"/>
  <c r="AK172" i="1"/>
  <c r="AK173" i="1"/>
  <c r="AK171" i="1"/>
  <c r="AK174" i="1"/>
  <c r="AK168" i="1"/>
  <c r="AK169" i="1"/>
  <c r="AK167" i="1"/>
  <c r="AK163" i="1"/>
  <c r="AK164" i="1"/>
  <c r="AK155" i="1"/>
  <c r="AK157" i="1"/>
  <c r="AK156" i="1"/>
  <c r="AK154" i="1"/>
  <c r="AK108" i="1"/>
  <c r="AK109" i="1"/>
  <c r="AK102" i="1"/>
  <c r="AK122" i="1"/>
  <c r="AK182" i="1"/>
  <c r="Z39" i="17"/>
  <c r="I39" i="17"/>
  <c r="J39" i="17"/>
  <c r="R39" i="17"/>
  <c r="Z47" i="17"/>
  <c r="Z45" i="17"/>
  <c r="I45" i="17"/>
  <c r="J45" i="17"/>
  <c r="R45" i="17"/>
  <c r="Z46" i="17"/>
  <c r="I47" i="17"/>
  <c r="J47" i="17"/>
  <c r="R47" i="17"/>
  <c r="I46" i="17"/>
  <c r="J46" i="17"/>
  <c r="R46" i="17"/>
  <c r="Z48" i="17"/>
  <c r="I48" i="17"/>
  <c r="J48" i="17"/>
  <c r="R48" i="17"/>
  <c r="J49" i="17"/>
  <c r="I49" i="17"/>
  <c r="R49" i="17"/>
  <c r="Z49" i="17"/>
  <c r="I54" i="17"/>
  <c r="J54" i="17"/>
  <c r="R54" i="17"/>
  <c r="U54" i="17"/>
  <c r="C610" i="1"/>
  <c r="Z610" i="1"/>
  <c r="AA610" i="1"/>
  <c r="AB610" i="1"/>
  <c r="AC610" i="1"/>
  <c r="AD610" i="1"/>
  <c r="T53" i="1"/>
  <c r="T64" i="1"/>
  <c r="T62" i="1"/>
  <c r="T61" i="1"/>
  <c r="T55" i="1"/>
  <c r="T56" i="1"/>
  <c r="T57" i="1"/>
  <c r="T58" i="1"/>
  <c r="T63" i="1"/>
  <c r="T59" i="1"/>
  <c r="T60" i="1"/>
  <c r="T54" i="1"/>
  <c r="T66" i="1"/>
  <c r="T65" i="1"/>
  <c r="T69" i="1"/>
  <c r="T68" i="1"/>
  <c r="T67" i="1"/>
  <c r="T74" i="1"/>
  <c r="T70" i="1"/>
  <c r="T71" i="1"/>
  <c r="T72" i="1"/>
  <c r="T73" i="1"/>
  <c r="T75" i="1"/>
  <c r="T77" i="1"/>
  <c r="T78" i="1"/>
  <c r="T76" i="1"/>
  <c r="T79" i="1"/>
  <c r="T80" i="1"/>
  <c r="X80" i="1" s="1"/>
  <c r="T92" i="1"/>
  <c r="T82" i="1"/>
  <c r="T91" i="1"/>
  <c r="T83" i="1"/>
  <c r="T81" i="1"/>
  <c r="X81" i="1" s="1"/>
  <c r="T89" i="1"/>
  <c r="T88" i="1"/>
  <c r="T90" i="1"/>
  <c r="T87" i="1"/>
  <c r="T86" i="1"/>
  <c r="T84" i="1"/>
  <c r="T85" i="1"/>
  <c r="T93" i="1"/>
  <c r="T94" i="1"/>
  <c r="T95" i="1"/>
  <c r="T99" i="1"/>
  <c r="T97" i="1"/>
  <c r="T98" i="1"/>
  <c r="T100" i="1"/>
  <c r="T96" i="1"/>
  <c r="T192" i="1"/>
  <c r="T101" i="1"/>
  <c r="T187" i="1"/>
  <c r="T107" i="1"/>
  <c r="T103" i="1"/>
  <c r="T106" i="1"/>
  <c r="T105" i="1"/>
  <c r="T104" i="1"/>
  <c r="T139" i="1"/>
  <c r="T111" i="1"/>
  <c r="T110" i="1"/>
  <c r="X110" i="1" s="1"/>
  <c r="T113" i="1"/>
  <c r="T114" i="1"/>
  <c r="T115" i="1"/>
  <c r="T120" i="1"/>
  <c r="T121" i="1"/>
  <c r="T118" i="1"/>
  <c r="T119" i="1"/>
  <c r="T117" i="1"/>
  <c r="T116" i="1"/>
  <c r="T124" i="1"/>
  <c r="T123" i="1"/>
  <c r="T112" i="1"/>
  <c r="T126" i="1"/>
  <c r="T127" i="1"/>
  <c r="T128" i="1"/>
  <c r="T129" i="1"/>
  <c r="T125" i="1"/>
  <c r="T130" i="1"/>
  <c r="T132" i="1"/>
  <c r="T134" i="1"/>
  <c r="T133" i="1"/>
  <c r="T131" i="1"/>
  <c r="T135" i="1"/>
  <c r="T136" i="1"/>
  <c r="T138" i="1"/>
  <c r="T141" i="1"/>
  <c r="T137" i="1"/>
  <c r="T140" i="1"/>
  <c r="T142" i="1"/>
  <c r="T147" i="1"/>
  <c r="T145" i="1"/>
  <c r="T148" i="1"/>
  <c r="T149" i="1"/>
  <c r="T146" i="1"/>
  <c r="T143" i="1"/>
  <c r="T144" i="1"/>
  <c r="T161" i="1"/>
  <c r="T160" i="1"/>
  <c r="T151" i="1"/>
  <c r="T158" i="1"/>
  <c r="T159" i="1"/>
  <c r="T152" i="1"/>
  <c r="T150" i="1"/>
  <c r="T153" i="1"/>
  <c r="T162" i="1"/>
  <c r="T165" i="1"/>
  <c r="T166" i="1"/>
  <c r="T170" i="1"/>
  <c r="T175" i="1"/>
  <c r="T181" i="1"/>
  <c r="T183" i="1"/>
  <c r="T186" i="1"/>
  <c r="T184" i="1"/>
  <c r="T185" i="1"/>
  <c r="T195" i="1"/>
  <c r="T188" i="1"/>
  <c r="T189" i="1"/>
  <c r="T190" i="1"/>
  <c r="T194" i="1"/>
  <c r="T191" i="1"/>
  <c r="T193" i="1"/>
  <c r="T196" i="1"/>
  <c r="T197" i="1"/>
  <c r="T198" i="1"/>
  <c r="T200" i="1"/>
  <c r="T199" i="1"/>
  <c r="T378" i="1"/>
  <c r="T201" i="1"/>
  <c r="T212" i="1"/>
  <c r="T202" i="1"/>
  <c r="T203" i="1"/>
  <c r="T205" i="1"/>
  <c r="T206" i="1"/>
  <c r="T208" i="1"/>
  <c r="T209" i="1"/>
  <c r="T210" i="1"/>
  <c r="T204" i="1"/>
  <c r="T207" i="1"/>
  <c r="T211" i="1"/>
  <c r="T213" i="1"/>
  <c r="T214" i="1"/>
  <c r="T215" i="1"/>
  <c r="T216" i="1"/>
  <c r="T217" i="1"/>
  <c r="T218" i="1"/>
  <c r="T219" i="1"/>
  <c r="T222" i="1"/>
  <c r="T220" i="1"/>
  <c r="T221" i="1"/>
  <c r="T224" i="1"/>
  <c r="T223" i="1"/>
  <c r="T225" i="1"/>
  <c r="T226" i="1"/>
  <c r="T228" i="1"/>
  <c r="T230" i="1"/>
  <c r="T231" i="1"/>
  <c r="T240" i="1"/>
  <c r="T239" i="1"/>
  <c r="T227" i="1"/>
  <c r="T229" i="1"/>
  <c r="T241" i="1"/>
  <c r="T233" i="1"/>
  <c r="T232" i="1"/>
  <c r="T234" i="1"/>
  <c r="T247" i="1"/>
  <c r="T252" i="1"/>
  <c r="T258" i="1"/>
  <c r="T259" i="1"/>
  <c r="T261" i="1"/>
  <c r="T260" i="1"/>
  <c r="T262" i="1"/>
  <c r="T263" i="1"/>
  <c r="T265" i="1"/>
  <c r="T266" i="1"/>
  <c r="T267" i="1"/>
  <c r="T268" i="1"/>
  <c r="T271" i="1"/>
  <c r="T272" i="1"/>
  <c r="T264" i="1"/>
  <c r="T269" i="1"/>
  <c r="T270" i="1"/>
  <c r="T273" i="1"/>
  <c r="T274" i="1"/>
  <c r="X274" i="1" s="1"/>
  <c r="T275" i="1"/>
  <c r="T276" i="1"/>
  <c r="T279" i="1"/>
  <c r="T278" i="1"/>
  <c r="T280" i="1"/>
  <c r="T281" i="1"/>
  <c r="T283" i="1"/>
  <c r="T277" i="1"/>
  <c r="T282" i="1"/>
  <c r="T285" i="1"/>
  <c r="T286" i="1"/>
  <c r="T287" i="1"/>
  <c r="T284" i="1"/>
  <c r="T288" i="1"/>
  <c r="T289" i="1"/>
  <c r="T290" i="1"/>
  <c r="T293" i="1"/>
  <c r="T295" i="1"/>
  <c r="T296" i="1"/>
  <c r="T307" i="1"/>
  <c r="T299" i="1"/>
  <c r="T308" i="1"/>
  <c r="T306" i="1"/>
  <c r="T292" i="1"/>
  <c r="T294" i="1"/>
  <c r="T305" i="1"/>
  <c r="T300" i="1"/>
  <c r="T297" i="1"/>
  <c r="T298" i="1"/>
  <c r="T309" i="1"/>
  <c r="T318" i="1"/>
  <c r="T317" i="1"/>
  <c r="T325" i="1"/>
  <c r="T327" i="1"/>
  <c r="T326" i="1"/>
  <c r="T328" i="1"/>
  <c r="T329" i="1"/>
  <c r="T330" i="1"/>
  <c r="T339" i="1"/>
  <c r="T333" i="1"/>
  <c r="T331" i="1"/>
  <c r="T332" i="1"/>
  <c r="T334" i="1"/>
  <c r="T338" i="1"/>
  <c r="T335" i="1"/>
  <c r="T336" i="1"/>
  <c r="T337" i="1"/>
  <c r="T340" i="1"/>
  <c r="T341" i="1"/>
  <c r="T342" i="1"/>
  <c r="T343" i="1"/>
  <c r="T347" i="1"/>
  <c r="T346" i="1"/>
  <c r="T344" i="1"/>
  <c r="T345" i="1"/>
  <c r="T348" i="1"/>
  <c r="T349" i="1"/>
  <c r="T350" i="1"/>
  <c r="T351" i="1"/>
  <c r="T352" i="1"/>
  <c r="T415" i="1"/>
  <c r="T353" i="1"/>
  <c r="T354" i="1"/>
  <c r="T355" i="1"/>
  <c r="T356" i="1"/>
  <c r="T357" i="1"/>
  <c r="T358" i="1"/>
  <c r="T362" i="1"/>
  <c r="T360" i="1"/>
  <c r="T361" i="1"/>
  <c r="T359" i="1"/>
  <c r="T363" i="1"/>
  <c r="T364" i="1"/>
  <c r="T365" i="1"/>
  <c r="T366" i="1"/>
  <c r="T367" i="1"/>
  <c r="T368" i="1"/>
  <c r="T369" i="1"/>
  <c r="T371" i="1"/>
  <c r="T370" i="1"/>
  <c r="T372" i="1"/>
  <c r="T373" i="1"/>
  <c r="T381" i="1"/>
  <c r="T374" i="1"/>
  <c r="T375" i="1"/>
  <c r="T382" i="1"/>
  <c r="T376" i="1"/>
  <c r="T383" i="1"/>
  <c r="T380" i="1"/>
  <c r="T377" i="1"/>
  <c r="T379" i="1"/>
  <c r="T384" i="1"/>
  <c r="T385" i="1"/>
  <c r="T386" i="1"/>
  <c r="T387" i="1"/>
  <c r="T390" i="1"/>
  <c r="T389" i="1"/>
  <c r="T388" i="1"/>
  <c r="T391" i="1"/>
  <c r="T392" i="1"/>
  <c r="T398" i="1"/>
  <c r="T393" i="1"/>
  <c r="T397" i="1"/>
  <c r="T394" i="1"/>
  <c r="T395" i="1"/>
  <c r="T396" i="1"/>
  <c r="T400" i="1"/>
  <c r="T399" i="1"/>
  <c r="T401" i="1"/>
  <c r="T405" i="1"/>
  <c r="T402" i="1"/>
  <c r="T403" i="1"/>
  <c r="T406" i="1"/>
  <c r="T407" i="1"/>
  <c r="T408" i="1"/>
  <c r="T409" i="1"/>
  <c r="T413" i="1"/>
  <c r="T411" i="1"/>
  <c r="T412" i="1"/>
  <c r="T404" i="1"/>
  <c r="T410" i="1"/>
  <c r="T416" i="1"/>
  <c r="T414" i="1"/>
  <c r="T418" i="1"/>
  <c r="T417" i="1"/>
  <c r="T419" i="1"/>
  <c r="T420" i="1"/>
  <c r="T421" i="1"/>
  <c r="T422" i="1"/>
  <c r="T424" i="1"/>
  <c r="T423" i="1"/>
  <c r="T425" i="1"/>
  <c r="T426" i="1"/>
  <c r="T431" i="1"/>
  <c r="T433" i="1"/>
  <c r="T427" i="1"/>
  <c r="T428" i="1"/>
  <c r="T430" i="1"/>
  <c r="T429" i="1"/>
  <c r="T435" i="1"/>
  <c r="T432" i="1"/>
  <c r="T434" i="1"/>
  <c r="T436" i="1"/>
  <c r="T445" i="1"/>
  <c r="T439" i="1"/>
  <c r="T437" i="1"/>
  <c r="T438" i="1"/>
  <c r="T440" i="1"/>
  <c r="T441" i="1"/>
  <c r="T442" i="1"/>
  <c r="T443" i="1"/>
  <c r="T444" i="1"/>
  <c r="T446" i="1"/>
  <c r="T448" i="1"/>
  <c r="T447" i="1"/>
  <c r="T449" i="1"/>
  <c r="T450" i="1"/>
  <c r="T451" i="1"/>
  <c r="T452" i="1"/>
  <c r="T454" i="1"/>
  <c r="T455" i="1"/>
  <c r="T453" i="1"/>
  <c r="T456" i="1"/>
  <c r="T457" i="1"/>
  <c r="T462" i="1"/>
  <c r="T459" i="1"/>
  <c r="T458" i="1"/>
  <c r="T460" i="1"/>
  <c r="T461" i="1"/>
  <c r="T464" i="1"/>
  <c r="T466" i="1"/>
  <c r="T463" i="1"/>
  <c r="T465" i="1"/>
  <c r="T469" i="1"/>
  <c r="T468" i="1"/>
  <c r="T467" i="1"/>
  <c r="T470" i="1"/>
  <c r="T471" i="1"/>
  <c r="T472" i="1"/>
  <c r="T474" i="1"/>
  <c r="T473" i="1"/>
  <c r="T475" i="1"/>
  <c r="T476" i="1"/>
  <c r="T477" i="1"/>
  <c r="T478" i="1"/>
  <c r="T481" i="1"/>
  <c r="T479" i="1"/>
  <c r="T480" i="1"/>
  <c r="T484" i="1"/>
  <c r="T482" i="1"/>
  <c r="T483" i="1"/>
  <c r="T486" i="1"/>
  <c r="T485" i="1"/>
  <c r="T487" i="1"/>
  <c r="T488" i="1"/>
  <c r="T489" i="1"/>
  <c r="T492" i="1"/>
  <c r="T490" i="1"/>
  <c r="T491" i="1"/>
  <c r="T495" i="1"/>
  <c r="T493" i="1"/>
  <c r="T494" i="1"/>
  <c r="T496" i="1"/>
  <c r="T497" i="1"/>
  <c r="T498" i="1"/>
  <c r="T500" i="1"/>
  <c r="T501" i="1"/>
  <c r="T502" i="1"/>
  <c r="T499" i="1"/>
  <c r="T503" i="1"/>
  <c r="T506" i="1"/>
  <c r="T504" i="1"/>
  <c r="T505" i="1"/>
  <c r="T507" i="1"/>
  <c r="T508" i="1"/>
  <c r="T512" i="1"/>
  <c r="T509" i="1"/>
  <c r="T510" i="1"/>
  <c r="T511" i="1"/>
  <c r="T514" i="1"/>
  <c r="T513" i="1"/>
  <c r="T515" i="1"/>
  <c r="T516" i="1"/>
  <c r="T518" i="1"/>
  <c r="T519" i="1"/>
  <c r="T517" i="1"/>
  <c r="T520" i="1"/>
  <c r="T521" i="1"/>
  <c r="T524" i="1"/>
  <c r="T523" i="1"/>
  <c r="T522" i="1"/>
  <c r="T529" i="1"/>
  <c r="T527" i="1"/>
  <c r="T528" i="1"/>
  <c r="T525" i="1"/>
  <c r="T526" i="1"/>
  <c r="T530" i="1"/>
  <c r="T531" i="1"/>
  <c r="T532" i="1"/>
  <c r="T535" i="1"/>
  <c r="T536" i="1"/>
  <c r="T539" i="1"/>
  <c r="T533" i="1"/>
  <c r="T534" i="1"/>
  <c r="T537" i="1"/>
  <c r="T538" i="1"/>
  <c r="T542" i="1"/>
  <c r="T541" i="1"/>
  <c r="T540" i="1"/>
  <c r="T544" i="1"/>
  <c r="T543" i="1"/>
  <c r="T545" i="1"/>
  <c r="T546" i="1"/>
  <c r="T547" i="1"/>
  <c r="T552" i="1"/>
  <c r="T550" i="1"/>
  <c r="T548" i="1"/>
  <c r="T549" i="1"/>
  <c r="T551" i="1"/>
  <c r="T555" i="1"/>
  <c r="T554" i="1"/>
  <c r="T553" i="1"/>
  <c r="T556" i="1"/>
  <c r="T557" i="1"/>
  <c r="T561" i="1"/>
  <c r="T562" i="1"/>
  <c r="T559" i="1"/>
  <c r="T560" i="1"/>
  <c r="T558" i="1"/>
  <c r="T564" i="1"/>
  <c r="T563" i="1"/>
  <c r="T565" i="1"/>
  <c r="T566" i="1"/>
  <c r="T567" i="1"/>
  <c r="T570" i="1"/>
  <c r="T568" i="1"/>
  <c r="T569" i="1"/>
  <c r="T571" i="1"/>
  <c r="T572" i="1"/>
  <c r="T573" i="1"/>
  <c r="T574" i="1"/>
  <c r="T575" i="1"/>
  <c r="T578" i="1"/>
  <c r="T576" i="1"/>
  <c r="T577" i="1"/>
  <c r="T593" i="1"/>
  <c r="T589" i="1"/>
  <c r="T582" i="1"/>
  <c r="T579" i="1"/>
  <c r="T580" i="1"/>
  <c r="T584" i="1"/>
  <c r="T585" i="1"/>
  <c r="T586" i="1"/>
  <c r="T587" i="1"/>
  <c r="T581" i="1"/>
  <c r="T588" i="1"/>
  <c r="T592" i="1"/>
  <c r="T583" i="1"/>
  <c r="T591" i="1"/>
  <c r="T590" i="1"/>
  <c r="T594" i="1"/>
  <c r="T596" i="1"/>
  <c r="T595" i="1"/>
  <c r="T603" i="1"/>
  <c r="T597" i="1"/>
  <c r="T600" i="1"/>
  <c r="T601" i="1"/>
  <c r="T598" i="1"/>
  <c r="T602" i="1"/>
  <c r="T599" i="1"/>
  <c r="T604" i="1"/>
  <c r="T605" i="1"/>
  <c r="T608" i="1"/>
  <c r="T609" i="1"/>
  <c r="T606" i="1"/>
  <c r="T607" i="1"/>
  <c r="T23" i="1"/>
  <c r="T24" i="1"/>
  <c r="T25" i="1"/>
  <c r="T28" i="1"/>
  <c r="T21" i="1"/>
  <c r="T26" i="1"/>
  <c r="T19" i="1"/>
  <c r="T2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50" i="1"/>
  <c r="T51" i="1"/>
  <c r="T48" i="1"/>
  <c r="T49" i="1"/>
  <c r="T52" i="1"/>
  <c r="X52" i="1" s="1"/>
  <c r="T18" i="1"/>
  <c r="E20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7" i="1"/>
  <c r="E21" i="1"/>
  <c r="E28" i="1"/>
  <c r="E29" i="1"/>
  <c r="E22" i="1"/>
  <c r="E24" i="1"/>
  <c r="E25" i="1"/>
  <c r="E30" i="1"/>
  <c r="E26" i="1"/>
  <c r="E31" i="1"/>
  <c r="E32" i="1"/>
  <c r="E33" i="1"/>
  <c r="E34" i="1"/>
  <c r="E35" i="1"/>
  <c r="E23" i="1"/>
  <c r="E36" i="1"/>
  <c r="E37" i="1"/>
  <c r="E38" i="1"/>
  <c r="E39" i="1"/>
  <c r="E40" i="1"/>
  <c r="E41" i="1"/>
  <c r="E42" i="1"/>
  <c r="E43" i="1"/>
  <c r="E44" i="1"/>
  <c r="E45" i="1"/>
  <c r="E46" i="1"/>
  <c r="E47" i="1"/>
  <c r="E50" i="1"/>
  <c r="E51" i="1"/>
  <c r="E48" i="1"/>
  <c r="E49" i="1"/>
  <c r="E52" i="1"/>
  <c r="E53" i="1"/>
  <c r="E61" i="1"/>
  <c r="E62" i="1"/>
  <c r="E54" i="1"/>
  <c r="E63" i="1"/>
  <c r="E64" i="1"/>
  <c r="E55" i="1"/>
  <c r="E56" i="1"/>
  <c r="E57" i="1"/>
  <c r="E58" i="1"/>
  <c r="E59" i="1"/>
  <c r="E60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92" i="1"/>
  <c r="E81" i="1"/>
  <c r="E82" i="1"/>
  <c r="E83" i="1"/>
  <c r="E88" i="1"/>
  <c r="E89" i="1"/>
  <c r="E84" i="1"/>
  <c r="E90" i="1"/>
  <c r="E91" i="1"/>
  <c r="E85" i="1"/>
  <c r="E86" i="1"/>
  <c r="E87" i="1"/>
  <c r="E93" i="1"/>
  <c r="E94" i="1"/>
  <c r="E95" i="1"/>
  <c r="E97" i="1"/>
  <c r="E98" i="1"/>
  <c r="E99" i="1"/>
  <c r="E100" i="1"/>
  <c r="E192" i="1"/>
  <c r="E96" i="1"/>
  <c r="E101" i="1"/>
  <c r="E187" i="1"/>
  <c r="E103" i="1"/>
  <c r="E106" i="1"/>
  <c r="E107" i="1"/>
  <c r="E104" i="1"/>
  <c r="E139" i="1"/>
  <c r="E105" i="1"/>
  <c r="E110" i="1"/>
  <c r="E111" i="1"/>
  <c r="E113" i="1"/>
  <c r="E114" i="1"/>
  <c r="E115" i="1"/>
  <c r="E120" i="1"/>
  <c r="E121" i="1"/>
  <c r="E116" i="1"/>
  <c r="E117" i="1"/>
  <c r="E118" i="1"/>
  <c r="E119" i="1"/>
  <c r="E112" i="1"/>
  <c r="E123" i="1"/>
  <c r="E124" i="1"/>
  <c r="E125" i="1"/>
  <c r="E126" i="1"/>
  <c r="E128" i="1"/>
  <c r="E129" i="1"/>
  <c r="E130" i="1"/>
  <c r="E131" i="1"/>
  <c r="E132" i="1"/>
  <c r="E133" i="1"/>
  <c r="E134" i="1"/>
  <c r="E135" i="1"/>
  <c r="E606" i="1"/>
  <c r="E607" i="1"/>
  <c r="E608" i="1"/>
  <c r="E609" i="1"/>
  <c r="E605" i="1"/>
  <c r="E597" i="1"/>
  <c r="E600" i="1"/>
  <c r="E601" i="1"/>
  <c r="E598" i="1"/>
  <c r="E602" i="1"/>
  <c r="E599" i="1"/>
  <c r="E603" i="1"/>
  <c r="E604" i="1"/>
  <c r="E595" i="1"/>
  <c r="E596" i="1"/>
  <c r="E594" i="1"/>
  <c r="E582" i="1"/>
  <c r="E579" i="1"/>
  <c r="E580" i="1"/>
  <c r="E583" i="1"/>
  <c r="E584" i="1"/>
  <c r="E585" i="1"/>
  <c r="E586" i="1"/>
  <c r="E587" i="1"/>
  <c r="E581" i="1"/>
  <c r="E588" i="1"/>
  <c r="E589" i="1"/>
  <c r="E591" i="1"/>
  <c r="E590" i="1"/>
  <c r="E592" i="1"/>
  <c r="E593" i="1"/>
  <c r="E576" i="1"/>
  <c r="E577" i="1"/>
  <c r="E578" i="1"/>
  <c r="E575" i="1"/>
  <c r="E574" i="1"/>
  <c r="E573" i="1"/>
  <c r="E572" i="1"/>
  <c r="E568" i="1"/>
  <c r="E569" i="1"/>
  <c r="E570" i="1"/>
  <c r="E571" i="1"/>
  <c r="E567" i="1"/>
  <c r="E566" i="1"/>
  <c r="E565" i="1"/>
  <c r="E559" i="1"/>
  <c r="E560" i="1"/>
  <c r="E558" i="1"/>
  <c r="E564" i="1"/>
  <c r="E561" i="1"/>
  <c r="E562" i="1"/>
  <c r="E563" i="1"/>
  <c r="E556" i="1"/>
  <c r="E557" i="1"/>
  <c r="E550" i="1"/>
  <c r="E548" i="1"/>
  <c r="E549" i="1"/>
  <c r="E551" i="1"/>
  <c r="E552" i="1"/>
  <c r="E553" i="1"/>
  <c r="E555" i="1"/>
  <c r="E554" i="1"/>
  <c r="E546" i="1"/>
  <c r="E547" i="1"/>
  <c r="E545" i="1"/>
  <c r="E544" i="1"/>
  <c r="E543" i="1"/>
  <c r="E535" i="1"/>
  <c r="E533" i="1"/>
  <c r="E534" i="1"/>
  <c r="E536" i="1"/>
  <c r="E537" i="1"/>
  <c r="E538" i="1"/>
  <c r="E542" i="1"/>
  <c r="E539" i="1"/>
  <c r="E540" i="1"/>
  <c r="E541" i="1"/>
  <c r="E531" i="1"/>
  <c r="E532" i="1"/>
  <c r="E527" i="1"/>
  <c r="E528" i="1"/>
  <c r="E525" i="1"/>
  <c r="E526" i="1"/>
  <c r="E529" i="1"/>
  <c r="E530" i="1"/>
  <c r="E517" i="1"/>
  <c r="E518" i="1"/>
  <c r="E519" i="1"/>
  <c r="E520" i="1"/>
  <c r="E521" i="1"/>
  <c r="E522" i="1"/>
  <c r="E524" i="1"/>
  <c r="E523" i="1"/>
  <c r="E516" i="1"/>
  <c r="E515" i="1"/>
  <c r="E509" i="1"/>
  <c r="E510" i="1"/>
  <c r="E511" i="1"/>
  <c r="E514" i="1"/>
  <c r="E512" i="1"/>
  <c r="E513" i="1"/>
  <c r="E508" i="1"/>
  <c r="E504" i="1"/>
  <c r="E505" i="1"/>
  <c r="E506" i="1"/>
  <c r="E507" i="1"/>
  <c r="E497" i="1"/>
  <c r="E498" i="1"/>
  <c r="E499" i="1"/>
  <c r="E500" i="1"/>
  <c r="E501" i="1"/>
  <c r="E502" i="1"/>
  <c r="E503" i="1"/>
  <c r="E496" i="1"/>
  <c r="E492" i="1"/>
  <c r="E490" i="1"/>
  <c r="E491" i="1"/>
  <c r="E495" i="1"/>
  <c r="E493" i="1"/>
  <c r="E494" i="1"/>
  <c r="E488" i="1"/>
  <c r="E489" i="1"/>
  <c r="E487" i="1"/>
  <c r="E482" i="1"/>
  <c r="E483" i="1"/>
  <c r="E484" i="1"/>
  <c r="E486" i="1"/>
  <c r="E485" i="1"/>
  <c r="E479" i="1"/>
  <c r="E480" i="1"/>
  <c r="E481" i="1"/>
  <c r="E478" i="1"/>
  <c r="E477" i="1"/>
  <c r="E474" i="1"/>
  <c r="E473" i="1"/>
  <c r="E475" i="1"/>
  <c r="E476" i="1"/>
  <c r="E472" i="1"/>
  <c r="E471" i="1"/>
  <c r="E468" i="1"/>
  <c r="E467" i="1"/>
  <c r="E469" i="1"/>
  <c r="E470" i="1"/>
  <c r="E459" i="1"/>
  <c r="E458" i="1"/>
  <c r="E460" i="1"/>
  <c r="E461" i="1"/>
  <c r="E462" i="1"/>
  <c r="E463" i="1"/>
  <c r="E464" i="1"/>
  <c r="E465" i="1"/>
  <c r="E466" i="1"/>
  <c r="E457" i="1"/>
  <c r="E456" i="1"/>
  <c r="E452" i="1"/>
  <c r="E454" i="1"/>
  <c r="E455" i="1"/>
  <c r="E453" i="1"/>
  <c r="E451" i="1"/>
  <c r="E450" i="1"/>
  <c r="E449" i="1"/>
  <c r="E447" i="1"/>
  <c r="E448" i="1"/>
  <c r="E439" i="1"/>
  <c r="E437" i="1"/>
  <c r="E438" i="1"/>
  <c r="E440" i="1"/>
  <c r="E441" i="1"/>
  <c r="E442" i="1"/>
  <c r="E443" i="1"/>
  <c r="E444" i="1"/>
  <c r="E445" i="1"/>
  <c r="E446" i="1"/>
  <c r="E436" i="1"/>
  <c r="E427" i="1"/>
  <c r="E428" i="1"/>
  <c r="E430" i="1"/>
  <c r="E429" i="1"/>
  <c r="E431" i="1"/>
  <c r="E435" i="1"/>
  <c r="E432" i="1"/>
  <c r="E433" i="1"/>
  <c r="E434" i="1"/>
  <c r="E425" i="1"/>
  <c r="E426" i="1"/>
  <c r="E424" i="1"/>
  <c r="E423" i="1"/>
  <c r="E422" i="1"/>
  <c r="E421" i="1"/>
  <c r="E420" i="1"/>
  <c r="E419" i="1"/>
  <c r="E414" i="1"/>
  <c r="E416" i="1"/>
  <c r="E418" i="1"/>
  <c r="E417" i="1"/>
  <c r="E405" i="1"/>
  <c r="E402" i="1"/>
  <c r="E404" i="1"/>
  <c r="E403" i="1"/>
  <c r="E406" i="1"/>
  <c r="E407" i="1"/>
  <c r="E408" i="1"/>
  <c r="E409" i="1"/>
  <c r="E410" i="1"/>
  <c r="E413" i="1"/>
  <c r="E411" i="1"/>
  <c r="E412" i="1"/>
  <c r="E401" i="1"/>
  <c r="E400" i="1"/>
  <c r="E399" i="1"/>
  <c r="E389" i="1"/>
  <c r="E388" i="1"/>
  <c r="E390" i="1"/>
  <c r="E391" i="1"/>
  <c r="E392" i="1"/>
  <c r="E398" i="1"/>
  <c r="E393" i="1"/>
  <c r="E394" i="1"/>
  <c r="E395" i="1"/>
  <c r="E396" i="1"/>
  <c r="E397" i="1"/>
  <c r="E387" i="1"/>
  <c r="E385" i="1"/>
  <c r="E386" i="1"/>
  <c r="E384" i="1"/>
  <c r="E373" i="1"/>
  <c r="E374" i="1"/>
  <c r="E375" i="1"/>
  <c r="E382" i="1"/>
  <c r="E376" i="1"/>
  <c r="E377" i="1"/>
  <c r="E379" i="1"/>
  <c r="E383" i="1"/>
  <c r="E380" i="1"/>
  <c r="E381" i="1"/>
  <c r="E372" i="1"/>
  <c r="E370" i="1"/>
  <c r="E371" i="1"/>
  <c r="E366" i="1"/>
  <c r="E367" i="1"/>
  <c r="E368" i="1"/>
  <c r="E369" i="1"/>
  <c r="E364" i="1"/>
  <c r="E365" i="1"/>
  <c r="E363" i="1"/>
  <c r="E359" i="1"/>
  <c r="E360" i="1"/>
  <c r="E361" i="1"/>
  <c r="E362" i="1"/>
  <c r="E358" i="1"/>
  <c r="E356" i="1"/>
  <c r="E357" i="1"/>
  <c r="E354" i="1"/>
  <c r="E355" i="1"/>
  <c r="E346" i="1"/>
  <c r="E344" i="1"/>
  <c r="E345" i="1"/>
  <c r="E347" i="1"/>
  <c r="E348" i="1"/>
  <c r="E349" i="1"/>
  <c r="E350" i="1"/>
  <c r="E351" i="1"/>
  <c r="E352" i="1"/>
  <c r="E415" i="1"/>
  <c r="E353" i="1"/>
  <c r="E342" i="1"/>
  <c r="E343" i="1"/>
  <c r="E340" i="1"/>
  <c r="E341" i="1"/>
  <c r="E333" i="1"/>
  <c r="E331" i="1"/>
  <c r="E332" i="1"/>
  <c r="E334" i="1"/>
  <c r="E335" i="1"/>
  <c r="E336" i="1"/>
  <c r="E337" i="1"/>
  <c r="E338" i="1"/>
  <c r="E339" i="1"/>
  <c r="E330" i="1"/>
  <c r="E329" i="1"/>
  <c r="E325" i="1"/>
  <c r="E327" i="1"/>
  <c r="E326" i="1"/>
  <c r="E328" i="1"/>
  <c r="E317" i="1"/>
  <c r="E318" i="1"/>
  <c r="E309" i="1"/>
  <c r="E292" i="1"/>
  <c r="E293" i="1"/>
  <c r="E294" i="1"/>
  <c r="E295" i="1"/>
  <c r="E296" i="1"/>
  <c r="E297" i="1"/>
  <c r="E307" i="1"/>
  <c r="E308" i="1"/>
  <c r="E298" i="1"/>
  <c r="E299" i="1"/>
  <c r="E300" i="1"/>
  <c r="E305" i="1"/>
  <c r="E306" i="1"/>
  <c r="E290" i="1"/>
  <c r="E289" i="1"/>
  <c r="E288" i="1"/>
  <c r="E285" i="1"/>
  <c r="E286" i="1"/>
  <c r="E284" i="1"/>
  <c r="E287" i="1"/>
  <c r="E278" i="1"/>
  <c r="E279" i="1"/>
  <c r="E277" i="1"/>
  <c r="E280" i="1"/>
  <c r="E283" i="1"/>
  <c r="E281" i="1"/>
  <c r="E282" i="1"/>
  <c r="E276" i="1"/>
  <c r="E275" i="1"/>
  <c r="E273" i="1"/>
  <c r="E274" i="1"/>
  <c r="E265" i="1"/>
  <c r="E264" i="1"/>
  <c r="E266" i="1"/>
  <c r="E267" i="1"/>
  <c r="E268" i="1"/>
  <c r="E269" i="1"/>
  <c r="E271" i="1"/>
  <c r="E272" i="1"/>
  <c r="E270" i="1"/>
  <c r="E263" i="1"/>
  <c r="E262" i="1"/>
  <c r="E258" i="1"/>
  <c r="E261" i="1"/>
  <c r="E259" i="1"/>
  <c r="E260" i="1"/>
  <c r="E252" i="1"/>
  <c r="E247" i="1"/>
  <c r="E226" i="1"/>
  <c r="E227" i="1"/>
  <c r="E228" i="1"/>
  <c r="E229" i="1"/>
  <c r="E230" i="1"/>
  <c r="E231" i="1"/>
  <c r="E239" i="1"/>
  <c r="E240" i="1"/>
  <c r="E232" i="1"/>
  <c r="E233" i="1"/>
  <c r="E234" i="1"/>
  <c r="E241" i="1"/>
  <c r="E225" i="1"/>
  <c r="E224" i="1"/>
  <c r="E220" i="1"/>
  <c r="E221" i="1"/>
  <c r="E222" i="1"/>
  <c r="E223" i="1"/>
  <c r="E219" i="1"/>
  <c r="E217" i="1"/>
  <c r="E218" i="1"/>
  <c r="E216" i="1"/>
  <c r="E214" i="1"/>
  <c r="E215" i="1"/>
  <c r="E213" i="1"/>
  <c r="E205" i="1"/>
  <c r="E204" i="1"/>
  <c r="E206" i="1"/>
  <c r="E207" i="1"/>
  <c r="E210" i="1"/>
  <c r="E208" i="1"/>
  <c r="E209" i="1"/>
  <c r="E211" i="1"/>
  <c r="E203" i="1"/>
  <c r="E202" i="1"/>
  <c r="E201" i="1"/>
  <c r="E212" i="1"/>
  <c r="E197" i="1"/>
  <c r="E198" i="1"/>
  <c r="E200" i="1"/>
  <c r="E199" i="1"/>
  <c r="E378" i="1"/>
  <c r="E196" i="1"/>
  <c r="E188" i="1"/>
  <c r="E189" i="1"/>
  <c r="E190" i="1"/>
  <c r="E195" i="1"/>
  <c r="E191" i="1"/>
  <c r="E193" i="1"/>
  <c r="E194" i="1"/>
  <c r="E183" i="1"/>
  <c r="E184" i="1"/>
  <c r="E185" i="1"/>
  <c r="E186" i="1"/>
  <c r="E181" i="1"/>
  <c r="E175" i="1"/>
  <c r="E170" i="1"/>
  <c r="E166" i="1"/>
  <c r="E165" i="1"/>
  <c r="E162" i="1"/>
  <c r="E145" i="1"/>
  <c r="E146" i="1"/>
  <c r="E143" i="1"/>
  <c r="E144" i="1"/>
  <c r="E147" i="1"/>
  <c r="E148" i="1"/>
  <c r="E149" i="1"/>
  <c r="E160" i="1"/>
  <c r="E161" i="1"/>
  <c r="E150" i="1"/>
  <c r="E151" i="1"/>
  <c r="E152" i="1"/>
  <c r="E153" i="1"/>
  <c r="E158" i="1"/>
  <c r="E159" i="1"/>
  <c r="E142" i="1"/>
  <c r="E137" i="1"/>
  <c r="E138" i="1"/>
  <c r="E141" i="1"/>
  <c r="E140" i="1"/>
  <c r="E136" i="1"/>
  <c r="AM16" i="41"/>
  <c r="AI16" i="41"/>
  <c r="AH16" i="41"/>
  <c r="AG16" i="41"/>
  <c r="AF16" i="41"/>
  <c r="AE16" i="41"/>
  <c r="U16" i="41"/>
  <c r="T16" i="41"/>
  <c r="S16" i="41"/>
  <c r="C16" i="41"/>
  <c r="F61" i="48"/>
  <c r="K2" i="48"/>
  <c r="K3" i="48"/>
  <c r="K4" i="48"/>
  <c r="K5" i="48"/>
  <c r="K6" i="48"/>
  <c r="K7" i="48"/>
  <c r="K8" i="48"/>
  <c r="K9" i="48"/>
  <c r="K10" i="48"/>
  <c r="K11" i="48"/>
  <c r="K12" i="48"/>
  <c r="K13" i="48"/>
  <c r="K14" i="48"/>
  <c r="K15" i="48"/>
  <c r="K16" i="48"/>
  <c r="K17" i="48"/>
  <c r="K18" i="48"/>
  <c r="K19" i="48"/>
  <c r="K20" i="48"/>
  <c r="K21" i="48"/>
  <c r="K22" i="48"/>
  <c r="K23" i="48"/>
  <c r="K24" i="48"/>
  <c r="K25" i="48"/>
  <c r="K26" i="48"/>
  <c r="K27" i="48"/>
  <c r="K28" i="48"/>
  <c r="K29" i="48"/>
  <c r="K30" i="48"/>
  <c r="K31" i="48"/>
  <c r="K32" i="48"/>
  <c r="K33" i="48"/>
  <c r="K34" i="48"/>
  <c r="K35" i="48"/>
  <c r="K36" i="48"/>
  <c r="K37" i="48"/>
  <c r="K38" i="48"/>
  <c r="K39" i="48"/>
  <c r="K40" i="48"/>
  <c r="K41" i="48"/>
  <c r="K42" i="48"/>
  <c r="K43" i="48"/>
  <c r="K44" i="48"/>
  <c r="K45" i="48"/>
  <c r="K46" i="48"/>
  <c r="K47" i="48"/>
  <c r="K48" i="48"/>
  <c r="K49" i="48"/>
  <c r="K50" i="48"/>
  <c r="K51" i="48"/>
  <c r="K52" i="48"/>
  <c r="K53" i="48"/>
  <c r="K54" i="48"/>
  <c r="K55" i="48"/>
  <c r="K56" i="48"/>
  <c r="K57" i="48"/>
  <c r="K58" i="48"/>
  <c r="K59" i="48"/>
  <c r="K60" i="48"/>
  <c r="G2" i="48"/>
  <c r="G3" i="48"/>
  <c r="G4" i="48"/>
  <c r="G5" i="48"/>
  <c r="G6" i="48"/>
  <c r="G7" i="48"/>
  <c r="G8" i="48"/>
  <c r="G9" i="48"/>
  <c r="G10" i="48"/>
  <c r="G11" i="48"/>
  <c r="G12" i="48"/>
  <c r="G13" i="48"/>
  <c r="G14" i="48"/>
  <c r="G15" i="48"/>
  <c r="G16" i="48"/>
  <c r="G17" i="48"/>
  <c r="G18" i="48"/>
  <c r="G19" i="48"/>
  <c r="G20" i="48"/>
  <c r="G21" i="48"/>
  <c r="G22" i="48"/>
  <c r="G23" i="48"/>
  <c r="G24" i="48"/>
  <c r="G25" i="48"/>
  <c r="G26" i="48"/>
  <c r="G27" i="48"/>
  <c r="G28" i="48"/>
  <c r="G29" i="48"/>
  <c r="G30" i="48"/>
  <c r="G31" i="48"/>
  <c r="G32" i="48"/>
  <c r="G33" i="48"/>
  <c r="G34" i="48"/>
  <c r="G35" i="48"/>
  <c r="G36" i="48"/>
  <c r="G37" i="48"/>
  <c r="G38" i="48"/>
  <c r="G39" i="48"/>
  <c r="G40" i="48"/>
  <c r="G41" i="48"/>
  <c r="G42" i="48"/>
  <c r="G43" i="48"/>
  <c r="G44" i="48"/>
  <c r="G45" i="48"/>
  <c r="G46" i="48"/>
  <c r="G47" i="48"/>
  <c r="G48" i="48"/>
  <c r="H48" i="48" s="1"/>
  <c r="I48" i="48" s="1"/>
  <c r="G49" i="48"/>
  <c r="G50" i="48"/>
  <c r="H50" i="48" s="1"/>
  <c r="I50" i="48" s="1"/>
  <c r="G51" i="48"/>
  <c r="G52" i="48"/>
  <c r="G53" i="48"/>
  <c r="G54" i="48"/>
  <c r="H54" i="48" s="1"/>
  <c r="I54" i="48" s="1"/>
  <c r="G55" i="48"/>
  <c r="G56" i="48"/>
  <c r="G57" i="48"/>
  <c r="G58" i="48"/>
  <c r="G59" i="48"/>
  <c r="G60" i="48"/>
  <c r="W3" i="48"/>
  <c r="W4" i="48"/>
  <c r="W5" i="48"/>
  <c r="W6" i="48"/>
  <c r="W7" i="48"/>
  <c r="W8" i="48"/>
  <c r="W9" i="48"/>
  <c r="W10" i="48"/>
  <c r="W11" i="48"/>
  <c r="W12" i="48"/>
  <c r="W13" i="48"/>
  <c r="W14" i="48"/>
  <c r="W15" i="48"/>
  <c r="W16" i="48"/>
  <c r="W17" i="48"/>
  <c r="W18" i="48"/>
  <c r="W19" i="48"/>
  <c r="W20" i="48"/>
  <c r="W21" i="48"/>
  <c r="W22" i="48"/>
  <c r="W23" i="48"/>
  <c r="W24" i="48"/>
  <c r="W25" i="48"/>
  <c r="W26" i="48"/>
  <c r="W27" i="48"/>
  <c r="W28" i="48"/>
  <c r="W29" i="48"/>
  <c r="W30" i="48"/>
  <c r="W32" i="48"/>
  <c r="W34" i="48"/>
  <c r="W35" i="48"/>
  <c r="W36" i="48"/>
  <c r="W37" i="48"/>
  <c r="W38" i="48"/>
  <c r="W39" i="48"/>
  <c r="W40" i="48"/>
  <c r="W41" i="48"/>
  <c r="W42" i="48"/>
  <c r="W43" i="48"/>
  <c r="W44" i="48"/>
  <c r="W45" i="48"/>
  <c r="W46" i="48"/>
  <c r="W47" i="48"/>
  <c r="W55" i="48"/>
  <c r="W56" i="48"/>
  <c r="W57" i="48"/>
  <c r="W58" i="48"/>
  <c r="W59" i="48"/>
  <c r="E2" i="48"/>
  <c r="E3" i="48"/>
  <c r="E4" i="48"/>
  <c r="E5" i="48"/>
  <c r="E6" i="48"/>
  <c r="E7" i="48"/>
  <c r="E8" i="48"/>
  <c r="E9" i="48"/>
  <c r="E10" i="48"/>
  <c r="E11" i="48"/>
  <c r="E12" i="48"/>
  <c r="E13" i="48"/>
  <c r="E14" i="48"/>
  <c r="E15" i="48"/>
  <c r="E16" i="48"/>
  <c r="E17" i="48"/>
  <c r="E18" i="48"/>
  <c r="E19" i="48"/>
  <c r="E20" i="48"/>
  <c r="E21" i="48"/>
  <c r="E22" i="48"/>
  <c r="E23" i="48"/>
  <c r="E24" i="48"/>
  <c r="E25" i="48"/>
  <c r="E26" i="48"/>
  <c r="E27" i="48"/>
  <c r="E28" i="48"/>
  <c r="E29" i="48"/>
  <c r="E30" i="48"/>
  <c r="E31" i="48"/>
  <c r="E32" i="48"/>
  <c r="E33" i="48"/>
  <c r="E34" i="48"/>
  <c r="E35" i="48"/>
  <c r="E36" i="48"/>
  <c r="E37" i="48"/>
  <c r="E38" i="48"/>
  <c r="E39" i="48"/>
  <c r="E40" i="48"/>
  <c r="E41" i="48"/>
  <c r="E42" i="48"/>
  <c r="E43" i="48"/>
  <c r="E44" i="48"/>
  <c r="E45" i="48"/>
  <c r="E46" i="48"/>
  <c r="E47" i="48"/>
  <c r="E48" i="48"/>
  <c r="E49" i="48"/>
  <c r="E50" i="48"/>
  <c r="E51" i="48"/>
  <c r="E52" i="48"/>
  <c r="E53" i="48"/>
  <c r="E54" i="48"/>
  <c r="E55" i="48"/>
  <c r="E56" i="48"/>
  <c r="E57" i="48"/>
  <c r="E58" i="48"/>
  <c r="E59" i="48"/>
  <c r="E60" i="48"/>
  <c r="D2" i="48"/>
  <c r="D3" i="48"/>
  <c r="D4" i="48"/>
  <c r="D5" i="48"/>
  <c r="D6" i="48"/>
  <c r="D7" i="48"/>
  <c r="D8" i="48"/>
  <c r="D9" i="48"/>
  <c r="D10" i="48"/>
  <c r="D11" i="48"/>
  <c r="D12" i="48"/>
  <c r="D13" i="48"/>
  <c r="D14" i="48"/>
  <c r="D15" i="48"/>
  <c r="D16" i="48"/>
  <c r="D17" i="48"/>
  <c r="D18" i="48"/>
  <c r="D19" i="48"/>
  <c r="D20" i="48"/>
  <c r="D21" i="48"/>
  <c r="D22" i="48"/>
  <c r="D23" i="48"/>
  <c r="D24" i="48"/>
  <c r="D25" i="48"/>
  <c r="D26" i="48"/>
  <c r="D27" i="48"/>
  <c r="D28" i="48"/>
  <c r="D29" i="48"/>
  <c r="D30" i="48"/>
  <c r="D31" i="48"/>
  <c r="D32" i="48"/>
  <c r="D33" i="48"/>
  <c r="D34" i="48"/>
  <c r="D35" i="48"/>
  <c r="D36" i="48"/>
  <c r="D37" i="48"/>
  <c r="D38" i="48"/>
  <c r="D39" i="48"/>
  <c r="D40" i="48"/>
  <c r="D41" i="48"/>
  <c r="D42" i="48"/>
  <c r="D43" i="48"/>
  <c r="D44" i="48"/>
  <c r="D45" i="48"/>
  <c r="D46" i="48"/>
  <c r="D47" i="48"/>
  <c r="D48" i="48"/>
  <c r="D49" i="48"/>
  <c r="D50" i="48"/>
  <c r="D51" i="48"/>
  <c r="D52" i="48"/>
  <c r="D53" i="48"/>
  <c r="D54" i="48"/>
  <c r="D55" i="48"/>
  <c r="D56" i="48"/>
  <c r="D57" i="48"/>
  <c r="D58" i="48"/>
  <c r="D59" i="48"/>
  <c r="D60" i="48"/>
  <c r="B48" i="48"/>
  <c r="B49" i="48"/>
  <c r="B50" i="48"/>
  <c r="B51" i="48"/>
  <c r="B52" i="48"/>
  <c r="B53" i="48"/>
  <c r="B54" i="48"/>
  <c r="B3" i="48"/>
  <c r="B4" i="48"/>
  <c r="B5" i="48"/>
  <c r="B6" i="48"/>
  <c r="B7" i="48"/>
  <c r="B8" i="48"/>
  <c r="B9" i="48"/>
  <c r="B10" i="48"/>
  <c r="B11" i="48"/>
  <c r="B12" i="48"/>
  <c r="B13" i="48"/>
  <c r="B14" i="48"/>
  <c r="B15" i="48"/>
  <c r="B16" i="48"/>
  <c r="B17" i="48"/>
  <c r="B18" i="48"/>
  <c r="B19" i="48"/>
  <c r="B20" i="48"/>
  <c r="B21" i="48"/>
  <c r="B22" i="48"/>
  <c r="B23" i="48"/>
  <c r="B24" i="48"/>
  <c r="B25" i="48"/>
  <c r="B26" i="48"/>
  <c r="B27" i="48"/>
  <c r="B28" i="48"/>
  <c r="B29" i="48"/>
  <c r="B30" i="48"/>
  <c r="B31" i="48"/>
  <c r="B32" i="48"/>
  <c r="B33" i="48"/>
  <c r="B34" i="48"/>
  <c r="B35" i="48"/>
  <c r="B36" i="48"/>
  <c r="B37" i="48"/>
  <c r="B38" i="48"/>
  <c r="B39" i="48"/>
  <c r="B40" i="48"/>
  <c r="B41" i="48"/>
  <c r="B42" i="48"/>
  <c r="B43" i="48"/>
  <c r="B44" i="48"/>
  <c r="B45" i="48"/>
  <c r="B46" i="48"/>
  <c r="B47" i="48"/>
  <c r="B55" i="48"/>
  <c r="B56" i="48"/>
  <c r="B57" i="48"/>
  <c r="B58" i="48"/>
  <c r="B59" i="48"/>
  <c r="B60" i="48"/>
  <c r="B2" i="48"/>
  <c r="J42" i="48" l="1"/>
  <c r="J54" i="48"/>
  <c r="N54" i="48" s="1"/>
  <c r="J8" i="48"/>
  <c r="J20" i="48"/>
  <c r="J11" i="48"/>
  <c r="J31" i="48"/>
  <c r="J43" i="48"/>
  <c r="J55" i="48"/>
  <c r="J9" i="48"/>
  <c r="J21" i="48"/>
  <c r="J32" i="48"/>
  <c r="J44" i="48"/>
  <c r="J56" i="48"/>
  <c r="J10" i="48"/>
  <c r="J22" i="48"/>
  <c r="J57" i="48"/>
  <c r="J23" i="48"/>
  <c r="J7" i="48"/>
  <c r="J33" i="48"/>
  <c r="J45" i="48"/>
  <c r="J34" i="48"/>
  <c r="J46" i="48"/>
  <c r="J58" i="48"/>
  <c r="J12" i="48"/>
  <c r="J24" i="48"/>
  <c r="J29" i="48"/>
  <c r="J18" i="48"/>
  <c r="J35" i="48"/>
  <c r="J47" i="48"/>
  <c r="J59" i="48"/>
  <c r="J13" i="48"/>
  <c r="J25" i="48"/>
  <c r="J40" i="48"/>
  <c r="J41" i="48"/>
  <c r="J36" i="48"/>
  <c r="J48" i="48"/>
  <c r="M48" i="48" s="1"/>
  <c r="J60" i="48"/>
  <c r="J14" i="48"/>
  <c r="J26" i="48"/>
  <c r="J17" i="48"/>
  <c r="J2" i="48"/>
  <c r="J37" i="48"/>
  <c r="J49" i="48"/>
  <c r="L49" i="48" s="1"/>
  <c r="J3" i="48"/>
  <c r="J15" i="48"/>
  <c r="J27" i="48"/>
  <c r="J5" i="48"/>
  <c r="J30" i="48"/>
  <c r="J38" i="48"/>
  <c r="J50" i="48"/>
  <c r="L50" i="48" s="1"/>
  <c r="J4" i="48"/>
  <c r="J16" i="48"/>
  <c r="J28" i="48"/>
  <c r="J51" i="48"/>
  <c r="L51" i="48" s="1"/>
  <c r="J6" i="48"/>
  <c r="J19" i="48"/>
  <c r="J39" i="48"/>
  <c r="J52" i="48"/>
  <c r="L52" i="48" s="1"/>
  <c r="J53" i="48"/>
  <c r="N53" i="48" s="1"/>
  <c r="H51" i="48"/>
  <c r="I51" i="48" s="1"/>
  <c r="H49" i="48"/>
  <c r="I49" i="48" s="1"/>
  <c r="H52" i="48"/>
  <c r="I52" i="48" s="1"/>
  <c r="H53" i="48"/>
  <c r="I53" i="48" s="1"/>
  <c r="AE15" i="41"/>
  <c r="AF15" i="41"/>
  <c r="AG15" i="41"/>
  <c r="AH15" i="41"/>
  <c r="AI15" i="41"/>
  <c r="AM15" i="41"/>
  <c r="S15" i="41"/>
  <c r="T15" i="41"/>
  <c r="U15" i="41"/>
  <c r="C15" i="41"/>
  <c r="D15" i="41"/>
  <c r="AE14" i="41"/>
  <c r="AF14" i="41"/>
  <c r="AG14" i="41"/>
  <c r="AH14" i="41"/>
  <c r="AI14" i="41"/>
  <c r="AM14" i="41"/>
  <c r="S14" i="41"/>
  <c r="T14" i="41"/>
  <c r="U14" i="41"/>
  <c r="C14" i="41"/>
  <c r="D14" i="41"/>
  <c r="AE13" i="41"/>
  <c r="AF13" i="41"/>
  <c r="AG13" i="41"/>
  <c r="AH13" i="41"/>
  <c r="AI13" i="41"/>
  <c r="AM13" i="41"/>
  <c r="S13" i="41"/>
  <c r="T13" i="41"/>
  <c r="U13" i="41"/>
  <c r="C13" i="41"/>
  <c r="AA61" i="48"/>
  <c r="AB61" i="48"/>
  <c r="AC61" i="48"/>
  <c r="AD61" i="48"/>
  <c r="AF61" i="48"/>
  <c r="AI61" i="48"/>
  <c r="AJ61" i="48"/>
  <c r="AK61" i="48"/>
  <c r="AL61" i="48"/>
  <c r="AR61" i="48"/>
  <c r="AS61" i="48"/>
  <c r="AT61" i="48"/>
  <c r="AV61" i="48"/>
  <c r="M49" i="48" l="1"/>
  <c r="N49" i="48"/>
  <c r="L54" i="48"/>
  <c r="M54" i="48"/>
  <c r="L48" i="48"/>
  <c r="M50" i="48"/>
  <c r="L53" i="48"/>
  <c r="J61" i="48"/>
  <c r="N48" i="48"/>
  <c r="N50" i="48"/>
  <c r="M51" i="48"/>
  <c r="N51" i="48"/>
  <c r="N52" i="48"/>
  <c r="M53" i="48"/>
  <c r="M52" i="48"/>
  <c r="AF5" i="1"/>
  <c r="AG5" i="1"/>
  <c r="AH5" i="1"/>
  <c r="AI5" i="1"/>
  <c r="AJ5" i="1"/>
  <c r="AF6" i="1"/>
  <c r="AG6" i="1"/>
  <c r="AH6" i="1"/>
  <c r="AI6" i="1"/>
  <c r="AJ6" i="1"/>
  <c r="AF7" i="1"/>
  <c r="AG7" i="1"/>
  <c r="AH7" i="1"/>
  <c r="AI7" i="1"/>
  <c r="AJ7" i="1"/>
  <c r="AF8" i="1"/>
  <c r="AG8" i="1"/>
  <c r="AH8" i="1"/>
  <c r="AI8" i="1"/>
  <c r="AJ8" i="1"/>
  <c r="AF9" i="1"/>
  <c r="AG9" i="1"/>
  <c r="AH9" i="1"/>
  <c r="AI9" i="1"/>
  <c r="AJ9" i="1"/>
  <c r="AF10" i="1"/>
  <c r="AG10" i="1"/>
  <c r="AH10" i="1"/>
  <c r="AI10" i="1"/>
  <c r="AJ10" i="1"/>
  <c r="AF11" i="1"/>
  <c r="AG11" i="1"/>
  <c r="AH11" i="1"/>
  <c r="AI11" i="1"/>
  <c r="AJ11" i="1"/>
  <c r="AF12" i="1"/>
  <c r="AG12" i="1"/>
  <c r="AH12" i="1"/>
  <c r="AI12" i="1"/>
  <c r="AJ12" i="1"/>
  <c r="AF13" i="1"/>
  <c r="AG13" i="1"/>
  <c r="AH13" i="1"/>
  <c r="AI13" i="1"/>
  <c r="AJ13" i="1"/>
  <c r="AF14" i="1"/>
  <c r="AG14" i="1"/>
  <c r="AH14" i="1"/>
  <c r="AI14" i="1"/>
  <c r="AJ14" i="1"/>
  <c r="AF15" i="1"/>
  <c r="AG15" i="1"/>
  <c r="AH15" i="1"/>
  <c r="AI15" i="1"/>
  <c r="AJ15" i="1"/>
  <c r="AF16" i="1"/>
  <c r="AG16" i="1"/>
  <c r="AH16" i="1"/>
  <c r="AI16" i="1"/>
  <c r="AJ16" i="1"/>
  <c r="AF17" i="1"/>
  <c r="AG17" i="1"/>
  <c r="AH17" i="1"/>
  <c r="AI17" i="1"/>
  <c r="AJ17" i="1"/>
  <c r="AF18" i="1"/>
  <c r="AG18" i="1"/>
  <c r="AH18" i="1"/>
  <c r="AI18" i="1"/>
  <c r="AJ18" i="1"/>
  <c r="AF19" i="1"/>
  <c r="AG19" i="1"/>
  <c r="AH19" i="1"/>
  <c r="AI19" i="1"/>
  <c r="AJ19" i="1"/>
  <c r="AF27" i="1"/>
  <c r="AG27" i="1"/>
  <c r="AH27" i="1"/>
  <c r="AI27" i="1"/>
  <c r="AJ27" i="1"/>
  <c r="AF20" i="1"/>
  <c r="AG20" i="1"/>
  <c r="AH20" i="1"/>
  <c r="AI20" i="1"/>
  <c r="AJ20" i="1"/>
  <c r="AF21" i="1"/>
  <c r="AG21" i="1"/>
  <c r="AH21" i="1"/>
  <c r="AI21" i="1"/>
  <c r="AJ21" i="1"/>
  <c r="AF28" i="1"/>
  <c r="AG28" i="1"/>
  <c r="AH28" i="1"/>
  <c r="X20" i="17" s="1"/>
  <c r="AI28" i="1"/>
  <c r="AJ28" i="1"/>
  <c r="AF29" i="1"/>
  <c r="AG29" i="1"/>
  <c r="AH29" i="1"/>
  <c r="AI29" i="1"/>
  <c r="AJ29" i="1"/>
  <c r="AF34" i="1"/>
  <c r="AG34" i="1"/>
  <c r="AH34" i="1"/>
  <c r="AI34" i="1"/>
  <c r="AJ34" i="1"/>
  <c r="AF67" i="1"/>
  <c r="AG67" i="1"/>
  <c r="AH67" i="1"/>
  <c r="AI67" i="1"/>
  <c r="AJ67" i="1"/>
  <c r="AF125" i="1"/>
  <c r="AG125" i="1"/>
  <c r="AH125" i="1"/>
  <c r="AI125" i="1"/>
  <c r="AJ125" i="1"/>
  <c r="AF30" i="1"/>
  <c r="AG30" i="1"/>
  <c r="AH30" i="1"/>
  <c r="AI30" i="1"/>
  <c r="AJ30" i="1"/>
  <c r="AF26" i="1"/>
  <c r="AG26" i="1"/>
  <c r="AH26" i="1"/>
  <c r="AI26" i="1"/>
  <c r="AJ26" i="1"/>
  <c r="AF31" i="1"/>
  <c r="AG31" i="1"/>
  <c r="AH31" i="1"/>
  <c r="AI31" i="1"/>
  <c r="AJ31" i="1"/>
  <c r="AF42" i="1"/>
  <c r="AG42" i="1"/>
  <c r="AH42" i="1"/>
  <c r="AI42" i="1"/>
  <c r="AJ42" i="1"/>
  <c r="AF75" i="1"/>
  <c r="AG75" i="1"/>
  <c r="AH75" i="1"/>
  <c r="AI75" i="1"/>
  <c r="AJ75" i="1"/>
  <c r="AF130" i="1"/>
  <c r="AG130" i="1"/>
  <c r="AH130" i="1"/>
  <c r="AI130" i="1"/>
  <c r="AJ130" i="1"/>
  <c r="AF35" i="1"/>
  <c r="AG35" i="1"/>
  <c r="AH35" i="1"/>
  <c r="AI35" i="1"/>
  <c r="AJ35" i="1"/>
  <c r="AF68" i="1"/>
  <c r="AG68" i="1"/>
  <c r="AH68" i="1"/>
  <c r="AI68" i="1"/>
  <c r="AJ68" i="1"/>
  <c r="AF123" i="1"/>
  <c r="AG123" i="1"/>
  <c r="AH123" i="1"/>
  <c r="AI123" i="1"/>
  <c r="AJ123" i="1"/>
  <c r="AF32" i="1"/>
  <c r="AG32" i="1"/>
  <c r="AH32" i="1"/>
  <c r="AI32" i="1"/>
  <c r="AJ32" i="1"/>
  <c r="AF65" i="1"/>
  <c r="AG65" i="1"/>
  <c r="AH65" i="1"/>
  <c r="AI65" i="1"/>
  <c r="AJ65" i="1"/>
  <c r="AF116" i="1"/>
  <c r="AG116" i="1"/>
  <c r="AH116" i="1"/>
  <c r="AI116" i="1"/>
  <c r="AJ116" i="1"/>
  <c r="AF33" i="1"/>
  <c r="AG33" i="1"/>
  <c r="AH33" i="1"/>
  <c r="AI33" i="1"/>
  <c r="AJ33" i="1"/>
  <c r="AF66" i="1"/>
  <c r="AG66" i="1"/>
  <c r="AH66" i="1"/>
  <c r="AI66" i="1"/>
  <c r="AJ66" i="1"/>
  <c r="AF117" i="1"/>
  <c r="AG117" i="1"/>
  <c r="AH117" i="1"/>
  <c r="AI117" i="1"/>
  <c r="AJ117" i="1"/>
  <c r="AF22" i="1"/>
  <c r="AG22" i="1"/>
  <c r="AH22" i="1"/>
  <c r="AI22" i="1"/>
  <c r="AJ22" i="1"/>
  <c r="AF55" i="1"/>
  <c r="AG55" i="1"/>
  <c r="AH55" i="1"/>
  <c r="AI55" i="1"/>
  <c r="AJ55" i="1"/>
  <c r="AF113" i="1"/>
  <c r="AG113" i="1"/>
  <c r="AH113" i="1"/>
  <c r="AI113" i="1"/>
  <c r="AJ113" i="1"/>
  <c r="AF46" i="1"/>
  <c r="AG46" i="1"/>
  <c r="AH46" i="1"/>
  <c r="AI46" i="1"/>
  <c r="AJ46" i="1"/>
  <c r="AF47" i="1"/>
  <c r="AG47" i="1"/>
  <c r="AH47" i="1"/>
  <c r="AI47" i="1"/>
  <c r="AJ47" i="1"/>
  <c r="AF50" i="1"/>
  <c r="AG50" i="1"/>
  <c r="AH50" i="1"/>
  <c r="AI50" i="1"/>
  <c r="AJ50" i="1"/>
  <c r="AF51" i="1"/>
  <c r="AG51" i="1"/>
  <c r="AH51" i="1"/>
  <c r="AI51" i="1"/>
  <c r="AJ51" i="1"/>
  <c r="AF48" i="1"/>
  <c r="AG48" i="1"/>
  <c r="AH48" i="1"/>
  <c r="AI48" i="1"/>
  <c r="AJ48" i="1"/>
  <c r="AF49" i="1"/>
  <c r="AG49" i="1"/>
  <c r="AH49" i="1"/>
  <c r="AI49" i="1"/>
  <c r="AJ49" i="1"/>
  <c r="AF52" i="1"/>
  <c r="AG52" i="1"/>
  <c r="AH52" i="1"/>
  <c r="AI52" i="1"/>
  <c r="AJ52" i="1"/>
  <c r="AF53" i="1"/>
  <c r="AG53" i="1"/>
  <c r="AH53" i="1"/>
  <c r="AI53" i="1"/>
  <c r="AJ53" i="1"/>
  <c r="AF61" i="1"/>
  <c r="AG61" i="1"/>
  <c r="AH61" i="1"/>
  <c r="AI61" i="1"/>
  <c r="AJ61" i="1"/>
  <c r="AF62" i="1"/>
  <c r="AG62" i="1"/>
  <c r="AH62" i="1"/>
  <c r="AI62" i="1"/>
  <c r="AJ62" i="1"/>
  <c r="AF54" i="1"/>
  <c r="AG54" i="1"/>
  <c r="AH54" i="1"/>
  <c r="AI54" i="1"/>
  <c r="AJ54" i="1"/>
  <c r="AF63" i="1"/>
  <c r="AG63" i="1"/>
  <c r="AH63" i="1"/>
  <c r="AI63" i="1"/>
  <c r="AJ63" i="1"/>
  <c r="AF64" i="1"/>
  <c r="AG64" i="1"/>
  <c r="AH64" i="1"/>
  <c r="AI64" i="1"/>
  <c r="AJ64" i="1"/>
  <c r="AF43" i="1"/>
  <c r="AG43" i="1"/>
  <c r="AH43" i="1"/>
  <c r="AI43" i="1"/>
  <c r="AJ43" i="1"/>
  <c r="AF76" i="1"/>
  <c r="AG76" i="1"/>
  <c r="AH76" i="1"/>
  <c r="AI76" i="1"/>
  <c r="AJ76" i="1"/>
  <c r="AF131" i="1"/>
  <c r="AG131" i="1"/>
  <c r="AH131" i="1"/>
  <c r="AI131" i="1"/>
  <c r="AJ131" i="1"/>
  <c r="AF37" i="1"/>
  <c r="AG37" i="1"/>
  <c r="AH37" i="1"/>
  <c r="AI37" i="1"/>
  <c r="AJ37" i="1"/>
  <c r="AF59" i="1"/>
  <c r="AG59" i="1"/>
  <c r="AH59" i="1"/>
  <c r="AI59" i="1"/>
  <c r="AJ59" i="1"/>
  <c r="AF60" i="1"/>
  <c r="AG60" i="1"/>
  <c r="AH60" i="1"/>
  <c r="AI60" i="1"/>
  <c r="AJ60" i="1"/>
  <c r="AF70" i="1"/>
  <c r="AG70" i="1"/>
  <c r="AH70" i="1"/>
  <c r="AI70" i="1"/>
  <c r="AJ70" i="1"/>
  <c r="AF126" i="1"/>
  <c r="AG126" i="1"/>
  <c r="AH126" i="1"/>
  <c r="AI126" i="1"/>
  <c r="AJ126" i="1"/>
  <c r="AF38" i="1"/>
  <c r="AG38" i="1"/>
  <c r="AH38" i="1"/>
  <c r="AI38" i="1"/>
  <c r="AJ38" i="1"/>
  <c r="AF71" i="1"/>
  <c r="AG71" i="1"/>
  <c r="AH71" i="1"/>
  <c r="AI71" i="1"/>
  <c r="AJ71" i="1"/>
  <c r="AF127" i="1"/>
  <c r="AG127" i="1"/>
  <c r="AH127" i="1"/>
  <c r="AI127" i="1"/>
  <c r="AJ127" i="1"/>
  <c r="AF39" i="1"/>
  <c r="AG39" i="1"/>
  <c r="AH39" i="1"/>
  <c r="AI39" i="1"/>
  <c r="AJ39" i="1"/>
  <c r="AF72" i="1"/>
  <c r="AG72" i="1"/>
  <c r="AH72" i="1"/>
  <c r="AI72" i="1"/>
  <c r="AJ72" i="1"/>
  <c r="AF128" i="1"/>
  <c r="AG128" i="1"/>
  <c r="AH128" i="1"/>
  <c r="AI128" i="1"/>
  <c r="AJ128" i="1"/>
  <c r="AF40" i="1"/>
  <c r="AG40" i="1"/>
  <c r="AH40" i="1"/>
  <c r="AI40" i="1"/>
  <c r="AJ40" i="1"/>
  <c r="AF73" i="1"/>
  <c r="AG73" i="1"/>
  <c r="AH73" i="1"/>
  <c r="AI73" i="1"/>
  <c r="AJ73" i="1"/>
  <c r="AF129" i="1"/>
  <c r="AG129" i="1"/>
  <c r="AH129" i="1"/>
  <c r="AI129" i="1"/>
  <c r="AJ129" i="1"/>
  <c r="AF23" i="1"/>
  <c r="AG23" i="1"/>
  <c r="AH23" i="1"/>
  <c r="AI23" i="1"/>
  <c r="AJ23" i="1"/>
  <c r="AF56" i="1"/>
  <c r="AG56" i="1"/>
  <c r="AH56" i="1"/>
  <c r="AI56" i="1"/>
  <c r="AJ56" i="1"/>
  <c r="AF118" i="1"/>
  <c r="AG118" i="1"/>
  <c r="AH118" i="1"/>
  <c r="AI118" i="1"/>
  <c r="AJ118" i="1"/>
  <c r="AF79" i="1"/>
  <c r="AG79" i="1"/>
  <c r="AH79" i="1"/>
  <c r="AI79" i="1"/>
  <c r="AJ79" i="1"/>
  <c r="AF80" i="1"/>
  <c r="AG80" i="1"/>
  <c r="AH80" i="1"/>
  <c r="AI80" i="1"/>
  <c r="AJ80" i="1"/>
  <c r="AF92" i="1"/>
  <c r="AG92" i="1"/>
  <c r="AH92" i="1"/>
  <c r="AI92" i="1"/>
  <c r="AJ92" i="1"/>
  <c r="AF81" i="1"/>
  <c r="AG81" i="1"/>
  <c r="AH81" i="1"/>
  <c r="AI81" i="1"/>
  <c r="AJ81" i="1"/>
  <c r="AF82" i="1"/>
  <c r="AG82" i="1"/>
  <c r="AH82" i="1"/>
  <c r="AI82" i="1"/>
  <c r="AJ82" i="1"/>
  <c r="AF83" i="1"/>
  <c r="AG83" i="1"/>
  <c r="AH83" i="1"/>
  <c r="AI83" i="1"/>
  <c r="AJ83" i="1"/>
  <c r="AF88" i="1"/>
  <c r="AG88" i="1"/>
  <c r="AH88" i="1"/>
  <c r="AI88" i="1"/>
  <c r="AJ88" i="1"/>
  <c r="AF89" i="1"/>
  <c r="AG89" i="1"/>
  <c r="AH89" i="1"/>
  <c r="AI89" i="1"/>
  <c r="AJ89" i="1"/>
  <c r="AF84" i="1"/>
  <c r="AG84" i="1"/>
  <c r="AH84" i="1"/>
  <c r="AI84" i="1"/>
  <c r="AJ84" i="1"/>
  <c r="AF90" i="1"/>
  <c r="AG90" i="1"/>
  <c r="AH90" i="1"/>
  <c r="AI90" i="1"/>
  <c r="AJ90" i="1"/>
  <c r="AF91" i="1"/>
  <c r="AG91" i="1"/>
  <c r="AH91" i="1"/>
  <c r="AI91" i="1"/>
  <c r="AJ91" i="1"/>
  <c r="AF85" i="1"/>
  <c r="AG85" i="1"/>
  <c r="AH85" i="1"/>
  <c r="AI85" i="1"/>
  <c r="AJ85" i="1"/>
  <c r="AF86" i="1"/>
  <c r="AG86" i="1"/>
  <c r="AH86" i="1"/>
  <c r="AI86" i="1"/>
  <c r="AJ86" i="1"/>
  <c r="AF87" i="1"/>
  <c r="AG87" i="1"/>
  <c r="AH87" i="1"/>
  <c r="AI87" i="1"/>
  <c r="AJ87" i="1"/>
  <c r="AF93" i="1"/>
  <c r="AG93" i="1"/>
  <c r="AH93" i="1"/>
  <c r="AI93" i="1"/>
  <c r="AJ93" i="1"/>
  <c r="AF94" i="1"/>
  <c r="AG94" i="1"/>
  <c r="AH94" i="1"/>
  <c r="AI94" i="1"/>
  <c r="AJ94" i="1"/>
  <c r="AF95" i="1"/>
  <c r="AG95" i="1"/>
  <c r="AH95" i="1"/>
  <c r="AI95" i="1"/>
  <c r="AJ95" i="1"/>
  <c r="AF97" i="1"/>
  <c r="AG97" i="1"/>
  <c r="AH97" i="1"/>
  <c r="AI97" i="1"/>
  <c r="AJ97" i="1"/>
  <c r="AF98" i="1"/>
  <c r="AG98" i="1"/>
  <c r="AH98" i="1"/>
  <c r="AI98" i="1"/>
  <c r="AJ98" i="1"/>
  <c r="AF99" i="1"/>
  <c r="AG99" i="1"/>
  <c r="AH99" i="1"/>
  <c r="AI99" i="1"/>
  <c r="AJ99" i="1"/>
  <c r="AF100" i="1"/>
  <c r="AG100" i="1"/>
  <c r="AH100" i="1"/>
  <c r="AI100" i="1"/>
  <c r="AJ100" i="1"/>
  <c r="AF192" i="1"/>
  <c r="AG192" i="1"/>
  <c r="AH192" i="1"/>
  <c r="AI192" i="1"/>
  <c r="AJ192" i="1"/>
  <c r="AF96" i="1"/>
  <c r="AG96" i="1"/>
  <c r="AH96" i="1"/>
  <c r="AI96" i="1"/>
  <c r="AJ96" i="1"/>
  <c r="AF101" i="1"/>
  <c r="AG101" i="1"/>
  <c r="AH101" i="1"/>
  <c r="AI101" i="1"/>
  <c r="AJ101" i="1"/>
  <c r="AF187" i="1"/>
  <c r="AG187" i="1"/>
  <c r="AH187" i="1"/>
  <c r="AI187" i="1"/>
  <c r="AJ187" i="1"/>
  <c r="AF103" i="1"/>
  <c r="AG103" i="1"/>
  <c r="AH103" i="1"/>
  <c r="AI103" i="1"/>
  <c r="AJ103" i="1"/>
  <c r="AF106" i="1"/>
  <c r="AG106" i="1"/>
  <c r="AH106" i="1"/>
  <c r="AI106" i="1"/>
  <c r="AJ106" i="1"/>
  <c r="AF107" i="1"/>
  <c r="AG107" i="1"/>
  <c r="AH107" i="1"/>
  <c r="AI107" i="1"/>
  <c r="AJ107" i="1"/>
  <c r="AF104" i="1"/>
  <c r="AG104" i="1"/>
  <c r="AH104" i="1"/>
  <c r="AI104" i="1"/>
  <c r="AJ104" i="1"/>
  <c r="AF139" i="1"/>
  <c r="AG139" i="1"/>
  <c r="AH139" i="1"/>
  <c r="AI139" i="1"/>
  <c r="AJ139" i="1"/>
  <c r="AF105" i="1"/>
  <c r="AG105" i="1"/>
  <c r="AH105" i="1"/>
  <c r="AI105" i="1"/>
  <c r="AJ105" i="1"/>
  <c r="AF110" i="1"/>
  <c r="AG110" i="1"/>
  <c r="AH110" i="1"/>
  <c r="AI110" i="1"/>
  <c r="AJ110" i="1"/>
  <c r="AF111" i="1"/>
  <c r="AG111" i="1"/>
  <c r="AH111" i="1"/>
  <c r="AI111" i="1"/>
  <c r="AJ111" i="1"/>
  <c r="AF44" i="1"/>
  <c r="AG44" i="1"/>
  <c r="AH44" i="1"/>
  <c r="AI44" i="1"/>
  <c r="AJ44" i="1"/>
  <c r="AF77" i="1"/>
  <c r="AG77" i="1"/>
  <c r="AH77" i="1"/>
  <c r="AI77" i="1"/>
  <c r="AJ77" i="1"/>
  <c r="AF115" i="1"/>
  <c r="AG115" i="1"/>
  <c r="AH115" i="1"/>
  <c r="AI115" i="1"/>
  <c r="AJ115" i="1"/>
  <c r="AF120" i="1"/>
  <c r="AG120" i="1"/>
  <c r="AH120" i="1"/>
  <c r="AI120" i="1"/>
  <c r="AJ120" i="1"/>
  <c r="AF121" i="1"/>
  <c r="AG121" i="1"/>
  <c r="AH121" i="1"/>
  <c r="AI121" i="1"/>
  <c r="AJ121" i="1"/>
  <c r="AF132" i="1"/>
  <c r="AG132" i="1"/>
  <c r="AH132" i="1"/>
  <c r="AI132" i="1"/>
  <c r="AJ132" i="1"/>
  <c r="AF36" i="1"/>
  <c r="AG36" i="1"/>
  <c r="AH36" i="1"/>
  <c r="AI36" i="1"/>
  <c r="AJ36" i="1"/>
  <c r="AF69" i="1"/>
  <c r="AG69" i="1"/>
  <c r="AH69" i="1"/>
  <c r="AI69" i="1"/>
  <c r="AJ69" i="1"/>
  <c r="AF124" i="1"/>
  <c r="AG124" i="1"/>
  <c r="AH124" i="1"/>
  <c r="AI124" i="1"/>
  <c r="AJ124" i="1"/>
  <c r="AF112" i="1"/>
  <c r="AG112" i="1"/>
  <c r="AH112" i="1"/>
  <c r="AI112" i="1"/>
  <c r="AJ112" i="1"/>
  <c r="AF24" i="1"/>
  <c r="AG24" i="1"/>
  <c r="AH24" i="1"/>
  <c r="AI24" i="1"/>
  <c r="AJ24" i="1"/>
  <c r="AF57" i="1"/>
  <c r="AG57" i="1"/>
  <c r="AH57" i="1"/>
  <c r="AI57" i="1"/>
  <c r="AJ57" i="1"/>
  <c r="AF114" i="1"/>
  <c r="AG114" i="1"/>
  <c r="AH114" i="1"/>
  <c r="AI114" i="1"/>
  <c r="AJ114" i="1"/>
  <c r="AF41" i="1"/>
  <c r="AG41" i="1"/>
  <c r="AH41" i="1"/>
  <c r="AI41" i="1"/>
  <c r="AJ41" i="1"/>
  <c r="AF74" i="1"/>
  <c r="AG74" i="1"/>
  <c r="AH74" i="1"/>
  <c r="AI74" i="1"/>
  <c r="AJ74" i="1"/>
  <c r="AF133" i="1"/>
  <c r="AG133" i="1"/>
  <c r="AH133" i="1"/>
  <c r="AI133" i="1"/>
  <c r="AJ133" i="1"/>
  <c r="AF45" i="1"/>
  <c r="AG45" i="1"/>
  <c r="AH45" i="1"/>
  <c r="AI45" i="1"/>
  <c r="AJ45" i="1"/>
  <c r="AF78" i="1"/>
  <c r="AG78" i="1"/>
  <c r="AH78" i="1"/>
  <c r="AI78" i="1"/>
  <c r="AJ78" i="1"/>
  <c r="AF134" i="1"/>
  <c r="AG134" i="1"/>
  <c r="AH134" i="1"/>
  <c r="AI134" i="1"/>
  <c r="AJ134" i="1"/>
  <c r="AF25" i="1"/>
  <c r="AG25" i="1"/>
  <c r="AH25" i="1"/>
  <c r="AI25" i="1"/>
  <c r="AJ25" i="1"/>
  <c r="AF58" i="1"/>
  <c r="AG58" i="1"/>
  <c r="AH58" i="1"/>
  <c r="AI58" i="1"/>
  <c r="AJ58" i="1"/>
  <c r="AF119" i="1"/>
  <c r="AG119" i="1"/>
  <c r="AH119" i="1"/>
  <c r="AI119" i="1"/>
  <c r="AJ119" i="1"/>
  <c r="AF135" i="1"/>
  <c r="AG135" i="1"/>
  <c r="AH135" i="1"/>
  <c r="AI135" i="1"/>
  <c r="AJ135" i="1"/>
  <c r="AF136" i="1"/>
  <c r="AG136" i="1"/>
  <c r="AH136" i="1"/>
  <c r="AI136" i="1"/>
  <c r="AJ136" i="1"/>
  <c r="AF137" i="1"/>
  <c r="AG137" i="1"/>
  <c r="AH137" i="1"/>
  <c r="AI137" i="1"/>
  <c r="AJ137" i="1"/>
  <c r="AF138" i="1"/>
  <c r="AG138" i="1"/>
  <c r="AH138" i="1"/>
  <c r="AI138" i="1"/>
  <c r="AJ138" i="1"/>
  <c r="AF141" i="1"/>
  <c r="AG141" i="1"/>
  <c r="AH141" i="1"/>
  <c r="AI141" i="1"/>
  <c r="AJ141" i="1"/>
  <c r="AF140" i="1"/>
  <c r="AG140" i="1"/>
  <c r="AH140" i="1"/>
  <c r="AI140" i="1"/>
  <c r="AJ140" i="1"/>
  <c r="AF142" i="1"/>
  <c r="AG142" i="1"/>
  <c r="AH142" i="1"/>
  <c r="AI142" i="1"/>
  <c r="AJ142" i="1"/>
  <c r="AF145" i="1"/>
  <c r="AG145" i="1"/>
  <c r="AH145" i="1"/>
  <c r="AI145" i="1"/>
  <c r="AJ145" i="1"/>
  <c r="AF146" i="1"/>
  <c r="AG146" i="1"/>
  <c r="AH146" i="1"/>
  <c r="AI146" i="1"/>
  <c r="AJ146" i="1"/>
  <c r="AF143" i="1"/>
  <c r="AG143" i="1"/>
  <c r="AH143" i="1"/>
  <c r="AI143" i="1"/>
  <c r="AJ143" i="1"/>
  <c r="AF144" i="1"/>
  <c r="AG144" i="1"/>
  <c r="AH144" i="1"/>
  <c r="AI144" i="1"/>
  <c r="AJ144" i="1"/>
  <c r="AF147" i="1"/>
  <c r="AG147" i="1"/>
  <c r="AH147" i="1"/>
  <c r="AI147" i="1"/>
  <c r="AJ147" i="1"/>
  <c r="AF148" i="1"/>
  <c r="AG148" i="1"/>
  <c r="AH148" i="1"/>
  <c r="AI148" i="1"/>
  <c r="AJ148" i="1"/>
  <c r="AF149" i="1"/>
  <c r="AG149" i="1"/>
  <c r="AH149" i="1"/>
  <c r="AI149" i="1"/>
  <c r="AJ149" i="1"/>
  <c r="AF160" i="1"/>
  <c r="AG160" i="1"/>
  <c r="AH160" i="1"/>
  <c r="AI160" i="1"/>
  <c r="AJ160" i="1"/>
  <c r="AF161" i="1"/>
  <c r="AG161" i="1"/>
  <c r="AH161" i="1"/>
  <c r="AI161" i="1"/>
  <c r="AJ161" i="1"/>
  <c r="AF150" i="1"/>
  <c r="AG150" i="1"/>
  <c r="AH150" i="1"/>
  <c r="AI150" i="1"/>
  <c r="AJ150" i="1"/>
  <c r="AF151" i="1"/>
  <c r="AG151" i="1"/>
  <c r="AH151" i="1"/>
  <c r="AI151" i="1"/>
  <c r="AJ151" i="1"/>
  <c r="AF152" i="1"/>
  <c r="AG152" i="1"/>
  <c r="AH152" i="1"/>
  <c r="AI152" i="1"/>
  <c r="AJ152" i="1"/>
  <c r="AF153" i="1"/>
  <c r="AG153" i="1"/>
  <c r="AH153" i="1"/>
  <c r="AI153" i="1"/>
  <c r="AJ153" i="1"/>
  <c r="AF158" i="1"/>
  <c r="AG158" i="1"/>
  <c r="AH158" i="1"/>
  <c r="AI158" i="1"/>
  <c r="AJ158" i="1"/>
  <c r="AF159" i="1"/>
  <c r="AG159" i="1"/>
  <c r="AH159" i="1"/>
  <c r="AI159" i="1"/>
  <c r="AJ159" i="1"/>
  <c r="AF165" i="1"/>
  <c r="AG165" i="1"/>
  <c r="AH165" i="1"/>
  <c r="AI165" i="1"/>
  <c r="AJ165" i="1"/>
  <c r="AF162" i="1"/>
  <c r="AG162" i="1"/>
  <c r="AH162" i="1"/>
  <c r="AI162" i="1"/>
  <c r="AJ162" i="1"/>
  <c r="AF166" i="1"/>
  <c r="AG166" i="1"/>
  <c r="AH166" i="1"/>
  <c r="AI166" i="1"/>
  <c r="AJ166" i="1"/>
  <c r="AF170" i="1"/>
  <c r="AG170" i="1"/>
  <c r="AH170" i="1"/>
  <c r="AI170" i="1"/>
  <c r="AJ170" i="1"/>
  <c r="AF175" i="1"/>
  <c r="AG175" i="1"/>
  <c r="AH175" i="1"/>
  <c r="AI175" i="1"/>
  <c r="AJ175" i="1"/>
  <c r="AF181" i="1"/>
  <c r="AG181" i="1"/>
  <c r="AH181" i="1"/>
  <c r="AI181" i="1"/>
  <c r="AJ181" i="1"/>
  <c r="AF183" i="1"/>
  <c r="AG183" i="1"/>
  <c r="AH183" i="1"/>
  <c r="AI183" i="1"/>
  <c r="AJ183" i="1"/>
  <c r="AF184" i="1"/>
  <c r="AG184" i="1"/>
  <c r="AH184" i="1"/>
  <c r="AI184" i="1"/>
  <c r="AJ184" i="1"/>
  <c r="AF185" i="1"/>
  <c r="AG185" i="1"/>
  <c r="AH185" i="1"/>
  <c r="AI185" i="1"/>
  <c r="AJ185" i="1"/>
  <c r="AF186" i="1"/>
  <c r="AG186" i="1"/>
  <c r="AH186" i="1"/>
  <c r="AI186" i="1"/>
  <c r="AJ186" i="1"/>
  <c r="AF188" i="1"/>
  <c r="AG188" i="1"/>
  <c r="AH188" i="1"/>
  <c r="AI188" i="1"/>
  <c r="AJ188" i="1"/>
  <c r="AF189" i="1"/>
  <c r="AG189" i="1"/>
  <c r="AH189" i="1"/>
  <c r="AI189" i="1"/>
  <c r="AJ189" i="1"/>
  <c r="AF190" i="1"/>
  <c r="AG190" i="1"/>
  <c r="AH190" i="1"/>
  <c r="AI190" i="1"/>
  <c r="AJ190" i="1"/>
  <c r="AF195" i="1"/>
  <c r="AG195" i="1"/>
  <c r="AH195" i="1"/>
  <c r="AI195" i="1"/>
  <c r="AJ195" i="1"/>
  <c r="AF191" i="1"/>
  <c r="AG191" i="1"/>
  <c r="AH191" i="1"/>
  <c r="AI191" i="1"/>
  <c r="AJ191" i="1"/>
  <c r="AF193" i="1"/>
  <c r="AG193" i="1"/>
  <c r="AH193" i="1"/>
  <c r="AI193" i="1"/>
  <c r="AJ193" i="1"/>
  <c r="AF194" i="1"/>
  <c r="AG194" i="1"/>
  <c r="AH194" i="1"/>
  <c r="AI194" i="1"/>
  <c r="AJ194" i="1"/>
  <c r="AF196" i="1"/>
  <c r="AG196" i="1"/>
  <c r="AH196" i="1"/>
  <c r="AI196" i="1"/>
  <c r="AJ196" i="1"/>
  <c r="AF197" i="1"/>
  <c r="AG197" i="1"/>
  <c r="AH197" i="1"/>
  <c r="AI197" i="1"/>
  <c r="AJ197" i="1"/>
  <c r="AF198" i="1"/>
  <c r="AG198" i="1"/>
  <c r="AH198" i="1"/>
  <c r="AI198" i="1"/>
  <c r="AJ198" i="1"/>
  <c r="AF200" i="1"/>
  <c r="AG200" i="1"/>
  <c r="AH200" i="1"/>
  <c r="AI200" i="1"/>
  <c r="AJ200" i="1"/>
  <c r="AF199" i="1"/>
  <c r="AG199" i="1"/>
  <c r="AH199" i="1"/>
  <c r="AI199" i="1"/>
  <c r="AJ199" i="1"/>
  <c r="AF378" i="1"/>
  <c r="AG378" i="1"/>
  <c r="AH378" i="1"/>
  <c r="AI378" i="1"/>
  <c r="AJ378" i="1"/>
  <c r="AF201" i="1"/>
  <c r="AG201" i="1"/>
  <c r="AH201" i="1"/>
  <c r="AI201" i="1"/>
  <c r="AJ201" i="1"/>
  <c r="AF212" i="1"/>
  <c r="AG212" i="1"/>
  <c r="AH212" i="1"/>
  <c r="AI212" i="1"/>
  <c r="AJ212" i="1"/>
  <c r="AF202" i="1"/>
  <c r="AG202" i="1"/>
  <c r="AH202" i="1"/>
  <c r="AI202" i="1"/>
  <c r="AJ202" i="1"/>
  <c r="AF203" i="1"/>
  <c r="AG203" i="1"/>
  <c r="AH203" i="1"/>
  <c r="AI203" i="1"/>
  <c r="AJ203" i="1"/>
  <c r="AF205" i="1"/>
  <c r="AG205" i="1"/>
  <c r="AH205" i="1"/>
  <c r="AI205" i="1"/>
  <c r="AJ205" i="1"/>
  <c r="AF204" i="1"/>
  <c r="AG204" i="1"/>
  <c r="AH204" i="1"/>
  <c r="AI204" i="1"/>
  <c r="AJ204" i="1"/>
  <c r="AF206" i="1"/>
  <c r="AG206" i="1"/>
  <c r="AH206" i="1"/>
  <c r="AI206" i="1"/>
  <c r="AJ206" i="1"/>
  <c r="AF207" i="1"/>
  <c r="AG207" i="1"/>
  <c r="AH207" i="1"/>
  <c r="AI207" i="1"/>
  <c r="AJ207" i="1"/>
  <c r="AF210" i="1"/>
  <c r="AG210" i="1"/>
  <c r="AH210" i="1"/>
  <c r="AI210" i="1"/>
  <c r="AJ210" i="1"/>
  <c r="AF208" i="1"/>
  <c r="AG208" i="1"/>
  <c r="AH208" i="1"/>
  <c r="AI208" i="1"/>
  <c r="AJ208" i="1"/>
  <c r="AF209" i="1"/>
  <c r="AG209" i="1"/>
  <c r="AH209" i="1"/>
  <c r="AI209" i="1"/>
  <c r="AJ209" i="1"/>
  <c r="AF211" i="1"/>
  <c r="AG211" i="1"/>
  <c r="AH211" i="1"/>
  <c r="AI211" i="1"/>
  <c r="AJ211" i="1"/>
  <c r="AF213" i="1"/>
  <c r="AG213" i="1"/>
  <c r="AH213" i="1"/>
  <c r="AI213" i="1"/>
  <c r="AJ213" i="1"/>
  <c r="AF214" i="1"/>
  <c r="AG214" i="1"/>
  <c r="AH214" i="1"/>
  <c r="AI214" i="1"/>
  <c r="AJ214" i="1"/>
  <c r="AF215" i="1"/>
  <c r="AG215" i="1"/>
  <c r="AH215" i="1"/>
  <c r="AI215" i="1"/>
  <c r="AJ215" i="1"/>
  <c r="AF216" i="1"/>
  <c r="AG216" i="1"/>
  <c r="AH216" i="1"/>
  <c r="AI216" i="1"/>
  <c r="AJ216" i="1"/>
  <c r="AF217" i="1"/>
  <c r="AG217" i="1"/>
  <c r="AH217" i="1"/>
  <c r="AI217" i="1"/>
  <c r="AJ217" i="1"/>
  <c r="AF218" i="1"/>
  <c r="AG218" i="1"/>
  <c r="AH218" i="1"/>
  <c r="AI218" i="1"/>
  <c r="AJ218" i="1"/>
  <c r="AF219" i="1"/>
  <c r="AG219" i="1"/>
  <c r="AH219" i="1"/>
  <c r="AI219" i="1"/>
  <c r="AJ219" i="1"/>
  <c r="AF224" i="1"/>
  <c r="AG224" i="1"/>
  <c r="AH224" i="1"/>
  <c r="AI224" i="1"/>
  <c r="AJ224" i="1"/>
  <c r="AF220" i="1"/>
  <c r="AG220" i="1"/>
  <c r="AH220" i="1"/>
  <c r="AI220" i="1"/>
  <c r="AJ220" i="1"/>
  <c r="AF221" i="1"/>
  <c r="AG221" i="1"/>
  <c r="AH221" i="1"/>
  <c r="AI221" i="1"/>
  <c r="AJ221" i="1"/>
  <c r="AF222" i="1"/>
  <c r="AG222" i="1"/>
  <c r="AH222" i="1"/>
  <c r="AI222" i="1"/>
  <c r="AJ222" i="1"/>
  <c r="AF223" i="1"/>
  <c r="AG223" i="1"/>
  <c r="AH223" i="1"/>
  <c r="AI223" i="1"/>
  <c r="AJ223" i="1"/>
  <c r="AF225" i="1"/>
  <c r="AG225" i="1"/>
  <c r="AH225" i="1"/>
  <c r="AI225" i="1"/>
  <c r="AJ225" i="1"/>
  <c r="AF226" i="1"/>
  <c r="AG226" i="1"/>
  <c r="AH226" i="1"/>
  <c r="AI226" i="1"/>
  <c r="AJ226" i="1"/>
  <c r="AF227" i="1"/>
  <c r="AG227" i="1"/>
  <c r="AH227" i="1"/>
  <c r="AI227" i="1"/>
  <c r="AJ227" i="1"/>
  <c r="AF228" i="1"/>
  <c r="AG228" i="1"/>
  <c r="AH228" i="1"/>
  <c r="AI228" i="1"/>
  <c r="AJ228" i="1"/>
  <c r="AF229" i="1"/>
  <c r="AG229" i="1"/>
  <c r="AH229" i="1"/>
  <c r="AI229" i="1"/>
  <c r="AJ229" i="1"/>
  <c r="AF230" i="1"/>
  <c r="AG230" i="1"/>
  <c r="AH230" i="1"/>
  <c r="AI230" i="1"/>
  <c r="AJ230" i="1"/>
  <c r="AF231" i="1"/>
  <c r="AG231" i="1"/>
  <c r="AH231" i="1"/>
  <c r="AI231" i="1"/>
  <c r="AJ231" i="1"/>
  <c r="AF239" i="1"/>
  <c r="AG239" i="1"/>
  <c r="AH239" i="1"/>
  <c r="AI239" i="1"/>
  <c r="AJ239" i="1"/>
  <c r="AF240" i="1"/>
  <c r="AG240" i="1"/>
  <c r="AH240" i="1"/>
  <c r="AI240" i="1"/>
  <c r="AJ240" i="1"/>
  <c r="AF232" i="1"/>
  <c r="AG232" i="1"/>
  <c r="AH232" i="1"/>
  <c r="AI232" i="1"/>
  <c r="AJ232" i="1"/>
  <c r="AF233" i="1"/>
  <c r="AG233" i="1"/>
  <c r="AH233" i="1"/>
  <c r="AI233" i="1"/>
  <c r="AJ233" i="1"/>
  <c r="AF234" i="1"/>
  <c r="AG234" i="1"/>
  <c r="AH234" i="1"/>
  <c r="AI234" i="1"/>
  <c r="AJ234" i="1"/>
  <c r="AF241" i="1"/>
  <c r="AG241" i="1"/>
  <c r="AH241" i="1"/>
  <c r="AI241" i="1"/>
  <c r="AJ241" i="1"/>
  <c r="AF247" i="1"/>
  <c r="AG247" i="1"/>
  <c r="AH247" i="1"/>
  <c r="AI247" i="1"/>
  <c r="AJ247" i="1"/>
  <c r="AF252" i="1"/>
  <c r="AG252" i="1"/>
  <c r="AH252" i="1"/>
  <c r="AI252" i="1"/>
  <c r="AJ252" i="1"/>
  <c r="AF258" i="1"/>
  <c r="AG258" i="1"/>
  <c r="AH258" i="1"/>
  <c r="AI258" i="1"/>
  <c r="AJ258" i="1"/>
  <c r="AF261" i="1"/>
  <c r="AG261" i="1"/>
  <c r="AH261" i="1"/>
  <c r="AI261" i="1"/>
  <c r="AJ261" i="1"/>
  <c r="AF259" i="1"/>
  <c r="AG259" i="1"/>
  <c r="AH259" i="1"/>
  <c r="AI259" i="1"/>
  <c r="AJ259" i="1"/>
  <c r="AF260" i="1"/>
  <c r="AG260" i="1"/>
  <c r="AH260" i="1"/>
  <c r="AI260" i="1"/>
  <c r="AJ260" i="1"/>
  <c r="AF262" i="1"/>
  <c r="AG262" i="1"/>
  <c r="AH262" i="1"/>
  <c r="AI262" i="1"/>
  <c r="AJ262" i="1"/>
  <c r="AF263" i="1"/>
  <c r="AG263" i="1"/>
  <c r="AH263" i="1"/>
  <c r="AI263" i="1"/>
  <c r="AJ263" i="1"/>
  <c r="AF265" i="1"/>
  <c r="AG265" i="1"/>
  <c r="AH265" i="1"/>
  <c r="AI265" i="1"/>
  <c r="AJ265" i="1"/>
  <c r="AF264" i="1"/>
  <c r="AG264" i="1"/>
  <c r="AH264" i="1"/>
  <c r="AI264" i="1"/>
  <c r="AJ264" i="1"/>
  <c r="AF266" i="1"/>
  <c r="AG266" i="1"/>
  <c r="AH266" i="1"/>
  <c r="AI266" i="1"/>
  <c r="AJ266" i="1"/>
  <c r="AF267" i="1"/>
  <c r="AG267" i="1"/>
  <c r="AH267" i="1"/>
  <c r="AI267" i="1"/>
  <c r="AJ267" i="1"/>
  <c r="AF268" i="1"/>
  <c r="AG268" i="1"/>
  <c r="AH268" i="1"/>
  <c r="AI268" i="1"/>
  <c r="AJ268" i="1"/>
  <c r="AF269" i="1"/>
  <c r="AG269" i="1"/>
  <c r="AH269" i="1"/>
  <c r="AI269" i="1"/>
  <c r="AJ269" i="1"/>
  <c r="AF271" i="1"/>
  <c r="AG271" i="1"/>
  <c r="AH271" i="1"/>
  <c r="AI271" i="1"/>
  <c r="AJ271" i="1"/>
  <c r="AF272" i="1"/>
  <c r="AG272" i="1"/>
  <c r="AH272" i="1"/>
  <c r="AI272" i="1"/>
  <c r="AJ272" i="1"/>
  <c r="AF270" i="1"/>
  <c r="AG270" i="1"/>
  <c r="AH270" i="1"/>
  <c r="AI270" i="1"/>
  <c r="AJ270" i="1"/>
  <c r="AF273" i="1"/>
  <c r="AG273" i="1"/>
  <c r="AH273" i="1"/>
  <c r="AI273" i="1"/>
  <c r="AJ273" i="1"/>
  <c r="AF274" i="1"/>
  <c r="AG274" i="1"/>
  <c r="AH274" i="1"/>
  <c r="AI274" i="1"/>
  <c r="AJ274" i="1"/>
  <c r="AF275" i="1"/>
  <c r="AG275" i="1"/>
  <c r="AH275" i="1"/>
  <c r="AI275" i="1"/>
  <c r="AJ275" i="1"/>
  <c r="AF276" i="1"/>
  <c r="AG276" i="1"/>
  <c r="AH276" i="1"/>
  <c r="AI276" i="1"/>
  <c r="AJ276" i="1"/>
  <c r="AF278" i="1"/>
  <c r="AG278" i="1"/>
  <c r="AH278" i="1"/>
  <c r="AI278" i="1"/>
  <c r="AJ278" i="1"/>
  <c r="AF279" i="1"/>
  <c r="AG279" i="1"/>
  <c r="AH279" i="1"/>
  <c r="AI279" i="1"/>
  <c r="AJ279" i="1"/>
  <c r="AF277" i="1"/>
  <c r="AG277" i="1"/>
  <c r="AH277" i="1"/>
  <c r="AI277" i="1"/>
  <c r="AJ277" i="1"/>
  <c r="AF280" i="1"/>
  <c r="AG280" i="1"/>
  <c r="AH280" i="1"/>
  <c r="AI280" i="1"/>
  <c r="AJ280" i="1"/>
  <c r="AF283" i="1"/>
  <c r="AG283" i="1"/>
  <c r="AH283" i="1"/>
  <c r="AI283" i="1"/>
  <c r="AJ283" i="1"/>
  <c r="AF281" i="1"/>
  <c r="AG281" i="1"/>
  <c r="AH281" i="1"/>
  <c r="AI281" i="1"/>
  <c r="AJ281" i="1"/>
  <c r="AF282" i="1"/>
  <c r="AG282" i="1"/>
  <c r="AH282" i="1"/>
  <c r="AI282" i="1"/>
  <c r="AJ282" i="1"/>
  <c r="AF285" i="1"/>
  <c r="AG285" i="1"/>
  <c r="AH285" i="1"/>
  <c r="AI285" i="1"/>
  <c r="AJ285" i="1"/>
  <c r="AF286" i="1"/>
  <c r="AG286" i="1"/>
  <c r="AH286" i="1"/>
  <c r="AI286" i="1"/>
  <c r="AJ286" i="1"/>
  <c r="AF284" i="1"/>
  <c r="AG284" i="1"/>
  <c r="AH284" i="1"/>
  <c r="AI284" i="1"/>
  <c r="AJ284" i="1"/>
  <c r="AF287" i="1"/>
  <c r="AG287" i="1"/>
  <c r="AH287" i="1"/>
  <c r="AI287" i="1"/>
  <c r="AJ287" i="1"/>
  <c r="AF288" i="1"/>
  <c r="AG288" i="1"/>
  <c r="AH288" i="1"/>
  <c r="AI288" i="1"/>
  <c r="AJ288" i="1"/>
  <c r="AF289" i="1"/>
  <c r="AG289" i="1"/>
  <c r="AH289" i="1"/>
  <c r="AI289" i="1"/>
  <c r="AJ289" i="1"/>
  <c r="AF290" i="1"/>
  <c r="AG290" i="1"/>
  <c r="AH290" i="1"/>
  <c r="AI290" i="1"/>
  <c r="AJ290" i="1"/>
  <c r="AF292" i="1"/>
  <c r="AG292" i="1"/>
  <c r="AH292" i="1"/>
  <c r="AI292" i="1"/>
  <c r="AJ292" i="1"/>
  <c r="AF293" i="1"/>
  <c r="AG293" i="1"/>
  <c r="AH293" i="1"/>
  <c r="AI293" i="1"/>
  <c r="AJ293" i="1"/>
  <c r="AF294" i="1"/>
  <c r="AG294" i="1"/>
  <c r="AH294" i="1"/>
  <c r="AI294" i="1"/>
  <c r="AJ294" i="1"/>
  <c r="AF295" i="1"/>
  <c r="AG295" i="1"/>
  <c r="AH295" i="1"/>
  <c r="AI295" i="1"/>
  <c r="AJ295" i="1"/>
  <c r="AF296" i="1"/>
  <c r="AG296" i="1"/>
  <c r="AH296" i="1"/>
  <c r="AI296" i="1"/>
  <c r="AJ296" i="1"/>
  <c r="AF297" i="1"/>
  <c r="AG297" i="1"/>
  <c r="AH297" i="1"/>
  <c r="AI297" i="1"/>
  <c r="AJ297" i="1"/>
  <c r="AF307" i="1"/>
  <c r="AG307" i="1"/>
  <c r="AH307" i="1"/>
  <c r="AI307" i="1"/>
  <c r="AJ307" i="1"/>
  <c r="AF308" i="1"/>
  <c r="AG308" i="1"/>
  <c r="AH308" i="1"/>
  <c r="AI308" i="1"/>
  <c r="AJ308" i="1"/>
  <c r="AF298" i="1"/>
  <c r="AG298" i="1"/>
  <c r="AH298" i="1"/>
  <c r="AI298" i="1"/>
  <c r="AJ298" i="1"/>
  <c r="AF299" i="1"/>
  <c r="AG299" i="1"/>
  <c r="AH299" i="1"/>
  <c r="AI299" i="1"/>
  <c r="AJ299" i="1"/>
  <c r="AF300" i="1"/>
  <c r="AG300" i="1"/>
  <c r="AH300" i="1"/>
  <c r="AI300" i="1"/>
  <c r="AJ300" i="1"/>
  <c r="AF305" i="1"/>
  <c r="AG305" i="1"/>
  <c r="AH305" i="1"/>
  <c r="AI305" i="1"/>
  <c r="AJ305" i="1"/>
  <c r="AF306" i="1"/>
  <c r="AG306" i="1"/>
  <c r="AH306" i="1"/>
  <c r="AI306" i="1"/>
  <c r="AJ306" i="1"/>
  <c r="AF309" i="1"/>
  <c r="AG309" i="1"/>
  <c r="AH309" i="1"/>
  <c r="AI309" i="1"/>
  <c r="AJ309" i="1"/>
  <c r="AF317" i="1"/>
  <c r="AG317" i="1"/>
  <c r="AH317" i="1"/>
  <c r="AI317" i="1"/>
  <c r="AJ317" i="1"/>
  <c r="AF318" i="1"/>
  <c r="AG318" i="1"/>
  <c r="AH318" i="1"/>
  <c r="AI318" i="1"/>
  <c r="AJ318" i="1"/>
  <c r="AF325" i="1"/>
  <c r="AG325" i="1"/>
  <c r="AH325" i="1"/>
  <c r="AI325" i="1"/>
  <c r="AJ325" i="1"/>
  <c r="AF327" i="1"/>
  <c r="AG327" i="1"/>
  <c r="AH327" i="1"/>
  <c r="AI327" i="1"/>
  <c r="AJ327" i="1"/>
  <c r="AF326" i="1"/>
  <c r="AG326" i="1"/>
  <c r="AH326" i="1"/>
  <c r="AI326" i="1"/>
  <c r="AJ326" i="1"/>
  <c r="AF328" i="1"/>
  <c r="AG328" i="1"/>
  <c r="AH328" i="1"/>
  <c r="AI328" i="1"/>
  <c r="AJ328" i="1"/>
  <c r="AF329" i="1"/>
  <c r="AG329" i="1"/>
  <c r="AH329" i="1"/>
  <c r="AI329" i="1"/>
  <c r="AJ329" i="1"/>
  <c r="AF330" i="1"/>
  <c r="AG330" i="1"/>
  <c r="AH330" i="1"/>
  <c r="AI330" i="1"/>
  <c r="AJ330" i="1"/>
  <c r="AF333" i="1"/>
  <c r="AG333" i="1"/>
  <c r="AH333" i="1"/>
  <c r="AI333" i="1"/>
  <c r="AJ333" i="1"/>
  <c r="AF331" i="1"/>
  <c r="AG331" i="1"/>
  <c r="AH331" i="1"/>
  <c r="AI331" i="1"/>
  <c r="AJ331" i="1"/>
  <c r="AF332" i="1"/>
  <c r="AG332" i="1"/>
  <c r="AH332" i="1"/>
  <c r="AI332" i="1"/>
  <c r="AJ332" i="1"/>
  <c r="AF334" i="1"/>
  <c r="AG334" i="1"/>
  <c r="AH334" i="1"/>
  <c r="AI334" i="1"/>
  <c r="AJ334" i="1"/>
  <c r="AF335" i="1"/>
  <c r="AG335" i="1"/>
  <c r="AH335" i="1"/>
  <c r="AI335" i="1"/>
  <c r="AJ335" i="1"/>
  <c r="AF336" i="1"/>
  <c r="AG336" i="1"/>
  <c r="AH336" i="1"/>
  <c r="AI336" i="1"/>
  <c r="AJ336" i="1"/>
  <c r="AF337" i="1"/>
  <c r="AG337" i="1"/>
  <c r="AH337" i="1"/>
  <c r="AI337" i="1"/>
  <c r="AJ337" i="1"/>
  <c r="AF338" i="1"/>
  <c r="AG338" i="1"/>
  <c r="AH338" i="1"/>
  <c r="AI338" i="1"/>
  <c r="AJ338" i="1"/>
  <c r="AF339" i="1"/>
  <c r="AG339" i="1"/>
  <c r="AH339" i="1"/>
  <c r="AI339" i="1"/>
  <c r="AJ339" i="1"/>
  <c r="AF340" i="1"/>
  <c r="AG340" i="1"/>
  <c r="AH340" i="1"/>
  <c r="AI340" i="1"/>
  <c r="AJ340" i="1"/>
  <c r="AF341" i="1"/>
  <c r="AG341" i="1"/>
  <c r="AH341" i="1"/>
  <c r="AI341" i="1"/>
  <c r="AJ341" i="1"/>
  <c r="AF342" i="1"/>
  <c r="AG342" i="1"/>
  <c r="AH342" i="1"/>
  <c r="AI342" i="1"/>
  <c r="AJ342" i="1"/>
  <c r="AF343" i="1"/>
  <c r="AG343" i="1"/>
  <c r="AH343" i="1"/>
  <c r="AI343" i="1"/>
  <c r="AJ343" i="1"/>
  <c r="AF346" i="1"/>
  <c r="AG346" i="1"/>
  <c r="AH346" i="1"/>
  <c r="AI346" i="1"/>
  <c r="AJ346" i="1"/>
  <c r="AF344" i="1"/>
  <c r="AG344" i="1"/>
  <c r="AH344" i="1"/>
  <c r="AI344" i="1"/>
  <c r="AJ344" i="1"/>
  <c r="AF345" i="1"/>
  <c r="AG345" i="1"/>
  <c r="AH345" i="1"/>
  <c r="AI345" i="1"/>
  <c r="AJ345" i="1"/>
  <c r="AF347" i="1"/>
  <c r="AG347" i="1"/>
  <c r="AH347" i="1"/>
  <c r="AI347" i="1"/>
  <c r="AJ347" i="1"/>
  <c r="AF348" i="1"/>
  <c r="AG348" i="1"/>
  <c r="AH348" i="1"/>
  <c r="AI348" i="1"/>
  <c r="AJ348" i="1"/>
  <c r="AF349" i="1"/>
  <c r="AG349" i="1"/>
  <c r="AH349" i="1"/>
  <c r="AI349" i="1"/>
  <c r="AJ349" i="1"/>
  <c r="AF350" i="1"/>
  <c r="AG350" i="1"/>
  <c r="AH350" i="1"/>
  <c r="AI350" i="1"/>
  <c r="AJ350" i="1"/>
  <c r="AF351" i="1"/>
  <c r="AG351" i="1"/>
  <c r="AH351" i="1"/>
  <c r="AI351" i="1"/>
  <c r="AJ351" i="1"/>
  <c r="AF352" i="1"/>
  <c r="AG352" i="1"/>
  <c r="AH352" i="1"/>
  <c r="AI352" i="1"/>
  <c r="AJ352" i="1"/>
  <c r="AF415" i="1"/>
  <c r="AG415" i="1"/>
  <c r="AH415" i="1"/>
  <c r="AI415" i="1"/>
  <c r="AJ415" i="1"/>
  <c r="AF353" i="1"/>
  <c r="AG353" i="1"/>
  <c r="AH353" i="1"/>
  <c r="AI353" i="1"/>
  <c r="AJ353" i="1"/>
  <c r="AF354" i="1"/>
  <c r="AG354" i="1"/>
  <c r="AH354" i="1"/>
  <c r="AI354" i="1"/>
  <c r="AJ354" i="1"/>
  <c r="AF355" i="1"/>
  <c r="AG355" i="1"/>
  <c r="AH355" i="1"/>
  <c r="AI355" i="1"/>
  <c r="AJ355" i="1"/>
  <c r="AF356" i="1"/>
  <c r="AG356" i="1"/>
  <c r="AH356" i="1"/>
  <c r="AI356" i="1"/>
  <c r="AJ356" i="1"/>
  <c r="AF357" i="1"/>
  <c r="AG357" i="1"/>
  <c r="AH357" i="1"/>
  <c r="AI357" i="1"/>
  <c r="AJ357" i="1"/>
  <c r="AF358" i="1"/>
  <c r="AG358" i="1"/>
  <c r="AH358" i="1"/>
  <c r="AI358" i="1"/>
  <c r="AJ358" i="1"/>
  <c r="AF359" i="1"/>
  <c r="AG359" i="1"/>
  <c r="AH359" i="1"/>
  <c r="AI359" i="1"/>
  <c r="AJ359" i="1"/>
  <c r="AF360" i="1"/>
  <c r="AG360" i="1"/>
  <c r="AH360" i="1"/>
  <c r="AI360" i="1"/>
  <c r="AJ360" i="1"/>
  <c r="AF361" i="1"/>
  <c r="AG361" i="1"/>
  <c r="AH361" i="1"/>
  <c r="AI361" i="1"/>
  <c r="AJ361" i="1"/>
  <c r="AF362" i="1"/>
  <c r="AG362" i="1"/>
  <c r="AH362" i="1"/>
  <c r="AI362" i="1"/>
  <c r="AJ362" i="1"/>
  <c r="AF363" i="1"/>
  <c r="AG363" i="1"/>
  <c r="AH363" i="1"/>
  <c r="AI363" i="1"/>
  <c r="AJ363" i="1"/>
  <c r="AF364" i="1"/>
  <c r="AG364" i="1"/>
  <c r="AH364" i="1"/>
  <c r="AI364" i="1"/>
  <c r="AJ364" i="1"/>
  <c r="AF365" i="1"/>
  <c r="AG365" i="1"/>
  <c r="AH365" i="1"/>
  <c r="AI365" i="1"/>
  <c r="AJ365" i="1"/>
  <c r="AF366" i="1"/>
  <c r="AG366" i="1"/>
  <c r="AH366" i="1"/>
  <c r="AI366" i="1"/>
  <c r="AJ366" i="1"/>
  <c r="AF367" i="1"/>
  <c r="AG367" i="1"/>
  <c r="AH367" i="1"/>
  <c r="AI367" i="1"/>
  <c r="AJ367" i="1"/>
  <c r="AF368" i="1"/>
  <c r="AG368" i="1"/>
  <c r="AH368" i="1"/>
  <c r="AI368" i="1"/>
  <c r="AJ368" i="1"/>
  <c r="AF369" i="1"/>
  <c r="AG369" i="1"/>
  <c r="AH369" i="1"/>
  <c r="AI369" i="1"/>
  <c r="AJ369" i="1"/>
  <c r="AF370" i="1"/>
  <c r="AG370" i="1"/>
  <c r="AH370" i="1"/>
  <c r="AI370" i="1"/>
  <c r="AJ370" i="1"/>
  <c r="AF371" i="1"/>
  <c r="AG371" i="1"/>
  <c r="AH371" i="1"/>
  <c r="AI371" i="1"/>
  <c r="AJ371" i="1"/>
  <c r="AF372" i="1"/>
  <c r="AG372" i="1"/>
  <c r="AH372" i="1"/>
  <c r="AI372" i="1"/>
  <c r="AJ372" i="1"/>
  <c r="AF373" i="1"/>
  <c r="AG373" i="1"/>
  <c r="AH373" i="1"/>
  <c r="AI373" i="1"/>
  <c r="AJ373" i="1"/>
  <c r="AF374" i="1"/>
  <c r="AG374" i="1"/>
  <c r="AH374" i="1"/>
  <c r="AI374" i="1"/>
  <c r="AJ374" i="1"/>
  <c r="AF375" i="1"/>
  <c r="AG375" i="1"/>
  <c r="AH375" i="1"/>
  <c r="AI375" i="1"/>
  <c r="AJ375" i="1"/>
  <c r="AF382" i="1"/>
  <c r="AG382" i="1"/>
  <c r="AH382" i="1"/>
  <c r="AI382" i="1"/>
  <c r="AJ382" i="1"/>
  <c r="AF376" i="1"/>
  <c r="AG376" i="1"/>
  <c r="AH376" i="1"/>
  <c r="AI376" i="1"/>
  <c r="AJ376" i="1"/>
  <c r="AF377" i="1"/>
  <c r="AG377" i="1"/>
  <c r="AH377" i="1"/>
  <c r="AI377" i="1"/>
  <c r="AJ377" i="1"/>
  <c r="AF379" i="1"/>
  <c r="AG379" i="1"/>
  <c r="AH379" i="1"/>
  <c r="AI379" i="1"/>
  <c r="AJ379" i="1"/>
  <c r="AF383" i="1"/>
  <c r="AG383" i="1"/>
  <c r="AH383" i="1"/>
  <c r="AI383" i="1"/>
  <c r="AJ383" i="1"/>
  <c r="AF380" i="1"/>
  <c r="AG380" i="1"/>
  <c r="AH380" i="1"/>
  <c r="AI380" i="1"/>
  <c r="AJ380" i="1"/>
  <c r="AF381" i="1"/>
  <c r="AG381" i="1"/>
  <c r="AH381" i="1"/>
  <c r="AI381" i="1"/>
  <c r="AJ381" i="1"/>
  <c r="AF384" i="1"/>
  <c r="AG384" i="1"/>
  <c r="AH384" i="1"/>
  <c r="AI384" i="1"/>
  <c r="AJ384" i="1"/>
  <c r="AF385" i="1"/>
  <c r="AG385" i="1"/>
  <c r="AH385" i="1"/>
  <c r="AI385" i="1"/>
  <c r="AJ385" i="1"/>
  <c r="AF386" i="1"/>
  <c r="AG386" i="1"/>
  <c r="AH386" i="1"/>
  <c r="AI386" i="1"/>
  <c r="AJ386" i="1"/>
  <c r="AF387" i="1"/>
  <c r="AG387" i="1"/>
  <c r="AH387" i="1"/>
  <c r="AI387" i="1"/>
  <c r="AJ387" i="1"/>
  <c r="AF389" i="1"/>
  <c r="AG389" i="1"/>
  <c r="AH389" i="1"/>
  <c r="AI389" i="1"/>
  <c r="AJ389" i="1"/>
  <c r="AF388" i="1"/>
  <c r="AG388" i="1"/>
  <c r="AH388" i="1"/>
  <c r="AI388" i="1"/>
  <c r="AJ388" i="1"/>
  <c r="AF390" i="1"/>
  <c r="AG390" i="1"/>
  <c r="AH390" i="1"/>
  <c r="AI390" i="1"/>
  <c r="AJ390" i="1"/>
  <c r="AF391" i="1"/>
  <c r="AG391" i="1"/>
  <c r="AH391" i="1"/>
  <c r="AI391" i="1"/>
  <c r="AJ391" i="1"/>
  <c r="AF392" i="1"/>
  <c r="AG392" i="1"/>
  <c r="AH392" i="1"/>
  <c r="AI392" i="1"/>
  <c r="AJ392" i="1"/>
  <c r="AF398" i="1"/>
  <c r="AG398" i="1"/>
  <c r="AH398" i="1"/>
  <c r="AI398" i="1"/>
  <c r="AJ398" i="1"/>
  <c r="AF393" i="1"/>
  <c r="AG393" i="1"/>
  <c r="AH393" i="1"/>
  <c r="AI393" i="1"/>
  <c r="AJ393" i="1"/>
  <c r="AF394" i="1"/>
  <c r="AG394" i="1"/>
  <c r="AH394" i="1"/>
  <c r="AI394" i="1"/>
  <c r="AJ394" i="1"/>
  <c r="AF395" i="1"/>
  <c r="AG395" i="1"/>
  <c r="AH395" i="1"/>
  <c r="AI395" i="1"/>
  <c r="AJ395" i="1"/>
  <c r="AF396" i="1"/>
  <c r="AG396" i="1"/>
  <c r="AH396" i="1"/>
  <c r="AI396" i="1"/>
  <c r="AJ396" i="1"/>
  <c r="AF397" i="1"/>
  <c r="AG397" i="1"/>
  <c r="AH397" i="1"/>
  <c r="AI397" i="1"/>
  <c r="AJ397" i="1"/>
  <c r="AF400" i="1"/>
  <c r="AG400" i="1"/>
  <c r="AH400" i="1"/>
  <c r="AI400" i="1"/>
  <c r="AJ400" i="1"/>
  <c r="AF399" i="1"/>
  <c r="AG399" i="1"/>
  <c r="AH399" i="1"/>
  <c r="AI399" i="1"/>
  <c r="AJ399" i="1"/>
  <c r="AF401" i="1"/>
  <c r="AG401" i="1"/>
  <c r="AH401" i="1"/>
  <c r="AI401" i="1"/>
  <c r="AJ401" i="1"/>
  <c r="AF405" i="1"/>
  <c r="AG405" i="1"/>
  <c r="AH405" i="1"/>
  <c r="AI405" i="1"/>
  <c r="AJ405" i="1"/>
  <c r="AF402" i="1"/>
  <c r="AG402" i="1"/>
  <c r="AH402" i="1"/>
  <c r="AI402" i="1"/>
  <c r="AJ402" i="1"/>
  <c r="AF404" i="1"/>
  <c r="AG404" i="1"/>
  <c r="AH404" i="1"/>
  <c r="AI404" i="1"/>
  <c r="AJ404" i="1"/>
  <c r="AF403" i="1"/>
  <c r="AG403" i="1"/>
  <c r="AH403" i="1"/>
  <c r="AI403" i="1"/>
  <c r="AJ403" i="1"/>
  <c r="AF406" i="1"/>
  <c r="AG406" i="1"/>
  <c r="AH406" i="1"/>
  <c r="AI406" i="1"/>
  <c r="AJ406" i="1"/>
  <c r="AF407" i="1"/>
  <c r="AG407" i="1"/>
  <c r="AH407" i="1"/>
  <c r="AI407" i="1"/>
  <c r="AJ407" i="1"/>
  <c r="AF408" i="1"/>
  <c r="AG408" i="1"/>
  <c r="AH408" i="1"/>
  <c r="AI408" i="1"/>
  <c r="AJ408" i="1"/>
  <c r="AF409" i="1"/>
  <c r="AG409" i="1"/>
  <c r="AH409" i="1"/>
  <c r="AI409" i="1"/>
  <c r="AJ409" i="1"/>
  <c r="AF410" i="1"/>
  <c r="AG410" i="1"/>
  <c r="AH410" i="1"/>
  <c r="AI410" i="1"/>
  <c r="AJ410" i="1"/>
  <c r="AF413" i="1"/>
  <c r="AG413" i="1"/>
  <c r="AH413" i="1"/>
  <c r="AI413" i="1"/>
  <c r="AJ413" i="1"/>
  <c r="AF411" i="1"/>
  <c r="AG411" i="1"/>
  <c r="AH411" i="1"/>
  <c r="AI411" i="1"/>
  <c r="AJ411" i="1"/>
  <c r="AF412" i="1"/>
  <c r="AG412" i="1"/>
  <c r="AH412" i="1"/>
  <c r="AI412" i="1"/>
  <c r="AJ412" i="1"/>
  <c r="AF414" i="1"/>
  <c r="AG414" i="1"/>
  <c r="AH414" i="1"/>
  <c r="AI414" i="1"/>
  <c r="AJ414" i="1"/>
  <c r="AF416" i="1"/>
  <c r="AG416" i="1"/>
  <c r="AH416" i="1"/>
  <c r="AI416" i="1"/>
  <c r="AJ416" i="1"/>
  <c r="AF418" i="1"/>
  <c r="AG418" i="1"/>
  <c r="AH418" i="1"/>
  <c r="AI418" i="1"/>
  <c r="AJ418" i="1"/>
  <c r="AF417" i="1"/>
  <c r="AG417" i="1"/>
  <c r="AH417" i="1"/>
  <c r="AI417" i="1"/>
  <c r="AJ417" i="1"/>
  <c r="AF419" i="1"/>
  <c r="AG419" i="1"/>
  <c r="AH419" i="1"/>
  <c r="AI419" i="1"/>
  <c r="AJ419" i="1"/>
  <c r="AF420" i="1"/>
  <c r="AG420" i="1"/>
  <c r="AH420" i="1"/>
  <c r="AI420" i="1"/>
  <c r="AJ420" i="1"/>
  <c r="AF421" i="1"/>
  <c r="AG421" i="1"/>
  <c r="AH421" i="1"/>
  <c r="AI421" i="1"/>
  <c r="AJ421" i="1"/>
  <c r="AF422" i="1"/>
  <c r="AG422" i="1"/>
  <c r="AH422" i="1"/>
  <c r="AI422" i="1"/>
  <c r="AJ422" i="1"/>
  <c r="AF424" i="1"/>
  <c r="AG424" i="1"/>
  <c r="AH424" i="1"/>
  <c r="AI424" i="1"/>
  <c r="AJ424" i="1"/>
  <c r="AF423" i="1"/>
  <c r="AG423" i="1"/>
  <c r="AH423" i="1"/>
  <c r="AI423" i="1"/>
  <c r="AJ423" i="1"/>
  <c r="AF425" i="1"/>
  <c r="AG425" i="1"/>
  <c r="AH425" i="1"/>
  <c r="AI425" i="1"/>
  <c r="AJ425" i="1"/>
  <c r="AF426" i="1"/>
  <c r="AG426" i="1"/>
  <c r="AH426" i="1"/>
  <c r="AI426" i="1"/>
  <c r="AJ426" i="1"/>
  <c r="AF427" i="1"/>
  <c r="AG427" i="1"/>
  <c r="AH427" i="1"/>
  <c r="AI427" i="1"/>
  <c r="AJ427" i="1"/>
  <c r="AF428" i="1"/>
  <c r="AG428" i="1"/>
  <c r="AH428" i="1"/>
  <c r="AI428" i="1"/>
  <c r="AJ428" i="1"/>
  <c r="AF430" i="1"/>
  <c r="AG430" i="1"/>
  <c r="AH430" i="1"/>
  <c r="AI430" i="1"/>
  <c r="AJ430" i="1"/>
  <c r="AF429" i="1"/>
  <c r="AG429" i="1"/>
  <c r="AH429" i="1"/>
  <c r="AI429" i="1"/>
  <c r="AJ429" i="1"/>
  <c r="AF431" i="1"/>
  <c r="AG431" i="1"/>
  <c r="AH431" i="1"/>
  <c r="AI431" i="1"/>
  <c r="AJ431" i="1"/>
  <c r="AF435" i="1"/>
  <c r="AG435" i="1"/>
  <c r="AH435" i="1"/>
  <c r="AI435" i="1"/>
  <c r="AJ435" i="1"/>
  <c r="AF432" i="1"/>
  <c r="AG432" i="1"/>
  <c r="AH432" i="1"/>
  <c r="AI432" i="1"/>
  <c r="AJ432" i="1"/>
  <c r="AF433" i="1"/>
  <c r="AG433" i="1"/>
  <c r="AH433" i="1"/>
  <c r="AI433" i="1"/>
  <c r="AJ433" i="1"/>
  <c r="AF434" i="1"/>
  <c r="AG434" i="1"/>
  <c r="AH434" i="1"/>
  <c r="AI434" i="1"/>
  <c r="AJ434" i="1"/>
  <c r="AF436" i="1"/>
  <c r="AG436" i="1"/>
  <c r="AH436" i="1"/>
  <c r="AI436" i="1"/>
  <c r="AJ436" i="1"/>
  <c r="AF439" i="1"/>
  <c r="AG439" i="1"/>
  <c r="AH439" i="1"/>
  <c r="AI439" i="1"/>
  <c r="AJ439" i="1"/>
  <c r="AF437" i="1"/>
  <c r="AG437" i="1"/>
  <c r="AH437" i="1"/>
  <c r="AI437" i="1"/>
  <c r="AJ437" i="1"/>
  <c r="AF438" i="1"/>
  <c r="AG438" i="1"/>
  <c r="AH438" i="1"/>
  <c r="AI438" i="1"/>
  <c r="AJ438" i="1"/>
  <c r="AF440" i="1"/>
  <c r="AG440" i="1"/>
  <c r="AH440" i="1"/>
  <c r="AI440" i="1"/>
  <c r="AJ440" i="1"/>
  <c r="AF441" i="1"/>
  <c r="AG441" i="1"/>
  <c r="AH441" i="1"/>
  <c r="AI441" i="1"/>
  <c r="AJ441" i="1"/>
  <c r="AF442" i="1"/>
  <c r="AG442" i="1"/>
  <c r="AH442" i="1"/>
  <c r="AI442" i="1"/>
  <c r="AJ442" i="1"/>
  <c r="AF443" i="1"/>
  <c r="AG443" i="1"/>
  <c r="AH443" i="1"/>
  <c r="AI443" i="1"/>
  <c r="AJ443" i="1"/>
  <c r="AF444" i="1"/>
  <c r="AG444" i="1"/>
  <c r="AH444" i="1"/>
  <c r="AI444" i="1"/>
  <c r="AJ444" i="1"/>
  <c r="AF445" i="1"/>
  <c r="AG445" i="1"/>
  <c r="AH445" i="1"/>
  <c r="AI445" i="1"/>
  <c r="AJ445" i="1"/>
  <c r="AF446" i="1"/>
  <c r="AG446" i="1"/>
  <c r="AH446" i="1"/>
  <c r="AI446" i="1"/>
  <c r="AJ446" i="1"/>
  <c r="AF447" i="1"/>
  <c r="AG447" i="1"/>
  <c r="AH447" i="1"/>
  <c r="AI447" i="1"/>
  <c r="AJ447" i="1"/>
  <c r="AF448" i="1"/>
  <c r="AG448" i="1"/>
  <c r="AH448" i="1"/>
  <c r="AI448" i="1"/>
  <c r="AJ448" i="1"/>
  <c r="AF449" i="1"/>
  <c r="AG449" i="1"/>
  <c r="AH449" i="1"/>
  <c r="AI449" i="1"/>
  <c r="AJ449" i="1"/>
  <c r="AF450" i="1"/>
  <c r="AG450" i="1"/>
  <c r="AH450" i="1"/>
  <c r="AI450" i="1"/>
  <c r="AJ450" i="1"/>
  <c r="AF451" i="1"/>
  <c r="AG451" i="1"/>
  <c r="AH451" i="1"/>
  <c r="AI451" i="1"/>
  <c r="AJ451" i="1"/>
  <c r="AF452" i="1"/>
  <c r="AG452" i="1"/>
  <c r="AH452" i="1"/>
  <c r="AI452" i="1"/>
  <c r="AJ452" i="1"/>
  <c r="AF454" i="1"/>
  <c r="AG454" i="1"/>
  <c r="AH454" i="1"/>
  <c r="AI454" i="1"/>
  <c r="AJ454" i="1"/>
  <c r="AF455" i="1"/>
  <c r="AG455" i="1"/>
  <c r="AH455" i="1"/>
  <c r="AI455" i="1"/>
  <c r="AJ455" i="1"/>
  <c r="AF453" i="1"/>
  <c r="AG453" i="1"/>
  <c r="AH453" i="1"/>
  <c r="AI453" i="1"/>
  <c r="AJ453" i="1"/>
  <c r="AF456" i="1"/>
  <c r="AG456" i="1"/>
  <c r="AH456" i="1"/>
  <c r="AI456" i="1"/>
  <c r="AJ456" i="1"/>
  <c r="AF457" i="1"/>
  <c r="AG457" i="1"/>
  <c r="AH457" i="1"/>
  <c r="AI457" i="1"/>
  <c r="AJ457" i="1"/>
  <c r="AF459" i="1"/>
  <c r="AG459" i="1"/>
  <c r="AH459" i="1"/>
  <c r="AI459" i="1"/>
  <c r="AJ459" i="1"/>
  <c r="AF458" i="1"/>
  <c r="AG458" i="1"/>
  <c r="AH458" i="1"/>
  <c r="AI458" i="1"/>
  <c r="AJ458" i="1"/>
  <c r="AF460" i="1"/>
  <c r="AG460" i="1"/>
  <c r="AH460" i="1"/>
  <c r="AI460" i="1"/>
  <c r="AJ460" i="1"/>
  <c r="AF461" i="1"/>
  <c r="AG461" i="1"/>
  <c r="AH461" i="1"/>
  <c r="AI461" i="1"/>
  <c r="AJ461" i="1"/>
  <c r="AF462" i="1"/>
  <c r="AG462" i="1"/>
  <c r="AH462" i="1"/>
  <c r="AI462" i="1"/>
  <c r="AJ462" i="1"/>
  <c r="AF463" i="1"/>
  <c r="AG463" i="1"/>
  <c r="AH463" i="1"/>
  <c r="AI463" i="1"/>
  <c r="AJ463" i="1"/>
  <c r="AF464" i="1"/>
  <c r="AG464" i="1"/>
  <c r="AH464" i="1"/>
  <c r="AI464" i="1"/>
  <c r="AJ464" i="1"/>
  <c r="AF465" i="1"/>
  <c r="AG465" i="1"/>
  <c r="AH465" i="1"/>
  <c r="AI465" i="1"/>
  <c r="AJ465" i="1"/>
  <c r="AF466" i="1"/>
  <c r="AG466" i="1"/>
  <c r="AH466" i="1"/>
  <c r="AI466" i="1"/>
  <c r="AJ466" i="1"/>
  <c r="AF468" i="1"/>
  <c r="AG468" i="1"/>
  <c r="AH468" i="1"/>
  <c r="AI468" i="1"/>
  <c r="AJ468" i="1"/>
  <c r="AF467" i="1"/>
  <c r="AG467" i="1"/>
  <c r="AH467" i="1"/>
  <c r="AI467" i="1"/>
  <c r="AJ467" i="1"/>
  <c r="AF469" i="1"/>
  <c r="AG469" i="1"/>
  <c r="AH469" i="1"/>
  <c r="AI469" i="1"/>
  <c r="AJ469" i="1"/>
  <c r="AF470" i="1"/>
  <c r="AG470" i="1"/>
  <c r="AH470" i="1"/>
  <c r="AI470" i="1"/>
  <c r="AJ470" i="1"/>
  <c r="AF471" i="1"/>
  <c r="AG471" i="1"/>
  <c r="AH471" i="1"/>
  <c r="AI471" i="1"/>
  <c r="AJ471" i="1"/>
  <c r="AF472" i="1"/>
  <c r="AG472" i="1"/>
  <c r="AH472" i="1"/>
  <c r="AI472" i="1"/>
  <c r="AJ472" i="1"/>
  <c r="AF474" i="1"/>
  <c r="AG474" i="1"/>
  <c r="AH474" i="1"/>
  <c r="AI474" i="1"/>
  <c r="AJ474" i="1"/>
  <c r="AF473" i="1"/>
  <c r="AG473" i="1"/>
  <c r="AH473" i="1"/>
  <c r="AI473" i="1"/>
  <c r="AJ473" i="1"/>
  <c r="AF475" i="1"/>
  <c r="AG475" i="1"/>
  <c r="AH475" i="1"/>
  <c r="AI475" i="1"/>
  <c r="AJ475" i="1"/>
  <c r="AF476" i="1"/>
  <c r="AG476" i="1"/>
  <c r="AH476" i="1"/>
  <c r="AI476" i="1"/>
  <c r="AJ476" i="1"/>
  <c r="AF477" i="1"/>
  <c r="AG477" i="1"/>
  <c r="AH477" i="1"/>
  <c r="AI477" i="1"/>
  <c r="AJ477" i="1"/>
  <c r="AF478" i="1"/>
  <c r="AG478" i="1"/>
  <c r="AH478" i="1"/>
  <c r="AI478" i="1"/>
  <c r="AJ478" i="1"/>
  <c r="AF479" i="1"/>
  <c r="AG479" i="1"/>
  <c r="AH479" i="1"/>
  <c r="AI479" i="1"/>
  <c r="AJ479" i="1"/>
  <c r="AF480" i="1"/>
  <c r="AG480" i="1"/>
  <c r="AH480" i="1"/>
  <c r="AI480" i="1"/>
  <c r="AJ480" i="1"/>
  <c r="AF481" i="1"/>
  <c r="AG481" i="1"/>
  <c r="AH481" i="1"/>
  <c r="AI481" i="1"/>
  <c r="AJ481" i="1"/>
  <c r="AF482" i="1"/>
  <c r="AG482" i="1"/>
  <c r="AH482" i="1"/>
  <c r="AI482" i="1"/>
  <c r="AJ482" i="1"/>
  <c r="AF483" i="1"/>
  <c r="AG483" i="1"/>
  <c r="AH483" i="1"/>
  <c r="AI483" i="1"/>
  <c r="AJ483" i="1"/>
  <c r="AF484" i="1"/>
  <c r="AG484" i="1"/>
  <c r="AH484" i="1"/>
  <c r="AI484" i="1"/>
  <c r="AJ484" i="1"/>
  <c r="AF486" i="1"/>
  <c r="AG486" i="1"/>
  <c r="AH486" i="1"/>
  <c r="AI486" i="1"/>
  <c r="AJ486" i="1"/>
  <c r="AF485" i="1"/>
  <c r="AG485" i="1"/>
  <c r="AH485" i="1"/>
  <c r="AI485" i="1"/>
  <c r="AJ485" i="1"/>
  <c r="AF487" i="1"/>
  <c r="AG487" i="1"/>
  <c r="AH487" i="1"/>
  <c r="AI487" i="1"/>
  <c r="AJ487" i="1"/>
  <c r="AF488" i="1"/>
  <c r="AG488" i="1"/>
  <c r="AH488" i="1"/>
  <c r="AI488" i="1"/>
  <c r="AJ488" i="1"/>
  <c r="AF489" i="1"/>
  <c r="AG489" i="1"/>
  <c r="AH489" i="1"/>
  <c r="AI489" i="1"/>
  <c r="AJ489" i="1"/>
  <c r="AF492" i="1"/>
  <c r="AG492" i="1"/>
  <c r="AH492" i="1"/>
  <c r="AI492" i="1"/>
  <c r="AJ492" i="1"/>
  <c r="AF490" i="1"/>
  <c r="AG490" i="1"/>
  <c r="AH490" i="1"/>
  <c r="AI490" i="1"/>
  <c r="AJ490" i="1"/>
  <c r="AF491" i="1"/>
  <c r="AG491" i="1"/>
  <c r="AH491" i="1"/>
  <c r="AI491" i="1"/>
  <c r="AJ491" i="1"/>
  <c r="AF495" i="1"/>
  <c r="AG495" i="1"/>
  <c r="AH495" i="1"/>
  <c r="AI495" i="1"/>
  <c r="AJ495" i="1"/>
  <c r="AF493" i="1"/>
  <c r="AG493" i="1"/>
  <c r="AH493" i="1"/>
  <c r="AI493" i="1"/>
  <c r="AJ493" i="1"/>
  <c r="AF494" i="1"/>
  <c r="AG494" i="1"/>
  <c r="AH494" i="1"/>
  <c r="AI494" i="1"/>
  <c r="AJ494" i="1"/>
  <c r="AF496" i="1"/>
  <c r="AG496" i="1"/>
  <c r="AH496" i="1"/>
  <c r="AI496" i="1"/>
  <c r="AJ496" i="1"/>
  <c r="AF497" i="1"/>
  <c r="AG497" i="1"/>
  <c r="AH497" i="1"/>
  <c r="AI497" i="1"/>
  <c r="AJ497" i="1"/>
  <c r="AF498" i="1"/>
  <c r="AG498" i="1"/>
  <c r="AH498" i="1"/>
  <c r="AI498" i="1"/>
  <c r="AJ498" i="1"/>
  <c r="AF499" i="1"/>
  <c r="AG499" i="1"/>
  <c r="AH499" i="1"/>
  <c r="AI499" i="1"/>
  <c r="AJ499" i="1"/>
  <c r="AF500" i="1"/>
  <c r="AG500" i="1"/>
  <c r="AH500" i="1"/>
  <c r="AI500" i="1"/>
  <c r="AJ500" i="1"/>
  <c r="AF501" i="1"/>
  <c r="AG501" i="1"/>
  <c r="AH501" i="1"/>
  <c r="AI501" i="1"/>
  <c r="AJ501" i="1"/>
  <c r="AF502" i="1"/>
  <c r="AG502" i="1"/>
  <c r="AH502" i="1"/>
  <c r="AI502" i="1"/>
  <c r="AJ502" i="1"/>
  <c r="AF503" i="1"/>
  <c r="AG503" i="1"/>
  <c r="AH503" i="1"/>
  <c r="AI503" i="1"/>
  <c r="AJ503" i="1"/>
  <c r="AF504" i="1"/>
  <c r="AG504" i="1"/>
  <c r="AH504" i="1"/>
  <c r="AI504" i="1"/>
  <c r="AJ504" i="1"/>
  <c r="AF505" i="1"/>
  <c r="AG505" i="1"/>
  <c r="AH505" i="1"/>
  <c r="AI505" i="1"/>
  <c r="AJ505" i="1"/>
  <c r="AF506" i="1"/>
  <c r="AG506" i="1"/>
  <c r="AH506" i="1"/>
  <c r="AI506" i="1"/>
  <c r="AJ506" i="1"/>
  <c r="AF507" i="1"/>
  <c r="AG507" i="1"/>
  <c r="AH507" i="1"/>
  <c r="AI507" i="1"/>
  <c r="AJ507" i="1"/>
  <c r="AF508" i="1"/>
  <c r="AG508" i="1"/>
  <c r="AH508" i="1"/>
  <c r="AI508" i="1"/>
  <c r="AJ508" i="1"/>
  <c r="AF509" i="1"/>
  <c r="AG509" i="1"/>
  <c r="AH509" i="1"/>
  <c r="AI509" i="1"/>
  <c r="AJ509" i="1"/>
  <c r="AF510" i="1"/>
  <c r="AG510" i="1"/>
  <c r="AH510" i="1"/>
  <c r="AI510" i="1"/>
  <c r="AJ510" i="1"/>
  <c r="AF511" i="1"/>
  <c r="AG511" i="1"/>
  <c r="AH511" i="1"/>
  <c r="AI511" i="1"/>
  <c r="AJ511" i="1"/>
  <c r="AF514" i="1"/>
  <c r="AG514" i="1"/>
  <c r="AH514" i="1"/>
  <c r="AI514" i="1"/>
  <c r="AJ514" i="1"/>
  <c r="AF512" i="1"/>
  <c r="AG512" i="1"/>
  <c r="AH512" i="1"/>
  <c r="AI512" i="1"/>
  <c r="AJ512" i="1"/>
  <c r="AF513" i="1"/>
  <c r="AG513" i="1"/>
  <c r="AH513" i="1"/>
  <c r="AI513" i="1"/>
  <c r="AJ513" i="1"/>
  <c r="AF515" i="1"/>
  <c r="AG515" i="1"/>
  <c r="AH515" i="1"/>
  <c r="AI515" i="1"/>
  <c r="AJ515" i="1"/>
  <c r="AF516" i="1"/>
  <c r="AG516" i="1"/>
  <c r="AH516" i="1"/>
  <c r="AI516" i="1"/>
  <c r="AJ516" i="1"/>
  <c r="AF517" i="1"/>
  <c r="AG517" i="1"/>
  <c r="AH517" i="1"/>
  <c r="AI517" i="1"/>
  <c r="AJ517" i="1"/>
  <c r="AF518" i="1"/>
  <c r="AG518" i="1"/>
  <c r="AH518" i="1"/>
  <c r="AI518" i="1"/>
  <c r="AJ518" i="1"/>
  <c r="AF519" i="1"/>
  <c r="AG519" i="1"/>
  <c r="AH519" i="1"/>
  <c r="AI519" i="1"/>
  <c r="AJ519" i="1"/>
  <c r="AF520" i="1"/>
  <c r="AG520" i="1"/>
  <c r="AH520" i="1"/>
  <c r="AI520" i="1"/>
  <c r="AJ520" i="1"/>
  <c r="AF521" i="1"/>
  <c r="AG521" i="1"/>
  <c r="AH521" i="1"/>
  <c r="AI521" i="1"/>
  <c r="AJ521" i="1"/>
  <c r="AF522" i="1"/>
  <c r="AG522" i="1"/>
  <c r="AH522" i="1"/>
  <c r="AI522" i="1"/>
  <c r="AJ522" i="1"/>
  <c r="AF524" i="1"/>
  <c r="AG524" i="1"/>
  <c r="AH524" i="1"/>
  <c r="AI524" i="1"/>
  <c r="AJ524" i="1"/>
  <c r="AF523" i="1"/>
  <c r="AG523" i="1"/>
  <c r="AH523" i="1"/>
  <c r="AI523" i="1"/>
  <c r="AJ523" i="1"/>
  <c r="AF527" i="1"/>
  <c r="AG527" i="1"/>
  <c r="AH527" i="1"/>
  <c r="AI527" i="1"/>
  <c r="AJ527" i="1"/>
  <c r="AF528" i="1"/>
  <c r="AG528" i="1"/>
  <c r="AH528" i="1"/>
  <c r="AI528" i="1"/>
  <c r="AJ528" i="1"/>
  <c r="AF525" i="1"/>
  <c r="AG525" i="1"/>
  <c r="AH525" i="1"/>
  <c r="AI525" i="1"/>
  <c r="AJ525" i="1"/>
  <c r="AF526" i="1"/>
  <c r="AG526" i="1"/>
  <c r="AH526" i="1"/>
  <c r="AI526" i="1"/>
  <c r="AJ526" i="1"/>
  <c r="AF529" i="1"/>
  <c r="AG529" i="1"/>
  <c r="AH529" i="1"/>
  <c r="AI529" i="1"/>
  <c r="AJ529" i="1"/>
  <c r="AF530" i="1"/>
  <c r="AG530" i="1"/>
  <c r="AH530" i="1"/>
  <c r="AI530" i="1"/>
  <c r="AJ530" i="1"/>
  <c r="AF531" i="1"/>
  <c r="AG531" i="1"/>
  <c r="AH531" i="1"/>
  <c r="AI531" i="1"/>
  <c r="AJ531" i="1"/>
  <c r="AF532" i="1"/>
  <c r="AG532" i="1"/>
  <c r="AH532" i="1"/>
  <c r="AI532" i="1"/>
  <c r="AJ532" i="1"/>
  <c r="AF535" i="1"/>
  <c r="AG535" i="1"/>
  <c r="AH535" i="1"/>
  <c r="AI535" i="1"/>
  <c r="AJ535" i="1"/>
  <c r="AF533" i="1"/>
  <c r="AG533" i="1"/>
  <c r="AH533" i="1"/>
  <c r="AI533" i="1"/>
  <c r="AJ533" i="1"/>
  <c r="AF534" i="1"/>
  <c r="AG534" i="1"/>
  <c r="AH534" i="1"/>
  <c r="AI534" i="1"/>
  <c r="AJ534" i="1"/>
  <c r="AF536" i="1"/>
  <c r="AG536" i="1"/>
  <c r="AH536" i="1"/>
  <c r="AI536" i="1"/>
  <c r="AJ536" i="1"/>
  <c r="AF537" i="1"/>
  <c r="AG537" i="1"/>
  <c r="AH537" i="1"/>
  <c r="AI537" i="1"/>
  <c r="AJ537" i="1"/>
  <c r="AF538" i="1"/>
  <c r="AG538" i="1"/>
  <c r="AH538" i="1"/>
  <c r="AI538" i="1"/>
  <c r="AJ538" i="1"/>
  <c r="AF542" i="1"/>
  <c r="AG542" i="1"/>
  <c r="AH542" i="1"/>
  <c r="AI542" i="1"/>
  <c r="AJ542" i="1"/>
  <c r="AF539" i="1"/>
  <c r="AG539" i="1"/>
  <c r="AH539" i="1"/>
  <c r="AI539" i="1"/>
  <c r="AJ539" i="1"/>
  <c r="AF540" i="1"/>
  <c r="AG540" i="1"/>
  <c r="AH540" i="1"/>
  <c r="AI540" i="1"/>
  <c r="AJ540" i="1"/>
  <c r="AF541" i="1"/>
  <c r="AG541" i="1"/>
  <c r="AH541" i="1"/>
  <c r="AI541" i="1"/>
  <c r="AJ541" i="1"/>
  <c r="AF544" i="1"/>
  <c r="AG544" i="1"/>
  <c r="AH544" i="1"/>
  <c r="AI544" i="1"/>
  <c r="AJ544" i="1"/>
  <c r="AF543" i="1"/>
  <c r="AG543" i="1"/>
  <c r="AH543" i="1"/>
  <c r="AI543" i="1"/>
  <c r="AJ543" i="1"/>
  <c r="AF545" i="1"/>
  <c r="AG545" i="1"/>
  <c r="AH545" i="1"/>
  <c r="AI545" i="1"/>
  <c r="AJ545" i="1"/>
  <c r="AF546" i="1"/>
  <c r="AG546" i="1"/>
  <c r="AH546" i="1"/>
  <c r="AI546" i="1"/>
  <c r="AJ546" i="1"/>
  <c r="AF547" i="1"/>
  <c r="AG547" i="1"/>
  <c r="AH547" i="1"/>
  <c r="AI547" i="1"/>
  <c r="AJ547" i="1"/>
  <c r="AF550" i="1"/>
  <c r="AG550" i="1"/>
  <c r="AH550" i="1"/>
  <c r="AI550" i="1"/>
  <c r="AJ550" i="1"/>
  <c r="AF548" i="1"/>
  <c r="AG548" i="1"/>
  <c r="AH548" i="1"/>
  <c r="AI548" i="1"/>
  <c r="AJ548" i="1"/>
  <c r="AF549" i="1"/>
  <c r="AG549" i="1"/>
  <c r="AH549" i="1"/>
  <c r="AI549" i="1"/>
  <c r="AJ549" i="1"/>
  <c r="AF551" i="1"/>
  <c r="AG551" i="1"/>
  <c r="AH551" i="1"/>
  <c r="AI551" i="1"/>
  <c r="AJ551" i="1"/>
  <c r="AF552" i="1"/>
  <c r="AG552" i="1"/>
  <c r="AH552" i="1"/>
  <c r="AI552" i="1"/>
  <c r="AJ552" i="1"/>
  <c r="AF553" i="1"/>
  <c r="AG553" i="1"/>
  <c r="AH553" i="1"/>
  <c r="AI553" i="1"/>
  <c r="AJ553" i="1"/>
  <c r="AF555" i="1"/>
  <c r="AG555" i="1"/>
  <c r="AH555" i="1"/>
  <c r="AI555" i="1"/>
  <c r="AJ555" i="1"/>
  <c r="AF554" i="1"/>
  <c r="AG554" i="1"/>
  <c r="AH554" i="1"/>
  <c r="AI554" i="1"/>
  <c r="AJ554" i="1"/>
  <c r="AF556" i="1"/>
  <c r="AG556" i="1"/>
  <c r="AH556" i="1"/>
  <c r="AI556" i="1"/>
  <c r="AJ556" i="1"/>
  <c r="AF557" i="1"/>
  <c r="AG557" i="1"/>
  <c r="AH557" i="1"/>
  <c r="AI557" i="1"/>
  <c r="AJ557" i="1"/>
  <c r="AF559" i="1"/>
  <c r="AG559" i="1"/>
  <c r="AH559" i="1"/>
  <c r="AI559" i="1"/>
  <c r="AJ559" i="1"/>
  <c r="AF560" i="1"/>
  <c r="AG560" i="1"/>
  <c r="AH560" i="1"/>
  <c r="AI560" i="1"/>
  <c r="AJ560" i="1"/>
  <c r="AF558" i="1"/>
  <c r="AG558" i="1"/>
  <c r="AH558" i="1"/>
  <c r="AI558" i="1"/>
  <c r="AJ558" i="1"/>
  <c r="AF564" i="1"/>
  <c r="AG564" i="1"/>
  <c r="AH564" i="1"/>
  <c r="AI564" i="1"/>
  <c r="AJ564" i="1"/>
  <c r="AF561" i="1"/>
  <c r="AG561" i="1"/>
  <c r="AH561" i="1"/>
  <c r="AI561" i="1"/>
  <c r="AJ561" i="1"/>
  <c r="AF562" i="1"/>
  <c r="AG562" i="1"/>
  <c r="AH562" i="1"/>
  <c r="AI562" i="1"/>
  <c r="AJ562" i="1"/>
  <c r="AF563" i="1"/>
  <c r="AG563" i="1"/>
  <c r="AH563" i="1"/>
  <c r="AI563" i="1"/>
  <c r="AJ563" i="1"/>
  <c r="AF565" i="1"/>
  <c r="AG565" i="1"/>
  <c r="AH565" i="1"/>
  <c r="AI565" i="1"/>
  <c r="AJ565" i="1"/>
  <c r="AF566" i="1"/>
  <c r="AG566" i="1"/>
  <c r="AH566" i="1"/>
  <c r="AI566" i="1"/>
  <c r="AJ566" i="1"/>
  <c r="AF567" i="1"/>
  <c r="AG567" i="1"/>
  <c r="AH567" i="1"/>
  <c r="AI567" i="1"/>
  <c r="AJ567" i="1"/>
  <c r="AF568" i="1"/>
  <c r="AG568" i="1"/>
  <c r="AH568" i="1"/>
  <c r="AI568" i="1"/>
  <c r="AJ568" i="1"/>
  <c r="AF569" i="1"/>
  <c r="AG569" i="1"/>
  <c r="AH569" i="1"/>
  <c r="AI569" i="1"/>
  <c r="AJ569" i="1"/>
  <c r="AF570" i="1"/>
  <c r="AG570" i="1"/>
  <c r="AH570" i="1"/>
  <c r="AI570" i="1"/>
  <c r="AJ570" i="1"/>
  <c r="AF571" i="1"/>
  <c r="AG571" i="1"/>
  <c r="AH571" i="1"/>
  <c r="AI571" i="1"/>
  <c r="AJ571" i="1"/>
  <c r="AF572" i="1"/>
  <c r="AG572" i="1"/>
  <c r="AH572" i="1"/>
  <c r="AI572" i="1"/>
  <c r="AJ572" i="1"/>
  <c r="AF573" i="1"/>
  <c r="AG573" i="1"/>
  <c r="AH573" i="1"/>
  <c r="AI573" i="1"/>
  <c r="AJ573" i="1"/>
  <c r="AF574" i="1"/>
  <c r="AG574" i="1"/>
  <c r="AH574" i="1"/>
  <c r="AI574" i="1"/>
  <c r="AJ574" i="1"/>
  <c r="AF575" i="1"/>
  <c r="AG575" i="1"/>
  <c r="AH575" i="1"/>
  <c r="AI575" i="1"/>
  <c r="AJ575" i="1"/>
  <c r="AF576" i="1"/>
  <c r="AG576" i="1"/>
  <c r="AH576" i="1"/>
  <c r="AI576" i="1"/>
  <c r="AJ576" i="1"/>
  <c r="AF577" i="1"/>
  <c r="AG577" i="1"/>
  <c r="AH577" i="1"/>
  <c r="AI577" i="1"/>
  <c r="AJ577" i="1"/>
  <c r="AF578" i="1"/>
  <c r="AG578" i="1"/>
  <c r="AH578" i="1"/>
  <c r="AI578" i="1"/>
  <c r="AJ578" i="1"/>
  <c r="AF582" i="1"/>
  <c r="AG582" i="1"/>
  <c r="AH582" i="1"/>
  <c r="AI582" i="1"/>
  <c r="AJ582" i="1"/>
  <c r="AF579" i="1"/>
  <c r="AG579" i="1"/>
  <c r="AH579" i="1"/>
  <c r="AI579" i="1"/>
  <c r="AJ579" i="1"/>
  <c r="AF580" i="1"/>
  <c r="AG580" i="1"/>
  <c r="AH580" i="1"/>
  <c r="AI580" i="1"/>
  <c r="AJ580" i="1"/>
  <c r="AF583" i="1"/>
  <c r="AG583" i="1"/>
  <c r="AH583" i="1"/>
  <c r="AI583" i="1"/>
  <c r="AJ583" i="1"/>
  <c r="AF584" i="1"/>
  <c r="AG584" i="1"/>
  <c r="AH584" i="1"/>
  <c r="AI584" i="1"/>
  <c r="AJ584" i="1"/>
  <c r="AF585" i="1"/>
  <c r="AG585" i="1"/>
  <c r="AH585" i="1"/>
  <c r="AI585" i="1"/>
  <c r="AJ585" i="1"/>
  <c r="AF586" i="1"/>
  <c r="AG586" i="1"/>
  <c r="AH586" i="1"/>
  <c r="AI586" i="1"/>
  <c r="AJ586" i="1"/>
  <c r="AF587" i="1"/>
  <c r="AG587" i="1"/>
  <c r="AH587" i="1"/>
  <c r="AI587" i="1"/>
  <c r="AJ587" i="1"/>
  <c r="AF581" i="1"/>
  <c r="AG581" i="1"/>
  <c r="AH581" i="1"/>
  <c r="AI581" i="1"/>
  <c r="AJ581" i="1"/>
  <c r="AF588" i="1"/>
  <c r="AG588" i="1"/>
  <c r="AH588" i="1"/>
  <c r="AI588" i="1"/>
  <c r="AJ588" i="1"/>
  <c r="AF589" i="1"/>
  <c r="AG589" i="1"/>
  <c r="AH589" i="1"/>
  <c r="AI589" i="1"/>
  <c r="AJ589" i="1"/>
  <c r="AF591" i="1"/>
  <c r="AG591" i="1"/>
  <c r="AH591" i="1"/>
  <c r="AI591" i="1"/>
  <c r="AJ591" i="1"/>
  <c r="AF590" i="1"/>
  <c r="AG590" i="1"/>
  <c r="AH590" i="1"/>
  <c r="AI590" i="1"/>
  <c r="AJ590" i="1"/>
  <c r="AF592" i="1"/>
  <c r="AG592" i="1"/>
  <c r="AH592" i="1"/>
  <c r="AI592" i="1"/>
  <c r="AJ592" i="1"/>
  <c r="AF593" i="1"/>
  <c r="AG593" i="1"/>
  <c r="AH593" i="1"/>
  <c r="AI593" i="1"/>
  <c r="AJ593" i="1"/>
  <c r="AF594" i="1"/>
  <c r="AG594" i="1"/>
  <c r="AH594" i="1"/>
  <c r="AI594" i="1"/>
  <c r="AJ594" i="1"/>
  <c r="AF595" i="1"/>
  <c r="AG595" i="1"/>
  <c r="AH595" i="1"/>
  <c r="AI595" i="1"/>
  <c r="AJ595" i="1"/>
  <c r="AF596" i="1"/>
  <c r="AG596" i="1"/>
  <c r="AH596" i="1"/>
  <c r="AI596" i="1"/>
  <c r="AJ596" i="1"/>
  <c r="AF597" i="1"/>
  <c r="AG597" i="1"/>
  <c r="AH597" i="1"/>
  <c r="AI597" i="1"/>
  <c r="AJ597" i="1"/>
  <c r="AF600" i="1"/>
  <c r="AG600" i="1"/>
  <c r="AH600" i="1"/>
  <c r="AI600" i="1"/>
  <c r="AJ600" i="1"/>
  <c r="AF601" i="1"/>
  <c r="AG601" i="1"/>
  <c r="AH601" i="1"/>
  <c r="AI601" i="1"/>
  <c r="AJ601" i="1"/>
  <c r="AF598" i="1"/>
  <c r="AG598" i="1"/>
  <c r="AH598" i="1"/>
  <c r="AI598" i="1"/>
  <c r="AJ598" i="1"/>
  <c r="AF602" i="1"/>
  <c r="AG602" i="1"/>
  <c r="AH602" i="1"/>
  <c r="AI602" i="1"/>
  <c r="AJ602" i="1"/>
  <c r="AF599" i="1"/>
  <c r="AG599" i="1"/>
  <c r="AH599" i="1"/>
  <c r="AI599" i="1"/>
  <c r="AJ599" i="1"/>
  <c r="AF603" i="1"/>
  <c r="AG603" i="1"/>
  <c r="AH603" i="1"/>
  <c r="AI603" i="1"/>
  <c r="AJ603" i="1"/>
  <c r="AF604" i="1"/>
  <c r="AG604" i="1"/>
  <c r="AH604" i="1"/>
  <c r="AI604" i="1"/>
  <c r="AJ604" i="1"/>
  <c r="AF605" i="1"/>
  <c r="AG605" i="1"/>
  <c r="AH605" i="1"/>
  <c r="AI605" i="1"/>
  <c r="AJ605" i="1"/>
  <c r="AF606" i="1"/>
  <c r="AG606" i="1"/>
  <c r="AH606" i="1"/>
  <c r="AI606" i="1"/>
  <c r="AJ606" i="1"/>
  <c r="AF607" i="1"/>
  <c r="AG607" i="1"/>
  <c r="AH607" i="1"/>
  <c r="AI607" i="1"/>
  <c r="AJ607" i="1"/>
  <c r="AF608" i="1"/>
  <c r="AG608" i="1"/>
  <c r="AH608" i="1"/>
  <c r="AI608" i="1"/>
  <c r="AJ608" i="1"/>
  <c r="AF609" i="1"/>
  <c r="AG609" i="1"/>
  <c r="AH609" i="1"/>
  <c r="AI609" i="1"/>
  <c r="AJ609" i="1"/>
  <c r="AN4" i="1"/>
  <c r="AN5" i="1"/>
  <c r="AN6" i="1"/>
  <c r="AN7" i="1"/>
  <c r="AN8" i="1"/>
  <c r="AN9" i="1"/>
  <c r="AN10" i="1"/>
  <c r="AN11" i="1"/>
  <c r="AN12" i="1"/>
  <c r="AN13" i="1"/>
  <c r="AN14" i="1"/>
  <c r="AN15" i="1"/>
  <c r="AN16" i="1"/>
  <c r="AN17" i="1"/>
  <c r="AN18" i="1"/>
  <c r="AN19" i="1"/>
  <c r="AN27" i="1"/>
  <c r="AN20" i="1"/>
  <c r="AN21" i="1"/>
  <c r="AN28" i="1"/>
  <c r="AN29" i="1"/>
  <c r="AN34" i="1"/>
  <c r="AN67" i="1"/>
  <c r="AN125" i="1"/>
  <c r="AN30" i="1"/>
  <c r="AN26" i="1"/>
  <c r="AN31" i="1"/>
  <c r="AN42" i="1"/>
  <c r="AN75" i="1"/>
  <c r="AN130" i="1"/>
  <c r="AN35" i="1"/>
  <c r="AN68" i="1"/>
  <c r="AN123" i="1"/>
  <c r="AN32" i="1"/>
  <c r="AN65" i="1"/>
  <c r="AN116" i="1"/>
  <c r="AN33" i="1"/>
  <c r="AN66" i="1"/>
  <c r="AN117" i="1"/>
  <c r="AN22" i="1"/>
  <c r="AN55" i="1"/>
  <c r="AN113" i="1"/>
  <c r="AN46" i="1"/>
  <c r="AN47" i="1"/>
  <c r="AN50" i="1"/>
  <c r="AN51" i="1"/>
  <c r="AN48" i="1"/>
  <c r="AN49" i="1"/>
  <c r="AN52" i="1"/>
  <c r="AN53" i="1"/>
  <c r="AN61" i="1"/>
  <c r="AN62" i="1"/>
  <c r="AN54" i="1"/>
  <c r="AN63" i="1"/>
  <c r="AN64" i="1"/>
  <c r="AN43" i="1"/>
  <c r="AN76" i="1"/>
  <c r="AN131" i="1"/>
  <c r="AN37" i="1"/>
  <c r="AN59" i="1"/>
  <c r="AN60" i="1"/>
  <c r="AN70" i="1"/>
  <c r="AN126" i="1"/>
  <c r="AN38" i="1"/>
  <c r="AN71" i="1"/>
  <c r="AN127" i="1"/>
  <c r="AN39" i="1"/>
  <c r="AN72" i="1"/>
  <c r="AN128" i="1"/>
  <c r="AN40" i="1"/>
  <c r="AN73" i="1"/>
  <c r="AN129" i="1"/>
  <c r="AN23" i="1"/>
  <c r="AN56" i="1"/>
  <c r="AN118" i="1"/>
  <c r="AN79" i="1"/>
  <c r="AN80" i="1"/>
  <c r="AN92" i="1"/>
  <c r="AN81" i="1"/>
  <c r="AN82" i="1"/>
  <c r="AN83" i="1"/>
  <c r="AN88" i="1"/>
  <c r="AN89" i="1"/>
  <c r="AN84" i="1"/>
  <c r="AN90" i="1"/>
  <c r="AN91" i="1"/>
  <c r="AN85" i="1"/>
  <c r="AN86" i="1"/>
  <c r="AN87" i="1"/>
  <c r="AN93" i="1"/>
  <c r="AN94" i="1"/>
  <c r="AN95" i="1"/>
  <c r="AN97" i="1"/>
  <c r="AN98" i="1"/>
  <c r="AN99" i="1"/>
  <c r="AN100" i="1"/>
  <c r="AN192" i="1"/>
  <c r="AN96" i="1"/>
  <c r="AN101" i="1"/>
  <c r="AN187" i="1"/>
  <c r="AN103" i="1"/>
  <c r="AN106" i="1"/>
  <c r="AN107" i="1"/>
  <c r="AN104" i="1"/>
  <c r="AN139" i="1"/>
  <c r="AN105" i="1"/>
  <c r="AN110" i="1"/>
  <c r="AN111" i="1"/>
  <c r="AN44" i="1"/>
  <c r="AN77" i="1"/>
  <c r="AN115" i="1"/>
  <c r="AN120" i="1"/>
  <c r="AN121" i="1"/>
  <c r="AN132" i="1"/>
  <c r="AN36" i="1"/>
  <c r="AN69" i="1"/>
  <c r="AN124" i="1"/>
  <c r="AN112" i="1"/>
  <c r="AN24" i="1"/>
  <c r="AN57" i="1"/>
  <c r="AN114" i="1"/>
  <c r="AN41" i="1"/>
  <c r="AN74" i="1"/>
  <c r="AN133" i="1"/>
  <c r="AN45" i="1"/>
  <c r="AN78" i="1"/>
  <c r="AN134" i="1"/>
  <c r="AN25" i="1"/>
  <c r="AN58" i="1"/>
  <c r="AN119" i="1"/>
  <c r="AN135" i="1"/>
  <c r="AN136" i="1"/>
  <c r="AN137" i="1"/>
  <c r="AN138" i="1"/>
  <c r="AN141" i="1"/>
  <c r="AN140" i="1"/>
  <c r="AN142" i="1"/>
  <c r="AN145" i="1"/>
  <c r="AN146" i="1"/>
  <c r="AN143" i="1"/>
  <c r="AN144" i="1"/>
  <c r="AN147" i="1"/>
  <c r="AN148" i="1"/>
  <c r="AN149" i="1"/>
  <c r="AN160" i="1"/>
  <c r="AN161" i="1"/>
  <c r="AN150" i="1"/>
  <c r="AN151" i="1"/>
  <c r="AN152" i="1"/>
  <c r="AN153" i="1"/>
  <c r="AN158" i="1"/>
  <c r="AN159" i="1"/>
  <c r="AN165" i="1"/>
  <c r="AN162" i="1"/>
  <c r="AN166" i="1"/>
  <c r="AN170" i="1"/>
  <c r="AN175" i="1"/>
  <c r="AN181" i="1"/>
  <c r="AN183" i="1"/>
  <c r="AN184" i="1"/>
  <c r="AN185" i="1"/>
  <c r="AN186" i="1"/>
  <c r="AN188" i="1"/>
  <c r="AN189" i="1"/>
  <c r="AN190" i="1"/>
  <c r="AN195" i="1"/>
  <c r="AN191" i="1"/>
  <c r="AN193" i="1"/>
  <c r="AN194" i="1"/>
  <c r="AN196" i="1"/>
  <c r="AN197" i="1"/>
  <c r="AN198" i="1"/>
  <c r="AN200" i="1"/>
  <c r="AN199" i="1"/>
  <c r="AN378" i="1"/>
  <c r="AN201" i="1"/>
  <c r="AN212" i="1"/>
  <c r="AN202" i="1"/>
  <c r="AN203" i="1"/>
  <c r="AN205" i="1"/>
  <c r="AN204" i="1"/>
  <c r="AN206" i="1"/>
  <c r="AN207" i="1"/>
  <c r="AN210" i="1"/>
  <c r="AN208" i="1"/>
  <c r="AN209" i="1"/>
  <c r="AN211" i="1"/>
  <c r="AN213" i="1"/>
  <c r="AN214" i="1"/>
  <c r="AN215" i="1"/>
  <c r="AN216" i="1"/>
  <c r="AN217" i="1"/>
  <c r="AN218" i="1"/>
  <c r="AN219" i="1"/>
  <c r="AN224" i="1"/>
  <c r="AN220" i="1"/>
  <c r="AN221" i="1"/>
  <c r="AN222" i="1"/>
  <c r="AN223" i="1"/>
  <c r="AN225" i="1"/>
  <c r="AN226" i="1"/>
  <c r="AN227" i="1"/>
  <c r="AN228" i="1"/>
  <c r="AN229" i="1"/>
  <c r="AN230" i="1"/>
  <c r="AN231" i="1"/>
  <c r="AN239" i="1"/>
  <c r="AN240" i="1"/>
  <c r="AN232" i="1"/>
  <c r="AN233" i="1"/>
  <c r="AN234" i="1"/>
  <c r="AN241" i="1"/>
  <c r="AN247" i="1"/>
  <c r="AN252" i="1"/>
  <c r="AN258" i="1"/>
  <c r="AN261" i="1"/>
  <c r="AN259" i="1"/>
  <c r="AN260" i="1"/>
  <c r="AN262" i="1"/>
  <c r="AN263" i="1"/>
  <c r="AN265" i="1"/>
  <c r="AN264" i="1"/>
  <c r="AN266" i="1"/>
  <c r="AN267" i="1"/>
  <c r="AN268" i="1"/>
  <c r="AN269" i="1"/>
  <c r="AN271" i="1"/>
  <c r="AN272" i="1"/>
  <c r="AN270" i="1"/>
  <c r="AN273" i="1"/>
  <c r="AN274" i="1"/>
  <c r="AN275" i="1"/>
  <c r="AN276" i="1"/>
  <c r="AN278" i="1"/>
  <c r="AN279" i="1"/>
  <c r="AN277" i="1"/>
  <c r="AN280" i="1"/>
  <c r="AN283" i="1"/>
  <c r="AN281" i="1"/>
  <c r="AN282" i="1"/>
  <c r="AN285" i="1"/>
  <c r="AN286" i="1"/>
  <c r="AN284" i="1"/>
  <c r="AN287" i="1"/>
  <c r="AN288" i="1"/>
  <c r="AN289" i="1"/>
  <c r="AN290" i="1"/>
  <c r="AN292" i="1"/>
  <c r="AN293" i="1"/>
  <c r="AN294" i="1"/>
  <c r="AN295" i="1"/>
  <c r="AN296" i="1"/>
  <c r="AN297" i="1"/>
  <c r="AN307" i="1"/>
  <c r="AN308" i="1"/>
  <c r="AN298" i="1"/>
  <c r="AN299" i="1"/>
  <c r="AN300" i="1"/>
  <c r="AN305" i="1"/>
  <c r="AN306" i="1"/>
  <c r="AN309" i="1"/>
  <c r="AN317" i="1"/>
  <c r="AN318" i="1"/>
  <c r="AN325" i="1"/>
  <c r="AN327" i="1"/>
  <c r="AN326" i="1"/>
  <c r="AN328" i="1"/>
  <c r="AN329" i="1"/>
  <c r="AN330" i="1"/>
  <c r="AN333" i="1"/>
  <c r="AN331" i="1"/>
  <c r="AN332" i="1"/>
  <c r="AN334" i="1"/>
  <c r="AN335" i="1"/>
  <c r="AN336" i="1"/>
  <c r="AN337" i="1"/>
  <c r="AN338" i="1"/>
  <c r="AN339" i="1"/>
  <c r="AN340" i="1"/>
  <c r="AN341" i="1"/>
  <c r="AN342" i="1"/>
  <c r="AN343" i="1"/>
  <c r="AN346" i="1"/>
  <c r="AN344" i="1"/>
  <c r="AN345" i="1"/>
  <c r="AN347" i="1"/>
  <c r="AN348" i="1"/>
  <c r="AN349" i="1"/>
  <c r="AN350" i="1"/>
  <c r="AN351" i="1"/>
  <c r="AN352" i="1"/>
  <c r="AN415" i="1"/>
  <c r="AN353" i="1"/>
  <c r="AN354" i="1"/>
  <c r="AN355" i="1"/>
  <c r="AN356" i="1"/>
  <c r="AN357" i="1"/>
  <c r="AN358" i="1"/>
  <c r="AN359" i="1"/>
  <c r="AN360" i="1"/>
  <c r="AN361" i="1"/>
  <c r="AN362" i="1"/>
  <c r="AN363" i="1"/>
  <c r="AN364" i="1"/>
  <c r="AN365" i="1"/>
  <c r="AN366" i="1"/>
  <c r="AN367" i="1"/>
  <c r="AN368" i="1"/>
  <c r="AN369" i="1"/>
  <c r="AN370" i="1"/>
  <c r="AN371" i="1"/>
  <c r="AN372" i="1"/>
  <c r="AN373" i="1"/>
  <c r="AN374" i="1"/>
  <c r="AN375" i="1"/>
  <c r="AN382" i="1"/>
  <c r="AN376" i="1"/>
  <c r="AN377" i="1"/>
  <c r="AN379" i="1"/>
  <c r="AN383" i="1"/>
  <c r="AN380" i="1"/>
  <c r="AN381" i="1"/>
  <c r="AN384" i="1"/>
  <c r="AN385" i="1"/>
  <c r="AN386" i="1"/>
  <c r="AN387" i="1"/>
  <c r="AN389" i="1"/>
  <c r="AN388" i="1"/>
  <c r="AN390" i="1"/>
  <c r="AN391" i="1"/>
  <c r="AN392" i="1"/>
  <c r="AN398" i="1"/>
  <c r="AN393" i="1"/>
  <c r="AN394" i="1"/>
  <c r="AN395" i="1"/>
  <c r="AN396" i="1"/>
  <c r="AN397" i="1"/>
  <c r="AN400" i="1"/>
  <c r="AN399" i="1"/>
  <c r="AN401" i="1"/>
  <c r="AN405" i="1"/>
  <c r="AN402" i="1"/>
  <c r="AN404" i="1"/>
  <c r="AN403" i="1"/>
  <c r="AN406" i="1"/>
  <c r="AN407" i="1"/>
  <c r="AN408" i="1"/>
  <c r="AN409" i="1"/>
  <c r="AN410" i="1"/>
  <c r="AN413" i="1"/>
  <c r="AN411" i="1"/>
  <c r="AN412" i="1"/>
  <c r="AN414" i="1"/>
  <c r="AN416" i="1"/>
  <c r="AN418" i="1"/>
  <c r="AN417" i="1"/>
  <c r="AN419" i="1"/>
  <c r="AN420" i="1"/>
  <c r="AN421" i="1"/>
  <c r="AN422" i="1"/>
  <c r="AN424" i="1"/>
  <c r="AN423" i="1"/>
  <c r="AN425" i="1"/>
  <c r="AN426" i="1"/>
  <c r="AN427" i="1"/>
  <c r="AN428" i="1"/>
  <c r="AN430" i="1"/>
  <c r="AN429" i="1"/>
  <c r="AN431" i="1"/>
  <c r="AN435" i="1"/>
  <c r="AN432" i="1"/>
  <c r="AN433" i="1"/>
  <c r="AN434" i="1"/>
  <c r="AN436" i="1"/>
  <c r="AN439" i="1"/>
  <c r="AN437" i="1"/>
  <c r="AN438" i="1"/>
  <c r="AN440" i="1"/>
  <c r="AN441" i="1"/>
  <c r="AN442" i="1"/>
  <c r="AN443" i="1"/>
  <c r="AN444" i="1"/>
  <c r="AN445" i="1"/>
  <c r="AN446" i="1"/>
  <c r="AN447" i="1"/>
  <c r="AN448" i="1"/>
  <c r="AN449" i="1"/>
  <c r="AN450" i="1"/>
  <c r="AN451" i="1"/>
  <c r="AN452" i="1"/>
  <c r="AN454" i="1"/>
  <c r="AN455" i="1"/>
  <c r="AN453" i="1"/>
  <c r="AN456" i="1"/>
  <c r="AN457" i="1"/>
  <c r="AN459" i="1"/>
  <c r="AN458" i="1"/>
  <c r="AN460" i="1"/>
  <c r="AN461" i="1"/>
  <c r="AN462" i="1"/>
  <c r="AN463" i="1"/>
  <c r="AN464" i="1"/>
  <c r="AN465" i="1"/>
  <c r="AN466" i="1"/>
  <c r="AN468" i="1"/>
  <c r="AN467" i="1"/>
  <c r="AN469" i="1"/>
  <c r="AN470" i="1"/>
  <c r="AN471" i="1"/>
  <c r="AN472" i="1"/>
  <c r="AN474" i="1"/>
  <c r="AN473" i="1"/>
  <c r="AN475" i="1"/>
  <c r="AN476" i="1"/>
  <c r="AN477" i="1"/>
  <c r="AN478" i="1"/>
  <c r="AN479" i="1"/>
  <c r="AN480" i="1"/>
  <c r="AN481" i="1"/>
  <c r="AN482" i="1"/>
  <c r="AN483" i="1"/>
  <c r="AN484" i="1"/>
  <c r="AN486" i="1"/>
  <c r="AN485" i="1"/>
  <c r="AN487" i="1"/>
  <c r="AN488" i="1"/>
  <c r="AN489" i="1"/>
  <c r="AN492" i="1"/>
  <c r="AN490" i="1"/>
  <c r="AN491" i="1"/>
  <c r="AN495" i="1"/>
  <c r="AN493" i="1"/>
  <c r="AN494" i="1"/>
  <c r="AN496" i="1"/>
  <c r="AN497" i="1"/>
  <c r="AN498" i="1"/>
  <c r="AN499" i="1"/>
  <c r="AN500" i="1"/>
  <c r="AN501" i="1"/>
  <c r="AN502" i="1"/>
  <c r="AN503" i="1"/>
  <c r="AN504" i="1"/>
  <c r="AN505" i="1"/>
  <c r="AN506" i="1"/>
  <c r="AN507" i="1"/>
  <c r="AN508" i="1"/>
  <c r="AN509" i="1"/>
  <c r="AN510" i="1"/>
  <c r="AN511" i="1"/>
  <c r="AN514" i="1"/>
  <c r="AN512" i="1"/>
  <c r="AN513" i="1"/>
  <c r="AN515" i="1"/>
  <c r="AN516" i="1"/>
  <c r="AN517" i="1"/>
  <c r="AN518" i="1"/>
  <c r="AN519" i="1"/>
  <c r="AN520" i="1"/>
  <c r="AN521" i="1"/>
  <c r="AN522" i="1"/>
  <c r="AN524" i="1"/>
  <c r="AN523" i="1"/>
  <c r="AN527" i="1"/>
  <c r="AN528" i="1"/>
  <c r="AN525" i="1"/>
  <c r="AN526" i="1"/>
  <c r="AN529" i="1"/>
  <c r="AN530" i="1"/>
  <c r="AN531" i="1"/>
  <c r="AN532" i="1"/>
  <c r="AN535" i="1"/>
  <c r="AN533" i="1"/>
  <c r="AN534" i="1"/>
  <c r="AN536" i="1"/>
  <c r="AN537" i="1"/>
  <c r="AN538" i="1"/>
  <c r="AN542" i="1"/>
  <c r="AN539" i="1"/>
  <c r="AN540" i="1"/>
  <c r="AN541" i="1"/>
  <c r="AN544" i="1"/>
  <c r="AN543" i="1"/>
  <c r="AN545" i="1"/>
  <c r="AN546" i="1"/>
  <c r="AN547" i="1"/>
  <c r="AN550" i="1"/>
  <c r="AN548" i="1"/>
  <c r="AN549" i="1"/>
  <c r="AN551" i="1"/>
  <c r="AN552" i="1"/>
  <c r="AN553" i="1"/>
  <c r="AN555" i="1"/>
  <c r="AN554" i="1"/>
  <c r="AN556" i="1"/>
  <c r="AN557" i="1"/>
  <c r="AN559" i="1"/>
  <c r="AN560" i="1"/>
  <c r="AN558" i="1"/>
  <c r="AN564" i="1"/>
  <c r="AN561" i="1"/>
  <c r="AN562" i="1"/>
  <c r="AN563" i="1"/>
  <c r="AN565" i="1"/>
  <c r="AN566" i="1"/>
  <c r="AN567" i="1"/>
  <c r="AN568" i="1"/>
  <c r="AN569" i="1"/>
  <c r="AN570" i="1"/>
  <c r="AN571" i="1"/>
  <c r="AN572" i="1"/>
  <c r="AN573" i="1"/>
  <c r="AN574" i="1"/>
  <c r="AN575" i="1"/>
  <c r="AN576" i="1"/>
  <c r="AN577" i="1"/>
  <c r="AN578" i="1"/>
  <c r="AN582" i="1"/>
  <c r="AN579" i="1"/>
  <c r="AN580" i="1"/>
  <c r="AN583" i="1"/>
  <c r="AN584" i="1"/>
  <c r="AN585" i="1"/>
  <c r="AN586" i="1"/>
  <c r="AN587" i="1"/>
  <c r="AN581" i="1"/>
  <c r="AN588" i="1"/>
  <c r="AN589" i="1"/>
  <c r="AN591" i="1"/>
  <c r="AN590" i="1"/>
  <c r="AN592" i="1"/>
  <c r="AN593" i="1"/>
  <c r="AN594" i="1"/>
  <c r="AN595" i="1"/>
  <c r="AN596" i="1"/>
  <c r="AN597" i="1"/>
  <c r="AN600" i="1"/>
  <c r="AN601" i="1"/>
  <c r="AN598" i="1"/>
  <c r="AN602" i="1"/>
  <c r="AN599" i="1"/>
  <c r="AN603" i="1"/>
  <c r="AN604" i="1"/>
  <c r="AN605" i="1"/>
  <c r="AN606" i="1"/>
  <c r="AN607" i="1"/>
  <c r="AN608" i="1"/>
  <c r="AN609" i="1"/>
  <c r="Z12" i="41"/>
  <c r="AA12" i="41"/>
  <c r="AB12" i="41"/>
  <c r="AC12" i="41"/>
  <c r="AD12" i="41"/>
  <c r="AH12" i="41"/>
  <c r="N12" i="41"/>
  <c r="O12" i="41"/>
  <c r="P12" i="41"/>
  <c r="AE11" i="41"/>
  <c r="AF11" i="41"/>
  <c r="AG11" i="41"/>
  <c r="AH11" i="41"/>
  <c r="AI11" i="41"/>
  <c r="AM11" i="41"/>
  <c r="S11" i="41"/>
  <c r="T11" i="41"/>
  <c r="U11" i="41"/>
  <c r="C11" i="41"/>
  <c r="D43" i="1"/>
  <c r="X43" i="1"/>
  <c r="U43" i="1"/>
  <c r="D133" i="1"/>
  <c r="X133" i="1"/>
  <c r="U133" i="1"/>
  <c r="D130" i="1"/>
  <c r="X130" i="1"/>
  <c r="U130" i="1"/>
  <c r="D131" i="1"/>
  <c r="X131" i="1"/>
  <c r="U131" i="1"/>
  <c r="D125" i="1"/>
  <c r="X125" i="1"/>
  <c r="U125" i="1"/>
  <c r="D128" i="1"/>
  <c r="X128" i="1"/>
  <c r="U128" i="1"/>
  <c r="D126" i="1"/>
  <c r="X126" i="1"/>
  <c r="U126" i="1"/>
  <c r="D127" i="1"/>
  <c r="X127" i="1"/>
  <c r="U127" i="1"/>
  <c r="D129" i="1"/>
  <c r="X129" i="1"/>
  <c r="U129" i="1"/>
  <c r="D124" i="1"/>
  <c r="X124" i="1"/>
  <c r="U124" i="1"/>
  <c r="D119" i="1"/>
  <c r="X119" i="1"/>
  <c r="U119" i="1"/>
  <c r="D118" i="1"/>
  <c r="X118" i="1"/>
  <c r="U118" i="1"/>
  <c r="D114" i="1"/>
  <c r="X114" i="1"/>
  <c r="U114" i="1"/>
  <c r="T4" i="1"/>
  <c r="X4" i="1" s="1"/>
  <c r="T5" i="1"/>
  <c r="X5" i="1" s="1"/>
  <c r="T6" i="1"/>
  <c r="X6" i="1" s="1"/>
  <c r="T7" i="1"/>
  <c r="X7" i="1" s="1"/>
  <c r="T11" i="1"/>
  <c r="T13" i="1"/>
  <c r="X13" i="1" s="1"/>
  <c r="T8" i="1"/>
  <c r="X8" i="1" s="1"/>
  <c r="T9" i="1"/>
  <c r="X9" i="1" s="1"/>
  <c r="T10" i="1"/>
  <c r="X10" i="1" s="1"/>
  <c r="T12" i="1"/>
  <c r="X12" i="1" s="1"/>
  <c r="T14" i="1"/>
  <c r="X14" i="1" s="1"/>
  <c r="T15" i="1"/>
  <c r="X15" i="1" s="1"/>
  <c r="T16" i="1"/>
  <c r="T17" i="1"/>
  <c r="X17" i="1" s="1"/>
  <c r="X18" i="1"/>
  <c r="X21" i="1"/>
  <c r="X19" i="1"/>
  <c r="T27" i="1"/>
  <c r="X27" i="1" s="1"/>
  <c r="X20" i="1"/>
  <c r="X28" i="1"/>
  <c r="L20" i="17" s="1"/>
  <c r="T30" i="1"/>
  <c r="X30" i="1" s="1"/>
  <c r="T29" i="1"/>
  <c r="X29" i="1" s="1"/>
  <c r="X138" i="1"/>
  <c r="T22" i="1"/>
  <c r="X22" i="1" s="1"/>
  <c r="X148" i="1"/>
  <c r="X206" i="1"/>
  <c r="X24" i="1"/>
  <c r="X25" i="1"/>
  <c r="X23" i="1"/>
  <c r="X32" i="1"/>
  <c r="X33" i="1"/>
  <c r="X36" i="1"/>
  <c r="X34" i="1"/>
  <c r="X35" i="1"/>
  <c r="X228" i="1"/>
  <c r="X37" i="1"/>
  <c r="X39" i="1"/>
  <c r="X38" i="1"/>
  <c r="X40" i="1"/>
  <c r="X41" i="1"/>
  <c r="X44" i="1"/>
  <c r="X45" i="1"/>
  <c r="X42" i="1"/>
  <c r="X267" i="1"/>
  <c r="X268" i="1"/>
  <c r="X47" i="1"/>
  <c r="X50" i="1"/>
  <c r="X49" i="1"/>
  <c r="X51" i="1"/>
  <c r="X48" i="1"/>
  <c r="X53" i="1"/>
  <c r="X61" i="1"/>
  <c r="X62" i="1"/>
  <c r="X54" i="1"/>
  <c r="X92" i="1"/>
  <c r="X64" i="1"/>
  <c r="X57" i="1"/>
  <c r="X58" i="1"/>
  <c r="X56" i="1"/>
  <c r="X55" i="1"/>
  <c r="X115" i="1"/>
  <c r="X145" i="1"/>
  <c r="X65" i="1"/>
  <c r="X66" i="1"/>
  <c r="X69" i="1"/>
  <c r="X67" i="1"/>
  <c r="X68" i="1"/>
  <c r="X226" i="1"/>
  <c r="X72" i="1"/>
  <c r="X70" i="1"/>
  <c r="X71" i="1"/>
  <c r="X73" i="1"/>
  <c r="X74" i="1"/>
  <c r="X77" i="1"/>
  <c r="X76" i="1"/>
  <c r="X75" i="1"/>
  <c r="X278" i="1"/>
  <c r="X149" i="1"/>
  <c r="X79" i="1"/>
  <c r="X162" i="1"/>
  <c r="X82" i="1"/>
  <c r="X83" i="1"/>
  <c r="X88" i="1"/>
  <c r="X89" i="1"/>
  <c r="X84" i="1"/>
  <c r="X201" i="1"/>
  <c r="X91" i="1"/>
  <c r="X85" i="1"/>
  <c r="X208" i="1"/>
  <c r="X209" i="1"/>
  <c r="X93" i="1"/>
  <c r="X94" i="1"/>
  <c r="X95" i="1"/>
  <c r="X98" i="1"/>
  <c r="X97" i="1"/>
  <c r="X192" i="1"/>
  <c r="X99" i="1"/>
  <c r="X220" i="1"/>
  <c r="X221" i="1"/>
  <c r="X101" i="1"/>
  <c r="X230" i="1"/>
  <c r="X106" i="1"/>
  <c r="X139" i="1"/>
  <c r="X107" i="1"/>
  <c r="X231" i="1"/>
  <c r="X259" i="1"/>
  <c r="X273" i="1"/>
  <c r="X113" i="1"/>
  <c r="X281" i="1"/>
  <c r="X121" i="1"/>
  <c r="X120" i="1"/>
  <c r="X116" i="1"/>
  <c r="X117" i="1"/>
  <c r="X112" i="1"/>
  <c r="X123" i="1"/>
  <c r="X287" i="1"/>
  <c r="X295" i="1"/>
  <c r="X296" i="1"/>
  <c r="X135" i="1"/>
  <c r="X136" i="1"/>
  <c r="X293" i="1"/>
  <c r="X213" i="1"/>
  <c r="X285" i="1"/>
  <c r="X275" i="1"/>
  <c r="X327" i="1"/>
  <c r="X326" i="1"/>
  <c r="X214" i="1"/>
  <c r="X286" i="1"/>
  <c r="X258" i="1"/>
  <c r="X205" i="1"/>
  <c r="X279" i="1"/>
  <c r="X161" i="1"/>
  <c r="X137" i="1"/>
  <c r="X143" i="1"/>
  <c r="X181" i="1"/>
  <c r="X144" i="1"/>
  <c r="X188" i="1"/>
  <c r="X189" i="1"/>
  <c r="X197" i="1"/>
  <c r="X198" i="1"/>
  <c r="X204" i="1"/>
  <c r="X217" i="1"/>
  <c r="X264" i="1"/>
  <c r="X277" i="1"/>
  <c r="X292" i="1"/>
  <c r="X325" i="1"/>
  <c r="X147" i="1"/>
  <c r="X266" i="1"/>
  <c r="X288" i="1"/>
  <c r="X165" i="1"/>
  <c r="X196" i="1"/>
  <c r="X202" i="1"/>
  <c r="X224" i="1"/>
  <c r="X183" i="1"/>
  <c r="X262" i="1"/>
  <c r="X284" i="1"/>
  <c r="X190" i="1"/>
  <c r="X280" i="1"/>
  <c r="X207" i="1"/>
  <c r="X218" i="1"/>
  <c r="X229" i="1"/>
  <c r="X269" i="1"/>
  <c r="X294" i="1"/>
  <c r="X141" i="1"/>
  <c r="X195" i="1"/>
  <c r="X210" i="1"/>
  <c r="X261" i="1"/>
  <c r="X283" i="1"/>
  <c r="X222" i="1"/>
  <c r="X184" i="1"/>
  <c r="X212" i="1"/>
  <c r="X219" i="1"/>
  <c r="X329" i="1"/>
  <c r="X185" i="1"/>
  <c r="X297" i="1"/>
  <c r="X142" i="1"/>
  <c r="X151" i="1"/>
  <c r="X186" i="1"/>
  <c r="X166" i="1"/>
  <c r="X240" i="1"/>
  <c r="X170" i="1"/>
  <c r="X272" i="1"/>
  <c r="X216" i="1"/>
  <c r="X299" i="1"/>
  <c r="X308" i="1"/>
  <c r="X150" i="1"/>
  <c r="X232" i="1"/>
  <c r="X309" i="1"/>
  <c r="X318" i="1"/>
  <c r="X63" i="1"/>
  <c r="X298" i="1"/>
  <c r="X153" i="1"/>
  <c r="X193" i="1"/>
  <c r="X90" i="1"/>
  <c r="X378" i="1"/>
  <c r="X100" i="1"/>
  <c r="X111" i="1"/>
  <c r="X234" i="1"/>
  <c r="X260" i="1"/>
  <c r="X160" i="1"/>
  <c r="X200" i="1"/>
  <c r="X211" i="1"/>
  <c r="X239" i="1"/>
  <c r="X241" i="1"/>
  <c r="X328" i="1"/>
  <c r="X271" i="1"/>
  <c r="X307" i="1"/>
  <c r="X59" i="1"/>
  <c r="X87" i="1"/>
  <c r="X96" i="1"/>
  <c r="X105" i="1"/>
  <c r="X26" i="1"/>
  <c r="X346" i="1"/>
  <c r="X140" i="1"/>
  <c r="X158" i="1"/>
  <c r="X194" i="1"/>
  <c r="X223" i="1"/>
  <c r="X305" i="1"/>
  <c r="X103" i="1"/>
  <c r="X146" i="1"/>
  <c r="X227" i="1"/>
  <c r="X60" i="1"/>
  <c r="X159" i="1"/>
  <c r="X306" i="1"/>
  <c r="X282" i="1"/>
  <c r="L61" i="17" s="1"/>
  <c r="X86" i="1"/>
  <c r="X104" i="1"/>
  <c r="X152" i="1"/>
  <c r="X191" i="1"/>
  <c r="X199" i="1"/>
  <c r="AL477" i="1"/>
  <c r="X233" i="1"/>
  <c r="X270" i="1"/>
  <c r="X300" i="1"/>
  <c r="X132" i="1"/>
  <c r="X78" i="1"/>
  <c r="X134" i="1"/>
  <c r="AL547" i="1"/>
  <c r="X31" i="1"/>
  <c r="X175" i="1"/>
  <c r="X203" i="1"/>
  <c r="X215" i="1"/>
  <c r="X225" i="1"/>
  <c r="X247" i="1"/>
  <c r="X252" i="1"/>
  <c r="X263" i="1"/>
  <c r="X276" i="1"/>
  <c r="X289" i="1"/>
  <c r="X290" i="1"/>
  <c r="X317" i="1"/>
  <c r="U263" i="1"/>
  <c r="U276" i="1"/>
  <c r="U289" i="1"/>
  <c r="U290" i="1"/>
  <c r="U317" i="1"/>
  <c r="U252" i="1"/>
  <c r="U247" i="1"/>
  <c r="U215" i="1"/>
  <c r="U225" i="1"/>
  <c r="U203" i="1"/>
  <c r="U175" i="1"/>
  <c r="U31" i="1"/>
  <c r="U134" i="1"/>
  <c r="U78" i="1"/>
  <c r="U132" i="1"/>
  <c r="U300" i="1"/>
  <c r="U233" i="1"/>
  <c r="U270" i="1"/>
  <c r="U199" i="1"/>
  <c r="U191" i="1"/>
  <c r="U152" i="1"/>
  <c r="U104" i="1"/>
  <c r="U282" i="1"/>
  <c r="U86" i="1"/>
  <c r="U306" i="1"/>
  <c r="U159" i="1"/>
  <c r="U146" i="1"/>
  <c r="U227" i="1"/>
  <c r="U60" i="1"/>
  <c r="U81" i="1"/>
  <c r="U103" i="1"/>
  <c r="U223" i="1"/>
  <c r="U305" i="1"/>
  <c r="U140" i="1"/>
  <c r="U158" i="1"/>
  <c r="U194" i="1"/>
  <c r="U96" i="1"/>
  <c r="U105" i="1"/>
  <c r="U26" i="1"/>
  <c r="U271" i="1"/>
  <c r="U307" i="1"/>
  <c r="U59" i="1"/>
  <c r="U87" i="1"/>
  <c r="U241" i="1"/>
  <c r="U328" i="1"/>
  <c r="U151" i="1"/>
  <c r="U186" i="1"/>
  <c r="U166" i="1"/>
  <c r="U240" i="1"/>
  <c r="U170" i="1"/>
  <c r="U272" i="1"/>
  <c r="U216" i="1"/>
  <c r="U299" i="1"/>
  <c r="U308" i="1"/>
  <c r="U150" i="1"/>
  <c r="U232" i="1"/>
  <c r="U309" i="1"/>
  <c r="U318" i="1"/>
  <c r="U63" i="1"/>
  <c r="U298" i="1"/>
  <c r="U153" i="1"/>
  <c r="U193" i="1"/>
  <c r="U90" i="1"/>
  <c r="U378" i="1"/>
  <c r="U100" i="1"/>
  <c r="U111" i="1"/>
  <c r="U234" i="1"/>
  <c r="U260" i="1"/>
  <c r="U160" i="1"/>
  <c r="U200" i="1"/>
  <c r="U211" i="1"/>
  <c r="U239" i="1"/>
  <c r="U329" i="1"/>
  <c r="U185" i="1"/>
  <c r="U297" i="1"/>
  <c r="U142" i="1"/>
  <c r="U219" i="1"/>
  <c r="U274" i="1"/>
  <c r="U184" i="1"/>
  <c r="U212" i="1"/>
  <c r="U283" i="1"/>
  <c r="U222" i="1"/>
  <c r="U210" i="1"/>
  <c r="U261" i="1"/>
  <c r="U195" i="1"/>
  <c r="U294" i="1"/>
  <c r="U141" i="1"/>
  <c r="U229" i="1"/>
  <c r="U269" i="1"/>
  <c r="U207" i="1"/>
  <c r="U218" i="1"/>
  <c r="U183" i="1"/>
  <c r="U262" i="1"/>
  <c r="U284" i="1"/>
  <c r="U190" i="1"/>
  <c r="U280" i="1"/>
  <c r="U196" i="1"/>
  <c r="U202" i="1"/>
  <c r="U224" i="1"/>
  <c r="U288" i="1"/>
  <c r="U165" i="1"/>
  <c r="U266" i="1"/>
  <c r="U264" i="1"/>
  <c r="U277" i="1"/>
  <c r="U292" i="1"/>
  <c r="U325" i="1"/>
  <c r="U147" i="1"/>
  <c r="U197" i="1"/>
  <c r="U198" i="1"/>
  <c r="U204" i="1"/>
  <c r="U217" i="1"/>
  <c r="U144" i="1"/>
  <c r="U188" i="1"/>
  <c r="U189" i="1"/>
  <c r="U181" i="1"/>
  <c r="U143" i="1"/>
  <c r="U279" i="1"/>
  <c r="U161" i="1"/>
  <c r="U137" i="1"/>
  <c r="U205" i="1"/>
  <c r="U214" i="1"/>
  <c r="U286" i="1"/>
  <c r="U258" i="1"/>
  <c r="U75" i="1"/>
  <c r="U278" i="1"/>
  <c r="U149" i="1"/>
  <c r="U79" i="1"/>
  <c r="U80" i="1"/>
  <c r="U162" i="1"/>
  <c r="U82" i="1"/>
  <c r="U83" i="1"/>
  <c r="U88" i="1"/>
  <c r="U89" i="1"/>
  <c r="U84" i="1"/>
  <c r="U201" i="1"/>
  <c r="U91" i="1"/>
  <c r="U85" i="1"/>
  <c r="U208" i="1"/>
  <c r="U209" i="1"/>
  <c r="U93" i="1"/>
  <c r="U94" i="1"/>
  <c r="U95" i="1"/>
  <c r="U98" i="1"/>
  <c r="U97" i="1"/>
  <c r="U192" i="1"/>
  <c r="U99" i="1"/>
  <c r="U220" i="1"/>
  <c r="U221" i="1"/>
  <c r="U101" i="1"/>
  <c r="U187" i="1"/>
  <c r="U230" i="1"/>
  <c r="U106" i="1"/>
  <c r="U139" i="1"/>
  <c r="U107" i="1"/>
  <c r="U231" i="1"/>
  <c r="U259" i="1"/>
  <c r="U110" i="1"/>
  <c r="U273" i="1"/>
  <c r="U113" i="1"/>
  <c r="U281" i="1"/>
  <c r="U121" i="1"/>
  <c r="U120" i="1"/>
  <c r="U116" i="1"/>
  <c r="U117" i="1"/>
  <c r="U112" i="1"/>
  <c r="U123" i="1"/>
  <c r="U287" i="1"/>
  <c r="U295" i="1"/>
  <c r="U296" i="1"/>
  <c r="U135" i="1"/>
  <c r="U136" i="1"/>
  <c r="U293" i="1"/>
  <c r="U265" i="1"/>
  <c r="U213" i="1"/>
  <c r="U285" i="1"/>
  <c r="U275" i="1"/>
  <c r="U327" i="1"/>
  <c r="U326" i="1"/>
  <c r="U61" i="1"/>
  <c r="U62" i="1"/>
  <c r="U54" i="1"/>
  <c r="U92" i="1"/>
  <c r="U64" i="1"/>
  <c r="U57" i="1"/>
  <c r="U58" i="1"/>
  <c r="U56" i="1"/>
  <c r="U55" i="1"/>
  <c r="U115" i="1"/>
  <c r="U145" i="1"/>
  <c r="U65" i="1"/>
  <c r="U66" i="1"/>
  <c r="U69" i="1"/>
  <c r="U67" i="1"/>
  <c r="U68" i="1"/>
  <c r="U226" i="1"/>
  <c r="U72" i="1"/>
  <c r="U70" i="1"/>
  <c r="U71" i="1"/>
  <c r="U73" i="1"/>
  <c r="U74" i="1"/>
  <c r="U44" i="1"/>
  <c r="U45" i="1"/>
  <c r="U42" i="1"/>
  <c r="U267" i="1"/>
  <c r="U268" i="1"/>
  <c r="U19" i="1"/>
  <c r="U27" i="1"/>
  <c r="U20" i="1"/>
  <c r="U28" i="1"/>
  <c r="U30" i="1"/>
  <c r="U29" i="1"/>
  <c r="U138" i="1"/>
  <c r="U22" i="1"/>
  <c r="U148" i="1"/>
  <c r="U206" i="1"/>
  <c r="U24" i="1"/>
  <c r="U25" i="1"/>
  <c r="U23" i="1"/>
  <c r="U32" i="1"/>
  <c r="U33" i="1"/>
  <c r="U36" i="1"/>
  <c r="U34" i="1"/>
  <c r="U35" i="1"/>
  <c r="U228" i="1"/>
  <c r="U4" i="1"/>
  <c r="U5" i="1"/>
  <c r="U6" i="1"/>
  <c r="U7" i="1"/>
  <c r="U11" i="1"/>
  <c r="U13" i="1"/>
  <c r="U8" i="1"/>
  <c r="U9" i="1"/>
  <c r="U10" i="1"/>
  <c r="U12" i="1"/>
  <c r="U14" i="1"/>
  <c r="U15" i="1"/>
  <c r="U16" i="1"/>
  <c r="U17" i="1"/>
  <c r="U18" i="1"/>
  <c r="U21" i="1"/>
  <c r="U37" i="1"/>
  <c r="U39" i="1"/>
  <c r="U38" i="1"/>
  <c r="U40" i="1"/>
  <c r="U41" i="1"/>
  <c r="U47" i="1"/>
  <c r="I25" i="33" s="1"/>
  <c r="M25" i="33" s="1"/>
  <c r="U46" i="1"/>
  <c r="U50" i="1"/>
  <c r="U49" i="1"/>
  <c r="I31" i="33" s="1"/>
  <c r="M31" i="33" s="1"/>
  <c r="U51" i="1"/>
  <c r="U48" i="1"/>
  <c r="U52" i="1"/>
  <c r="U53" i="1"/>
  <c r="U77" i="1"/>
  <c r="U76" i="1"/>
  <c r="U334" i="1"/>
  <c r="U348" i="1"/>
  <c r="U349" i="1"/>
  <c r="U350" i="1"/>
  <c r="U366" i="1"/>
  <c r="U367" i="1"/>
  <c r="U374" i="1"/>
  <c r="U406" i="1"/>
  <c r="U407" i="1"/>
  <c r="U440" i="1"/>
  <c r="U441" i="1"/>
  <c r="U500" i="1"/>
  <c r="U520" i="1"/>
  <c r="U537" i="1"/>
  <c r="U568" i="1"/>
  <c r="U584" i="1"/>
  <c r="U585" i="1"/>
  <c r="U600" i="1"/>
  <c r="U601" i="1"/>
  <c r="U363" i="1"/>
  <c r="U364" i="1"/>
  <c r="U375" i="1"/>
  <c r="U385" i="1"/>
  <c r="U400" i="1"/>
  <c r="U414" i="1"/>
  <c r="U442" i="1"/>
  <c r="U468" i="1"/>
  <c r="U474" i="1"/>
  <c r="U482" i="1"/>
  <c r="U501" i="1"/>
  <c r="U504" i="1"/>
  <c r="U527" i="1"/>
  <c r="U528" i="1"/>
  <c r="U566" i="1"/>
  <c r="U569" i="1"/>
  <c r="U576" i="1"/>
  <c r="U607" i="1"/>
  <c r="U340" i="1"/>
  <c r="U341" i="1"/>
  <c r="U351" i="1"/>
  <c r="U352" i="1"/>
  <c r="U415" i="1"/>
  <c r="U376" i="1"/>
  <c r="U391" i="1"/>
  <c r="U392" i="1"/>
  <c r="U426" i="1"/>
  <c r="U436" i="1"/>
  <c r="U443" i="1"/>
  <c r="U483" i="1"/>
  <c r="U330" i="1"/>
  <c r="U496" i="1"/>
  <c r="U516" i="1"/>
  <c r="U331" i="1"/>
  <c r="U332" i="1"/>
  <c r="U521" i="1"/>
  <c r="U336" i="1"/>
  <c r="U337" i="1"/>
  <c r="I19" i="33" s="1"/>
  <c r="M19" i="33" s="1"/>
  <c r="U551" i="1"/>
  <c r="U565" i="1"/>
  <c r="U577" i="1"/>
  <c r="U587" i="1"/>
  <c r="U602" i="1"/>
  <c r="U344" i="1"/>
  <c r="U345" i="1"/>
  <c r="U346" i="1"/>
  <c r="U347" i="1"/>
  <c r="U353" i="1"/>
  <c r="U354" i="1"/>
  <c r="U355" i="1"/>
  <c r="U358" i="1"/>
  <c r="U360" i="1"/>
  <c r="U365" i="1"/>
  <c r="U359" i="1"/>
  <c r="U393" i="1"/>
  <c r="U361" i="1"/>
  <c r="U411" i="1"/>
  <c r="U417" i="1"/>
  <c r="U419" i="1"/>
  <c r="U420" i="1"/>
  <c r="U368" i="1"/>
  <c r="U421" i="1"/>
  <c r="U444" i="1"/>
  <c r="U449" i="1"/>
  <c r="U370" i="1"/>
  <c r="U371" i="1"/>
  <c r="U451" i="1"/>
  <c r="U373" i="1"/>
  <c r="U382" i="1"/>
  <c r="U464" i="1"/>
  <c r="U470" i="1"/>
  <c r="U472" i="1"/>
  <c r="U480" i="1"/>
  <c r="U377" i="1"/>
  <c r="U379" i="1"/>
  <c r="U383" i="1"/>
  <c r="U485" i="1"/>
  <c r="U384" i="1"/>
  <c r="U489" i="1"/>
  <c r="U507" i="1"/>
  <c r="U530" i="1"/>
  <c r="U532" i="1"/>
  <c r="U557" i="1"/>
  <c r="U388" i="1"/>
  <c r="U390" i="1"/>
  <c r="U389" i="1"/>
  <c r="U395" i="1"/>
  <c r="U396" i="1"/>
  <c r="U459" i="1"/>
  <c r="U399" i="1"/>
  <c r="U492" i="1"/>
  <c r="U550" i="1"/>
  <c r="U582" i="1"/>
  <c r="U408" i="1"/>
  <c r="U409" i="1"/>
  <c r="U410" i="1"/>
  <c r="U402" i="1"/>
  <c r="U404" i="1"/>
  <c r="U403" i="1"/>
  <c r="U413" i="1"/>
  <c r="U416" i="1"/>
  <c r="U369" i="1"/>
  <c r="U398" i="1"/>
  <c r="U418" i="1"/>
  <c r="U422" i="1"/>
  <c r="U424" i="1"/>
  <c r="U423" i="1"/>
  <c r="U425" i="1"/>
  <c r="U454" i="1"/>
  <c r="U430" i="1"/>
  <c r="U429" i="1"/>
  <c r="U431" i="1"/>
  <c r="U435" i="1"/>
  <c r="U427" i="1"/>
  <c r="U428" i="1"/>
  <c r="U475" i="1"/>
  <c r="U486" i="1"/>
  <c r="U515" i="1"/>
  <c r="U543" i="1"/>
  <c r="U558" i="1"/>
  <c r="U581" i="1"/>
  <c r="U437" i="1"/>
  <c r="U438" i="1"/>
  <c r="U446" i="1"/>
  <c r="U447" i="1"/>
  <c r="U448" i="1"/>
  <c r="U338" i="1"/>
  <c r="U380" i="1"/>
  <c r="U412" i="1"/>
  <c r="U455" i="1"/>
  <c r="U452" i="1"/>
  <c r="U432" i="1"/>
  <c r="U456" i="1"/>
  <c r="U457" i="1"/>
  <c r="U453" i="1"/>
  <c r="U461" i="1"/>
  <c r="U462" i="1"/>
  <c r="U463" i="1"/>
  <c r="U458" i="1"/>
  <c r="U493" i="1"/>
  <c r="U460" i="1"/>
  <c r="U541" i="1"/>
  <c r="U465" i="1"/>
  <c r="U467" i="1"/>
  <c r="U469" i="1"/>
  <c r="U592" i="1"/>
  <c r="U471" i="1"/>
  <c r="U473" i="1"/>
  <c r="U333" i="1"/>
  <c r="U476" i="1"/>
  <c r="U405" i="1"/>
  <c r="U477" i="1"/>
  <c r="U478" i="1"/>
  <c r="U439" i="1"/>
  <c r="U479" i="1"/>
  <c r="U559" i="1"/>
  <c r="U484" i="1"/>
  <c r="U433" i="1"/>
  <c r="U593" i="1"/>
  <c r="U487" i="1"/>
  <c r="U339" i="1"/>
  <c r="U362" i="1"/>
  <c r="U491" i="1"/>
  <c r="U495" i="1"/>
  <c r="U490" i="1"/>
  <c r="U381" i="1"/>
  <c r="U397" i="1"/>
  <c r="U434" i="1"/>
  <c r="U466" i="1"/>
  <c r="U494" i="1"/>
  <c r="U497" i="1"/>
  <c r="U498" i="1"/>
  <c r="U499" i="1"/>
  <c r="U503" i="1"/>
  <c r="U554" i="1"/>
  <c r="U506" i="1"/>
  <c r="U508" i="1"/>
  <c r="U511" i="1"/>
  <c r="U514" i="1"/>
  <c r="U512" i="1"/>
  <c r="U509" i="1"/>
  <c r="U510" i="1"/>
  <c r="U513" i="1"/>
  <c r="U517" i="1"/>
  <c r="U518" i="1"/>
  <c r="U519" i="1"/>
  <c r="U335" i="1"/>
  <c r="U522" i="1"/>
  <c r="U394" i="1"/>
  <c r="U523" i="1"/>
  <c r="U525" i="1"/>
  <c r="U526" i="1"/>
  <c r="U529" i="1"/>
  <c r="U445" i="1"/>
  <c r="U481" i="1"/>
  <c r="U539" i="1"/>
  <c r="U562" i="1"/>
  <c r="U589" i="1"/>
  <c r="U535" i="1"/>
  <c r="U538" i="1"/>
  <c r="U542" i="1"/>
  <c r="U609" i="1"/>
  <c r="U533" i="1"/>
  <c r="U534" i="1"/>
  <c r="U536" i="1"/>
  <c r="U540" i="1"/>
  <c r="U544" i="1"/>
  <c r="U545" i="1"/>
  <c r="U546" i="1"/>
  <c r="U547" i="1"/>
  <c r="U552" i="1"/>
  <c r="U548" i="1"/>
  <c r="U549" i="1"/>
  <c r="U553" i="1"/>
  <c r="U555" i="1"/>
  <c r="U556" i="1"/>
  <c r="U560" i="1"/>
  <c r="U564" i="1"/>
  <c r="U561" i="1"/>
  <c r="U563" i="1"/>
  <c r="U570" i="1"/>
  <c r="U571" i="1"/>
  <c r="U572" i="1"/>
  <c r="U573" i="1"/>
  <c r="U574" i="1"/>
  <c r="U575" i="1"/>
  <c r="U342" i="1"/>
  <c r="U343" i="1"/>
  <c r="U578" i="1"/>
  <c r="U356" i="1"/>
  <c r="U586" i="1"/>
  <c r="U357" i="1"/>
  <c r="U372" i="1"/>
  <c r="U386" i="1"/>
  <c r="U387" i="1"/>
  <c r="U579" i="1"/>
  <c r="U580" i="1"/>
  <c r="U401" i="1"/>
  <c r="U588" i="1"/>
  <c r="U583" i="1"/>
  <c r="U591" i="1"/>
  <c r="U590" i="1"/>
  <c r="U450" i="1"/>
  <c r="U488" i="1"/>
  <c r="U594" i="1"/>
  <c r="U595" i="1"/>
  <c r="U596" i="1"/>
  <c r="U598" i="1"/>
  <c r="U599" i="1"/>
  <c r="U603" i="1"/>
  <c r="U502" i="1"/>
  <c r="U505" i="1"/>
  <c r="U597" i="1"/>
  <c r="U531" i="1"/>
  <c r="U604" i="1"/>
  <c r="U605" i="1"/>
  <c r="U608" i="1"/>
  <c r="U567" i="1"/>
  <c r="U524" i="1"/>
  <c r="U606" i="1"/>
  <c r="D4" i="1"/>
  <c r="D5" i="1"/>
  <c r="D6" i="1"/>
  <c r="D7" i="1"/>
  <c r="D11" i="1"/>
  <c r="D13" i="1"/>
  <c r="D8" i="1"/>
  <c r="D9" i="1"/>
  <c r="D10" i="1"/>
  <c r="D12" i="1"/>
  <c r="D14" i="1"/>
  <c r="D15" i="1"/>
  <c r="D16" i="1"/>
  <c r="D17" i="1"/>
  <c r="D18" i="1"/>
  <c r="D21" i="1"/>
  <c r="D19" i="1"/>
  <c r="D27" i="1"/>
  <c r="D20" i="1"/>
  <c r="D28" i="1"/>
  <c r="D30" i="1"/>
  <c r="D29" i="1"/>
  <c r="D138" i="1"/>
  <c r="D22" i="1"/>
  <c r="D148" i="1"/>
  <c r="D206" i="1"/>
  <c r="D24" i="1"/>
  <c r="D25" i="1"/>
  <c r="D23" i="1"/>
  <c r="D32" i="1"/>
  <c r="D33" i="1"/>
  <c r="D36" i="1"/>
  <c r="D34" i="1"/>
  <c r="D35" i="1"/>
  <c r="D228" i="1"/>
  <c r="D37" i="1"/>
  <c r="D39" i="1"/>
  <c r="D38" i="1"/>
  <c r="D40" i="1"/>
  <c r="D41" i="1"/>
  <c r="D44" i="1"/>
  <c r="D45" i="1"/>
  <c r="D42" i="1"/>
  <c r="D267" i="1"/>
  <c r="D268" i="1"/>
  <c r="D47" i="1"/>
  <c r="D46" i="1"/>
  <c r="D50" i="1"/>
  <c r="D49" i="1"/>
  <c r="D51" i="1"/>
  <c r="D48" i="1"/>
  <c r="D52" i="1"/>
  <c r="D53" i="1"/>
  <c r="D61" i="1"/>
  <c r="D62" i="1"/>
  <c r="D54" i="1"/>
  <c r="D92" i="1"/>
  <c r="D64" i="1"/>
  <c r="D57" i="1"/>
  <c r="D58" i="1"/>
  <c r="D56" i="1"/>
  <c r="D55" i="1"/>
  <c r="D115" i="1"/>
  <c r="D145" i="1"/>
  <c r="D65" i="1"/>
  <c r="D66" i="1"/>
  <c r="D69" i="1"/>
  <c r="D67" i="1"/>
  <c r="D68" i="1"/>
  <c r="D226" i="1"/>
  <c r="D72" i="1"/>
  <c r="D70" i="1"/>
  <c r="D71" i="1"/>
  <c r="D73" i="1"/>
  <c r="D74" i="1"/>
  <c r="D77" i="1"/>
  <c r="D76" i="1"/>
  <c r="D75" i="1"/>
  <c r="D278" i="1"/>
  <c r="D149" i="1"/>
  <c r="D79" i="1"/>
  <c r="D80" i="1"/>
  <c r="D162" i="1"/>
  <c r="D82" i="1"/>
  <c r="D83" i="1"/>
  <c r="D88" i="1"/>
  <c r="D89" i="1"/>
  <c r="D84" i="1"/>
  <c r="D201" i="1"/>
  <c r="D91" i="1"/>
  <c r="D85" i="1"/>
  <c r="D208" i="1"/>
  <c r="D209" i="1"/>
  <c r="D93" i="1"/>
  <c r="D94" i="1"/>
  <c r="D95" i="1"/>
  <c r="D98" i="1"/>
  <c r="D97" i="1"/>
  <c r="D192" i="1"/>
  <c r="D99" i="1"/>
  <c r="D220" i="1"/>
  <c r="D221" i="1"/>
  <c r="D101" i="1"/>
  <c r="D187" i="1"/>
  <c r="D230" i="1"/>
  <c r="D106" i="1"/>
  <c r="D139" i="1"/>
  <c r="D107" i="1"/>
  <c r="D231" i="1"/>
  <c r="D259" i="1"/>
  <c r="D110" i="1"/>
  <c r="D273" i="1"/>
  <c r="D113" i="1"/>
  <c r="D281" i="1"/>
  <c r="D121" i="1"/>
  <c r="D120" i="1"/>
  <c r="D116" i="1"/>
  <c r="D117" i="1"/>
  <c r="D112" i="1"/>
  <c r="D123" i="1"/>
  <c r="D287" i="1"/>
  <c r="D295" i="1"/>
  <c r="D296" i="1"/>
  <c r="D135" i="1"/>
  <c r="D136" i="1"/>
  <c r="D293" i="1"/>
  <c r="D265" i="1"/>
  <c r="D213" i="1"/>
  <c r="D285" i="1"/>
  <c r="D275" i="1"/>
  <c r="D327" i="1"/>
  <c r="D326" i="1"/>
  <c r="D334" i="1"/>
  <c r="D348" i="1"/>
  <c r="D349" i="1"/>
  <c r="D214" i="1"/>
  <c r="D286" i="1"/>
  <c r="D258" i="1"/>
  <c r="D350" i="1"/>
  <c r="D205" i="1"/>
  <c r="D366" i="1"/>
  <c r="D279" i="1"/>
  <c r="D161" i="1"/>
  <c r="D137" i="1"/>
  <c r="D367" i="1"/>
  <c r="D143" i="1"/>
  <c r="D374" i="1"/>
  <c r="D406" i="1"/>
  <c r="D407" i="1"/>
  <c r="D440" i="1"/>
  <c r="D181" i="1"/>
  <c r="D441" i="1"/>
  <c r="D144" i="1"/>
  <c r="D188" i="1"/>
  <c r="D189" i="1"/>
  <c r="D500" i="1"/>
  <c r="D197" i="1"/>
  <c r="D198" i="1"/>
  <c r="D204" i="1"/>
  <c r="D217" i="1"/>
  <c r="D520" i="1"/>
  <c r="D264" i="1"/>
  <c r="D277" i="1"/>
  <c r="D292" i="1"/>
  <c r="D325" i="1"/>
  <c r="D147" i="1"/>
  <c r="D537" i="1"/>
  <c r="D568" i="1"/>
  <c r="D266" i="1"/>
  <c r="D584" i="1"/>
  <c r="D288" i="1"/>
  <c r="D165" i="1"/>
  <c r="D585" i="1"/>
  <c r="D196" i="1"/>
  <c r="D202" i="1"/>
  <c r="D224" i="1"/>
  <c r="D600" i="1"/>
  <c r="D601" i="1"/>
  <c r="D183" i="1"/>
  <c r="D262" i="1"/>
  <c r="D284" i="1"/>
  <c r="D190" i="1"/>
  <c r="D280" i="1"/>
  <c r="D363" i="1"/>
  <c r="D207" i="1"/>
  <c r="D218" i="1"/>
  <c r="D364" i="1"/>
  <c r="D229" i="1"/>
  <c r="D269" i="1"/>
  <c r="D375" i="1"/>
  <c r="D385" i="1"/>
  <c r="D294" i="1"/>
  <c r="D141" i="1"/>
  <c r="D400" i="1"/>
  <c r="D414" i="1"/>
  <c r="D442" i="1"/>
  <c r="D195" i="1"/>
  <c r="D468" i="1"/>
  <c r="D474" i="1"/>
  <c r="D482" i="1"/>
  <c r="D501" i="1"/>
  <c r="D210" i="1"/>
  <c r="D261" i="1"/>
  <c r="D504" i="1"/>
  <c r="D283" i="1"/>
  <c r="D222" i="1"/>
  <c r="D527" i="1"/>
  <c r="D528" i="1"/>
  <c r="D184" i="1"/>
  <c r="D212" i="1"/>
  <c r="D566" i="1"/>
  <c r="D219" i="1"/>
  <c r="D274" i="1"/>
  <c r="D569" i="1"/>
  <c r="D329" i="1"/>
  <c r="D185" i="1"/>
  <c r="D297" i="1"/>
  <c r="D142" i="1"/>
  <c r="D576" i="1"/>
  <c r="D607" i="1"/>
  <c r="D151" i="1"/>
  <c r="D186" i="1"/>
  <c r="D166" i="1"/>
  <c r="D240" i="1"/>
  <c r="D170" i="1"/>
  <c r="D272" i="1"/>
  <c r="D216" i="1"/>
  <c r="D299" i="1"/>
  <c r="D308" i="1"/>
  <c r="D150" i="1"/>
  <c r="D232" i="1"/>
  <c r="D309" i="1"/>
  <c r="D318" i="1"/>
  <c r="D63" i="1"/>
  <c r="D298" i="1"/>
  <c r="D153" i="1"/>
  <c r="D193" i="1"/>
  <c r="D90" i="1"/>
  <c r="D378" i="1"/>
  <c r="D100" i="1"/>
  <c r="D111" i="1"/>
  <c r="D234" i="1"/>
  <c r="D260" i="1"/>
  <c r="D160" i="1"/>
  <c r="D200" i="1"/>
  <c r="D211" i="1"/>
  <c r="D239" i="1"/>
  <c r="D340" i="1"/>
  <c r="D341" i="1"/>
  <c r="D351" i="1"/>
  <c r="D352" i="1"/>
  <c r="D415" i="1"/>
  <c r="D376" i="1"/>
  <c r="D391" i="1"/>
  <c r="D392" i="1"/>
  <c r="D426" i="1"/>
  <c r="D241" i="1"/>
  <c r="D328" i="1"/>
  <c r="D436" i="1"/>
  <c r="D443" i="1"/>
  <c r="D483" i="1"/>
  <c r="D330" i="1"/>
  <c r="D496" i="1"/>
  <c r="D516" i="1"/>
  <c r="D331" i="1"/>
  <c r="D332" i="1"/>
  <c r="D521" i="1"/>
  <c r="D336" i="1"/>
  <c r="D337" i="1"/>
  <c r="D551" i="1"/>
  <c r="D565" i="1"/>
  <c r="D577" i="1"/>
  <c r="D587" i="1"/>
  <c r="D602" i="1"/>
  <c r="D271" i="1"/>
  <c r="D307" i="1"/>
  <c r="D59" i="1"/>
  <c r="D87" i="1"/>
  <c r="D344" i="1"/>
  <c r="D345" i="1"/>
  <c r="D96" i="1"/>
  <c r="D105" i="1"/>
  <c r="D26" i="1"/>
  <c r="D346" i="1"/>
  <c r="D347" i="1"/>
  <c r="D353" i="1"/>
  <c r="D354" i="1"/>
  <c r="D355" i="1"/>
  <c r="D358" i="1"/>
  <c r="D360" i="1"/>
  <c r="D365" i="1"/>
  <c r="D359" i="1"/>
  <c r="D393" i="1"/>
  <c r="D361" i="1"/>
  <c r="D411" i="1"/>
  <c r="D417" i="1"/>
  <c r="D419" i="1"/>
  <c r="D420" i="1"/>
  <c r="D368" i="1"/>
  <c r="D421" i="1"/>
  <c r="D444" i="1"/>
  <c r="D449" i="1"/>
  <c r="D370" i="1"/>
  <c r="D371" i="1"/>
  <c r="D451" i="1"/>
  <c r="D373" i="1"/>
  <c r="D382" i="1"/>
  <c r="D464" i="1"/>
  <c r="D470" i="1"/>
  <c r="D472" i="1"/>
  <c r="D480" i="1"/>
  <c r="D377" i="1"/>
  <c r="D379" i="1"/>
  <c r="D383" i="1"/>
  <c r="D485" i="1"/>
  <c r="D384" i="1"/>
  <c r="D489" i="1"/>
  <c r="D507" i="1"/>
  <c r="D530" i="1"/>
  <c r="D532" i="1"/>
  <c r="D557" i="1"/>
  <c r="D388" i="1"/>
  <c r="D140" i="1"/>
  <c r="D158" i="1"/>
  <c r="D194" i="1"/>
  <c r="D390" i="1"/>
  <c r="D389" i="1"/>
  <c r="D395" i="1"/>
  <c r="D396" i="1"/>
  <c r="D459" i="1"/>
  <c r="D399" i="1"/>
  <c r="D492" i="1"/>
  <c r="D550" i="1"/>
  <c r="D582" i="1"/>
  <c r="D408" i="1"/>
  <c r="D409" i="1"/>
  <c r="D410" i="1"/>
  <c r="D223" i="1"/>
  <c r="D305" i="1"/>
  <c r="D402" i="1"/>
  <c r="D404" i="1"/>
  <c r="D403" i="1"/>
  <c r="D413" i="1"/>
  <c r="D81" i="1"/>
  <c r="D103" i="1"/>
  <c r="D416" i="1"/>
  <c r="D146" i="1"/>
  <c r="D227" i="1"/>
  <c r="D60" i="1"/>
  <c r="D369" i="1"/>
  <c r="D398" i="1"/>
  <c r="D418" i="1"/>
  <c r="D422" i="1"/>
  <c r="D424" i="1"/>
  <c r="D423" i="1"/>
  <c r="D425" i="1"/>
  <c r="D454" i="1"/>
  <c r="D430" i="1"/>
  <c r="D429" i="1"/>
  <c r="D431" i="1"/>
  <c r="D435" i="1"/>
  <c r="D427" i="1"/>
  <c r="D428" i="1"/>
  <c r="D475" i="1"/>
  <c r="D486" i="1"/>
  <c r="D515" i="1"/>
  <c r="D543" i="1"/>
  <c r="D558" i="1"/>
  <c r="D581" i="1"/>
  <c r="D159" i="1"/>
  <c r="D437" i="1"/>
  <c r="D306" i="1"/>
  <c r="D438" i="1"/>
  <c r="D282" i="1"/>
  <c r="D86" i="1"/>
  <c r="D446" i="1"/>
  <c r="D104" i="1"/>
  <c r="D447" i="1"/>
  <c r="D448" i="1"/>
  <c r="D152" i="1"/>
  <c r="D338" i="1"/>
  <c r="D380" i="1"/>
  <c r="D412" i="1"/>
  <c r="D455" i="1"/>
  <c r="D452" i="1"/>
  <c r="D432" i="1"/>
  <c r="D456" i="1"/>
  <c r="D457" i="1"/>
  <c r="D453" i="1"/>
  <c r="D461" i="1"/>
  <c r="D462" i="1"/>
  <c r="D463" i="1"/>
  <c r="D458" i="1"/>
  <c r="D493" i="1"/>
  <c r="D460" i="1"/>
  <c r="D541" i="1"/>
  <c r="D465" i="1"/>
  <c r="D467" i="1"/>
  <c r="D469" i="1"/>
  <c r="D592" i="1"/>
  <c r="D191" i="1"/>
  <c r="D471" i="1"/>
  <c r="D199" i="1"/>
  <c r="D473" i="1"/>
  <c r="D333" i="1"/>
  <c r="D476" i="1"/>
  <c r="D405" i="1"/>
  <c r="D477" i="1"/>
  <c r="D478" i="1"/>
  <c r="D439" i="1"/>
  <c r="D479" i="1"/>
  <c r="D559" i="1"/>
  <c r="D484" i="1"/>
  <c r="D233" i="1"/>
  <c r="D270" i="1"/>
  <c r="D433" i="1"/>
  <c r="D593" i="1"/>
  <c r="D487" i="1"/>
  <c r="D300" i="1"/>
  <c r="D339" i="1"/>
  <c r="D362" i="1"/>
  <c r="D491" i="1"/>
  <c r="D495" i="1"/>
  <c r="D490" i="1"/>
  <c r="D381" i="1"/>
  <c r="D397" i="1"/>
  <c r="D434" i="1"/>
  <c r="D466" i="1"/>
  <c r="D494" i="1"/>
  <c r="D497" i="1"/>
  <c r="D498" i="1"/>
  <c r="D499" i="1"/>
  <c r="D503" i="1"/>
  <c r="D554" i="1"/>
  <c r="D506" i="1"/>
  <c r="D508" i="1"/>
  <c r="D511" i="1"/>
  <c r="D514" i="1"/>
  <c r="D512" i="1"/>
  <c r="D509" i="1"/>
  <c r="D510" i="1"/>
  <c r="D513" i="1"/>
  <c r="D132" i="1"/>
  <c r="D517" i="1"/>
  <c r="D518" i="1"/>
  <c r="D519" i="1"/>
  <c r="D335" i="1"/>
  <c r="D522" i="1"/>
  <c r="D394" i="1"/>
  <c r="D523" i="1"/>
  <c r="D525" i="1"/>
  <c r="D526" i="1"/>
  <c r="D529" i="1"/>
  <c r="D445" i="1"/>
  <c r="D481" i="1"/>
  <c r="D539" i="1"/>
  <c r="D562" i="1"/>
  <c r="D589" i="1"/>
  <c r="D535" i="1"/>
  <c r="D538" i="1"/>
  <c r="D542" i="1"/>
  <c r="D609" i="1"/>
  <c r="D78" i="1"/>
  <c r="D533" i="1"/>
  <c r="D534" i="1"/>
  <c r="D536" i="1"/>
  <c r="D540" i="1"/>
  <c r="D134" i="1"/>
  <c r="D544" i="1"/>
  <c r="D545" i="1"/>
  <c r="D546" i="1"/>
  <c r="D547" i="1"/>
  <c r="D31" i="1"/>
  <c r="D552" i="1"/>
  <c r="D175" i="1"/>
  <c r="D548" i="1"/>
  <c r="D549" i="1"/>
  <c r="D203" i="1"/>
  <c r="D553" i="1"/>
  <c r="D555" i="1"/>
  <c r="D556" i="1"/>
  <c r="D215" i="1"/>
  <c r="D225" i="1"/>
  <c r="D560" i="1"/>
  <c r="D247" i="1"/>
  <c r="D564" i="1"/>
  <c r="D561" i="1"/>
  <c r="D252" i="1"/>
  <c r="D563" i="1"/>
  <c r="D263" i="1"/>
  <c r="D276" i="1"/>
  <c r="D289" i="1"/>
  <c r="D290" i="1"/>
  <c r="D317" i="1"/>
  <c r="D570" i="1"/>
  <c r="D571" i="1"/>
  <c r="D572" i="1"/>
  <c r="D573" i="1"/>
  <c r="D574" i="1"/>
  <c r="D575" i="1"/>
  <c r="D342" i="1"/>
  <c r="D343" i="1"/>
  <c r="D578" i="1"/>
  <c r="D356" i="1"/>
  <c r="D586" i="1"/>
  <c r="D357" i="1"/>
  <c r="D372" i="1"/>
  <c r="D386" i="1"/>
  <c r="D387" i="1"/>
  <c r="D579" i="1"/>
  <c r="D580" i="1"/>
  <c r="D401" i="1"/>
  <c r="D588" i="1"/>
  <c r="D583" i="1"/>
  <c r="D591" i="1"/>
  <c r="D590" i="1"/>
  <c r="D450" i="1"/>
  <c r="D488" i="1"/>
  <c r="D594" i="1"/>
  <c r="D595" i="1"/>
  <c r="D596" i="1"/>
  <c r="D598" i="1"/>
  <c r="D599" i="1"/>
  <c r="D603" i="1"/>
  <c r="D502" i="1"/>
  <c r="D505" i="1"/>
  <c r="D597" i="1"/>
  <c r="D531" i="1"/>
  <c r="D604" i="1"/>
  <c r="D605" i="1"/>
  <c r="D608" i="1"/>
  <c r="D567" i="1"/>
  <c r="D524" i="1"/>
  <c r="D606" i="1"/>
  <c r="AM10" i="41"/>
  <c r="AI10" i="41"/>
  <c r="AH10" i="41"/>
  <c r="AG10" i="41"/>
  <c r="AF10" i="41"/>
  <c r="AE10" i="41"/>
  <c r="U10" i="41"/>
  <c r="T10" i="41"/>
  <c r="S10" i="41"/>
  <c r="D10" i="41"/>
  <c r="C10" i="41"/>
  <c r="AM9" i="41"/>
  <c r="AI9" i="41"/>
  <c r="AH9" i="41"/>
  <c r="AG9" i="41"/>
  <c r="AF9" i="41"/>
  <c r="AE9" i="41"/>
  <c r="U9" i="41"/>
  <c r="T9" i="41"/>
  <c r="S9" i="41"/>
  <c r="D9" i="41"/>
  <c r="C9" i="41"/>
  <c r="AM8" i="41"/>
  <c r="AI8" i="41"/>
  <c r="AH8" i="41"/>
  <c r="AG8" i="41"/>
  <c r="AF8" i="41"/>
  <c r="AE8" i="41"/>
  <c r="U8" i="41"/>
  <c r="T8" i="41"/>
  <c r="S8" i="41"/>
  <c r="D8" i="41"/>
  <c r="C8" i="41"/>
  <c r="D7" i="41"/>
  <c r="C7" i="41"/>
  <c r="D6" i="41"/>
  <c r="C6" i="41"/>
  <c r="AH6" i="41"/>
  <c r="V6" i="41"/>
  <c r="U6" i="41"/>
  <c r="T6" i="41"/>
  <c r="I22" i="33"/>
  <c r="M22" i="33" s="1"/>
  <c r="T22" i="33"/>
  <c r="X22" i="33" s="1"/>
  <c r="I23" i="33"/>
  <c r="M23" i="33" s="1"/>
  <c r="T23" i="33"/>
  <c r="X23" i="33" s="1"/>
  <c r="I24" i="33"/>
  <c r="M24" i="33" s="1"/>
  <c r="T24" i="33"/>
  <c r="X24" i="33" s="1"/>
  <c r="X25" i="17"/>
  <c r="X26" i="17"/>
  <c r="X27" i="17"/>
  <c r="X32" i="17"/>
  <c r="H57" i="48"/>
  <c r="I57" i="48" s="1"/>
  <c r="M57" i="48" s="1"/>
  <c r="L57" i="48"/>
  <c r="U57" i="48"/>
  <c r="AG57" i="48"/>
  <c r="AO57" i="48"/>
  <c r="AW57" i="48"/>
  <c r="N31" i="48"/>
  <c r="L31" i="48"/>
  <c r="T30" i="33"/>
  <c r="X30" i="33" s="1"/>
  <c r="T7" i="33"/>
  <c r="X7" i="33" s="1"/>
  <c r="S13" i="33"/>
  <c r="W13" i="33" s="1"/>
  <c r="T13" i="33"/>
  <c r="X13" i="33" s="1"/>
  <c r="T16" i="33"/>
  <c r="X16" i="33" s="1"/>
  <c r="T17" i="33"/>
  <c r="X17" i="33" s="1"/>
  <c r="T18" i="33"/>
  <c r="X18" i="33" s="1"/>
  <c r="T28" i="33"/>
  <c r="X28" i="33" s="1"/>
  <c r="S29" i="33"/>
  <c r="W29" i="33" s="1"/>
  <c r="H13" i="33"/>
  <c r="L13" i="33" s="1"/>
  <c r="H29" i="33"/>
  <c r="L29" i="33" s="1"/>
  <c r="W2" i="48"/>
  <c r="L3" i="48"/>
  <c r="L4" i="48"/>
  <c r="L5" i="48"/>
  <c r="L6" i="48"/>
  <c r="L7" i="48"/>
  <c r="L8" i="48"/>
  <c r="L9" i="48"/>
  <c r="L10" i="48"/>
  <c r="L11" i="48"/>
  <c r="L12" i="48"/>
  <c r="L13" i="48"/>
  <c r="L14" i="48"/>
  <c r="L15" i="48"/>
  <c r="L16" i="48"/>
  <c r="L17" i="48"/>
  <c r="L18" i="48"/>
  <c r="L19" i="48"/>
  <c r="L20" i="48"/>
  <c r="L21" i="48"/>
  <c r="L22" i="48"/>
  <c r="L23" i="48"/>
  <c r="L24" i="48"/>
  <c r="L25" i="48"/>
  <c r="L26" i="48"/>
  <c r="L27" i="48"/>
  <c r="L28" i="48"/>
  <c r="L29" i="48"/>
  <c r="L30" i="48"/>
  <c r="L32" i="48"/>
  <c r="L34" i="48"/>
  <c r="L35" i="48"/>
  <c r="L36" i="48"/>
  <c r="L37" i="48"/>
  <c r="L38" i="48"/>
  <c r="L39" i="48"/>
  <c r="L40" i="48"/>
  <c r="L41" i="48"/>
  <c r="L42" i="48"/>
  <c r="L43" i="48"/>
  <c r="L44" i="48"/>
  <c r="L45" i="48"/>
  <c r="L46" i="48"/>
  <c r="L47" i="48"/>
  <c r="L55" i="48"/>
  <c r="L56" i="48"/>
  <c r="L58" i="48"/>
  <c r="L59" i="48"/>
  <c r="L2" i="48"/>
  <c r="N3" i="48"/>
  <c r="H4" i="48"/>
  <c r="I4" i="48" s="1"/>
  <c r="M4" i="48" s="1"/>
  <c r="H5" i="48"/>
  <c r="I5" i="48" s="1"/>
  <c r="M5" i="48" s="1"/>
  <c r="N6" i="48"/>
  <c r="N7" i="48"/>
  <c r="H8" i="48"/>
  <c r="I8" i="48" s="1"/>
  <c r="M8" i="48" s="1"/>
  <c r="N9" i="48"/>
  <c r="H10" i="48"/>
  <c r="I10" i="48" s="1"/>
  <c r="M10" i="48" s="1"/>
  <c r="N11" i="48"/>
  <c r="N12" i="48"/>
  <c r="N13" i="48"/>
  <c r="H14" i="48"/>
  <c r="I14" i="48" s="1"/>
  <c r="M14" i="48" s="1"/>
  <c r="N15" i="48"/>
  <c r="N16" i="48"/>
  <c r="N17" i="48"/>
  <c r="N18" i="48"/>
  <c r="N19" i="48"/>
  <c r="H20" i="48"/>
  <c r="I20" i="48" s="1"/>
  <c r="M20" i="48" s="1"/>
  <c r="H21" i="48"/>
  <c r="I21" i="48" s="1"/>
  <c r="M21" i="48" s="1"/>
  <c r="H22" i="48"/>
  <c r="I22" i="48" s="1"/>
  <c r="M22" i="48" s="1"/>
  <c r="N23" i="48"/>
  <c r="N24" i="48"/>
  <c r="H25" i="48"/>
  <c r="I25" i="48" s="1"/>
  <c r="M25" i="48" s="1"/>
  <c r="N26" i="48"/>
  <c r="N27" i="48"/>
  <c r="H28" i="48"/>
  <c r="I28" i="48" s="1"/>
  <c r="M28" i="48" s="1"/>
  <c r="N29" i="48"/>
  <c r="N30" i="48"/>
  <c r="H32" i="48"/>
  <c r="I32" i="48" s="1"/>
  <c r="M32" i="48" s="1"/>
  <c r="N33" i="48"/>
  <c r="H34" i="48"/>
  <c r="I34" i="48" s="1"/>
  <c r="M34" i="48" s="1"/>
  <c r="N35" i="48"/>
  <c r="H36" i="48"/>
  <c r="I36" i="48" s="1"/>
  <c r="M36" i="48" s="1"/>
  <c r="N37" i="48"/>
  <c r="N38" i="48"/>
  <c r="N39" i="48"/>
  <c r="N40" i="48"/>
  <c r="H41" i="48"/>
  <c r="I41" i="48" s="1"/>
  <c r="M41" i="48" s="1"/>
  <c r="H42" i="48"/>
  <c r="I42" i="48" s="1"/>
  <c r="M42" i="48" s="1"/>
  <c r="N43" i="48"/>
  <c r="N44" i="48"/>
  <c r="H45" i="48"/>
  <c r="I45" i="48" s="1"/>
  <c r="M45" i="48" s="1"/>
  <c r="H46" i="48"/>
  <c r="I46" i="48" s="1"/>
  <c r="M46" i="48" s="1"/>
  <c r="N47" i="48"/>
  <c r="H55" i="48"/>
  <c r="I55" i="48" s="1"/>
  <c r="M55" i="48" s="1"/>
  <c r="H56" i="48"/>
  <c r="I56" i="48" s="1"/>
  <c r="M56" i="48" s="1"/>
  <c r="N58" i="48"/>
  <c r="H59" i="48"/>
  <c r="I59" i="48" s="1"/>
  <c r="M59" i="48" s="1"/>
  <c r="N60" i="48"/>
  <c r="N2" i="48"/>
  <c r="H6" i="54"/>
  <c r="H5" i="54"/>
  <c r="H4" i="54"/>
  <c r="CS14" i="53"/>
  <c r="CR14" i="53"/>
  <c r="CQ14" i="53"/>
  <c r="CP14" i="53"/>
  <c r="CO14" i="53"/>
  <c r="CN14" i="53"/>
  <c r="CM14" i="53"/>
  <c r="CL14" i="53"/>
  <c r="CK14" i="53"/>
  <c r="CJ14" i="53"/>
  <c r="CI14" i="53"/>
  <c r="CH14" i="53"/>
  <c r="CG14" i="53"/>
  <c r="CF14" i="53"/>
  <c r="CE14" i="53"/>
  <c r="CD14" i="53"/>
  <c r="CC14" i="53"/>
  <c r="CB14" i="53"/>
  <c r="CA14" i="53"/>
  <c r="BZ14" i="53"/>
  <c r="BY14" i="53"/>
  <c r="BX14" i="53"/>
  <c r="BW14" i="53"/>
  <c r="BV14" i="53"/>
  <c r="BU14" i="53"/>
  <c r="BT14" i="53"/>
  <c r="BS14" i="53"/>
  <c r="BR14" i="53"/>
  <c r="BQ14" i="53"/>
  <c r="BP14" i="53"/>
  <c r="BO14" i="53"/>
  <c r="BN14" i="53"/>
  <c r="BM14" i="53"/>
  <c r="BL14" i="53"/>
  <c r="BK14" i="53"/>
  <c r="BJ14" i="53"/>
  <c r="BI14" i="53"/>
  <c r="BH14" i="53"/>
  <c r="BG14" i="53"/>
  <c r="BF14" i="53"/>
  <c r="BE14" i="53"/>
  <c r="BD14" i="53"/>
  <c r="BC14" i="53"/>
  <c r="BB14" i="53"/>
  <c r="BA14" i="53"/>
  <c r="AZ14" i="53"/>
  <c r="AY14" i="53"/>
  <c r="AX14" i="53"/>
  <c r="AW14" i="53"/>
  <c r="AV14" i="53"/>
  <c r="AU14" i="53"/>
  <c r="AT14" i="53"/>
  <c r="AS14" i="53"/>
  <c r="AR14" i="53"/>
  <c r="AQ14" i="53"/>
  <c r="AP14" i="53"/>
  <c r="AO14" i="53"/>
  <c r="AN14" i="53"/>
  <c r="AM14" i="53"/>
  <c r="AL14" i="53"/>
  <c r="AK14" i="53"/>
  <c r="AJ14" i="53"/>
  <c r="AI14" i="53"/>
  <c r="AH14" i="53"/>
  <c r="AG14" i="53"/>
  <c r="AF14" i="53"/>
  <c r="AE14" i="53"/>
  <c r="AD14" i="53"/>
  <c r="AC14" i="53"/>
  <c r="AB14" i="53"/>
  <c r="AA14" i="53"/>
  <c r="Z14" i="53"/>
  <c r="Y14" i="53"/>
  <c r="X14" i="53"/>
  <c r="W14" i="53"/>
  <c r="V14" i="53"/>
  <c r="U14" i="53"/>
  <c r="T14" i="53"/>
  <c r="S14" i="53"/>
  <c r="R14" i="53"/>
  <c r="Q14" i="53"/>
  <c r="P14" i="53"/>
  <c r="O14" i="53"/>
  <c r="N14" i="53"/>
  <c r="M14" i="53"/>
  <c r="L14" i="53"/>
  <c r="K14" i="53"/>
  <c r="J14" i="53"/>
  <c r="I14" i="53"/>
  <c r="H14" i="53"/>
  <c r="G14" i="53"/>
  <c r="F14" i="53"/>
  <c r="E14" i="53"/>
  <c r="D14" i="53"/>
  <c r="C14" i="53"/>
  <c r="B14" i="53"/>
  <c r="U37" i="48"/>
  <c r="U38" i="48"/>
  <c r="U39" i="48"/>
  <c r="U40" i="48"/>
  <c r="U41" i="48"/>
  <c r="U42" i="48"/>
  <c r="U43" i="48"/>
  <c r="U44" i="48"/>
  <c r="U45" i="48"/>
  <c r="U46" i="48"/>
  <c r="U47" i="48"/>
  <c r="AF4" i="1"/>
  <c r="H17" i="52"/>
  <c r="H16" i="52"/>
  <c r="H15" i="52"/>
  <c r="H14" i="52"/>
  <c r="H13" i="52"/>
  <c r="H12" i="52"/>
  <c r="H11" i="52"/>
  <c r="H10" i="52"/>
  <c r="H9" i="52"/>
  <c r="H8" i="52"/>
  <c r="H7" i="52"/>
  <c r="H6" i="52"/>
  <c r="H5" i="52"/>
  <c r="H4" i="52"/>
  <c r="E34" i="17"/>
  <c r="G34" i="17" s="1"/>
  <c r="K34" i="17"/>
  <c r="U34" i="17" s="1"/>
  <c r="M34" i="17"/>
  <c r="N34" i="17"/>
  <c r="O34" i="17"/>
  <c r="E42" i="17"/>
  <c r="G42" i="17" s="1"/>
  <c r="K42" i="17"/>
  <c r="U42" i="17" s="1"/>
  <c r="M42" i="17"/>
  <c r="N42" i="17"/>
  <c r="O42" i="17"/>
  <c r="E43" i="17"/>
  <c r="G43" i="17" s="1"/>
  <c r="I43" i="17" s="1"/>
  <c r="K43" i="17"/>
  <c r="M43" i="17"/>
  <c r="N43" i="17"/>
  <c r="O43" i="17"/>
  <c r="E55" i="17"/>
  <c r="G55" i="17" s="1"/>
  <c r="I55" i="17" s="1"/>
  <c r="K55" i="17"/>
  <c r="U55" i="17" s="1"/>
  <c r="M55" i="17"/>
  <c r="N55" i="17"/>
  <c r="O55" i="17"/>
  <c r="E51" i="17"/>
  <c r="G51" i="17" s="1"/>
  <c r="K51" i="17"/>
  <c r="Z51" i="17" s="1"/>
  <c r="M51" i="17"/>
  <c r="N51" i="17"/>
  <c r="O51" i="17"/>
  <c r="E56" i="17"/>
  <c r="K56" i="17"/>
  <c r="M56" i="17"/>
  <c r="N56" i="17"/>
  <c r="O56" i="17"/>
  <c r="E53" i="17"/>
  <c r="G53" i="17" s="1"/>
  <c r="K53" i="17"/>
  <c r="Z53" i="17" s="1"/>
  <c r="M53" i="17"/>
  <c r="N53" i="17"/>
  <c r="O53" i="17"/>
  <c r="E40" i="17"/>
  <c r="G40" i="17" s="1"/>
  <c r="J40" i="17" s="1"/>
  <c r="K40" i="17"/>
  <c r="M40" i="17"/>
  <c r="N40" i="17"/>
  <c r="O40" i="17"/>
  <c r="E41" i="17"/>
  <c r="G41" i="17" s="1"/>
  <c r="K41" i="17"/>
  <c r="M41" i="17"/>
  <c r="N41" i="17"/>
  <c r="O41" i="17"/>
  <c r="E50" i="17"/>
  <c r="G50" i="17" s="1"/>
  <c r="K50" i="17"/>
  <c r="Z50" i="17" s="1"/>
  <c r="M50" i="17"/>
  <c r="N50" i="17"/>
  <c r="O50" i="17"/>
  <c r="E44" i="17"/>
  <c r="G44" i="17" s="1"/>
  <c r="K44" i="17"/>
  <c r="M44" i="17"/>
  <c r="N44" i="17"/>
  <c r="O44" i="17"/>
  <c r="E52" i="17"/>
  <c r="G52" i="17" s="1"/>
  <c r="K52" i="17"/>
  <c r="U52" i="17" s="1"/>
  <c r="M52" i="17"/>
  <c r="N52" i="17"/>
  <c r="O52" i="17"/>
  <c r="I30" i="33"/>
  <c r="I7" i="33"/>
  <c r="M7" i="33" s="1"/>
  <c r="I13" i="33"/>
  <c r="I16" i="33"/>
  <c r="M16" i="33" s="1"/>
  <c r="I17" i="33"/>
  <c r="M17" i="33" s="1"/>
  <c r="I18" i="33"/>
  <c r="M18" i="33" s="1"/>
  <c r="I28" i="33"/>
  <c r="M28" i="33" s="1"/>
  <c r="D8" i="33"/>
  <c r="C8" i="33"/>
  <c r="E8" i="33"/>
  <c r="CJ21" i="49"/>
  <c r="CI21" i="49"/>
  <c r="CH21" i="49"/>
  <c r="CG21" i="49"/>
  <c r="CF21" i="49"/>
  <c r="CE21" i="49"/>
  <c r="CD21" i="49"/>
  <c r="CC21" i="49"/>
  <c r="CB21" i="49"/>
  <c r="CA21" i="49"/>
  <c r="BZ21" i="49"/>
  <c r="BY21" i="49"/>
  <c r="BX21" i="49"/>
  <c r="BW21" i="49"/>
  <c r="BV21" i="49"/>
  <c r="BU21" i="49"/>
  <c r="BT21" i="49"/>
  <c r="BS21" i="49"/>
  <c r="BR21" i="49"/>
  <c r="BQ21" i="49"/>
  <c r="BP21" i="49"/>
  <c r="BO21" i="49"/>
  <c r="BN21" i="49"/>
  <c r="BM21" i="49"/>
  <c r="BL21" i="49"/>
  <c r="BK21" i="49"/>
  <c r="BJ21" i="49"/>
  <c r="BI21" i="49"/>
  <c r="BH21" i="49"/>
  <c r="BG21" i="49"/>
  <c r="BF21" i="49"/>
  <c r="BE21" i="49"/>
  <c r="BD21" i="49"/>
  <c r="BC21" i="49"/>
  <c r="BB21" i="49"/>
  <c r="BA21" i="49"/>
  <c r="AZ21" i="49"/>
  <c r="AY21" i="49"/>
  <c r="AX21" i="49"/>
  <c r="AW21" i="49"/>
  <c r="AV21" i="49"/>
  <c r="AU21" i="49"/>
  <c r="AT21" i="49"/>
  <c r="AS21" i="49"/>
  <c r="AR21" i="49"/>
  <c r="AQ21" i="49"/>
  <c r="AP21" i="49"/>
  <c r="AO21" i="49"/>
  <c r="AN21" i="49"/>
  <c r="AM21" i="49"/>
  <c r="AL21" i="49"/>
  <c r="AK21" i="49"/>
  <c r="AJ21" i="49"/>
  <c r="AI21" i="49"/>
  <c r="AH21" i="49"/>
  <c r="AG21" i="49"/>
  <c r="AF21" i="49"/>
  <c r="AE21" i="49"/>
  <c r="AD21" i="49"/>
  <c r="AC21" i="49"/>
  <c r="AB21" i="49"/>
  <c r="AA21" i="49"/>
  <c r="Z21" i="49"/>
  <c r="Y21" i="49"/>
  <c r="X21" i="49"/>
  <c r="W21" i="49"/>
  <c r="V21" i="49"/>
  <c r="U21" i="49"/>
  <c r="T21" i="49"/>
  <c r="S21" i="49"/>
  <c r="R21" i="49"/>
  <c r="Q21" i="49"/>
  <c r="P21" i="49"/>
  <c r="O21" i="49"/>
  <c r="N21" i="49"/>
  <c r="M21" i="49"/>
  <c r="L21" i="49"/>
  <c r="K21" i="49"/>
  <c r="J21" i="49"/>
  <c r="I21" i="49"/>
  <c r="H21" i="49"/>
  <c r="G21" i="49"/>
  <c r="F21" i="49"/>
  <c r="E21" i="49"/>
  <c r="D21" i="49"/>
  <c r="C21" i="49"/>
  <c r="B21" i="49"/>
  <c r="U2" i="48"/>
  <c r="U3" i="48"/>
  <c r="U4" i="48"/>
  <c r="U5" i="48"/>
  <c r="U6" i="48"/>
  <c r="U7" i="48"/>
  <c r="U8" i="48"/>
  <c r="U9" i="48"/>
  <c r="U10" i="48"/>
  <c r="U11" i="48"/>
  <c r="U12" i="48"/>
  <c r="U13" i="48"/>
  <c r="U14" i="48"/>
  <c r="U15" i="48"/>
  <c r="U16" i="48"/>
  <c r="U17" i="48"/>
  <c r="U18" i="48"/>
  <c r="U19" i="48"/>
  <c r="U20" i="48"/>
  <c r="U21" i="48"/>
  <c r="U22" i="48"/>
  <c r="U23" i="48"/>
  <c r="U24" i="48"/>
  <c r="U25" i="48"/>
  <c r="U26" i="48"/>
  <c r="U27" i="48"/>
  <c r="U28" i="48"/>
  <c r="U29" i="48"/>
  <c r="U30" i="48"/>
  <c r="U32" i="48"/>
  <c r="U34" i="48"/>
  <c r="U35" i="48"/>
  <c r="U36" i="48"/>
  <c r="U55" i="48"/>
  <c r="U56" i="48"/>
  <c r="U58" i="48"/>
  <c r="U59" i="48"/>
  <c r="T61" i="48"/>
  <c r="S61" i="48"/>
  <c r="R61" i="48"/>
  <c r="Q61" i="48"/>
  <c r="P61" i="48"/>
  <c r="AE3" i="48"/>
  <c r="AE2" i="48"/>
  <c r="AE14" i="48"/>
  <c r="AE15" i="48"/>
  <c r="AE20" i="48"/>
  <c r="AE21" i="48"/>
  <c r="AE22" i="48"/>
  <c r="AE23" i="48"/>
  <c r="AE24" i="48"/>
  <c r="AE34" i="48"/>
  <c r="AE59" i="48"/>
  <c r="AG2" i="48"/>
  <c r="AG14" i="48"/>
  <c r="AG15" i="48"/>
  <c r="AG20" i="48"/>
  <c r="AG21" i="48"/>
  <c r="AG22" i="48"/>
  <c r="AG23" i="48"/>
  <c r="AG24" i="48"/>
  <c r="AG34" i="48"/>
  <c r="AG59" i="48"/>
  <c r="AM2" i="48"/>
  <c r="AM14" i="48"/>
  <c r="AM15" i="48"/>
  <c r="AM20" i="48"/>
  <c r="AM21" i="48"/>
  <c r="AM22" i="48"/>
  <c r="AM23" i="48"/>
  <c r="AM24" i="48"/>
  <c r="AM34" i="48"/>
  <c r="AM59" i="48"/>
  <c r="AO2" i="48"/>
  <c r="AO14" i="48"/>
  <c r="AO15" i="48"/>
  <c r="AO20" i="48"/>
  <c r="AO21" i="48"/>
  <c r="AO22" i="48"/>
  <c r="AO23" i="48"/>
  <c r="AO24" i="48"/>
  <c r="AO34" i="48"/>
  <c r="AO59" i="48"/>
  <c r="AW2" i="48"/>
  <c r="AW20" i="48"/>
  <c r="AW21" i="48"/>
  <c r="AW22" i="48"/>
  <c r="AW23" i="48"/>
  <c r="AW24" i="48"/>
  <c r="AW34" i="48"/>
  <c r="AW59" i="48"/>
  <c r="AQ61" i="48"/>
  <c r="Y61" i="48"/>
  <c r="X61" i="48"/>
  <c r="AW58" i="48"/>
  <c r="AU58" i="48"/>
  <c r="AO58" i="48"/>
  <c r="AM58" i="48"/>
  <c r="AG58" i="48"/>
  <c r="AE58" i="48"/>
  <c r="AW56" i="48"/>
  <c r="AU56" i="48"/>
  <c r="AO56" i="48"/>
  <c r="AM56" i="48"/>
  <c r="AG56" i="48"/>
  <c r="AE56" i="48"/>
  <c r="AE55" i="48"/>
  <c r="AW36" i="48"/>
  <c r="AU36" i="48"/>
  <c r="AO36" i="48"/>
  <c r="AM36" i="48"/>
  <c r="AG36" i="48"/>
  <c r="AE36" i="48"/>
  <c r="AW35" i="48"/>
  <c r="AU35" i="48"/>
  <c r="AO35" i="48"/>
  <c r="AM35" i="48"/>
  <c r="AG35" i="48"/>
  <c r="AE35" i="48"/>
  <c r="AW32" i="48"/>
  <c r="AU32" i="48"/>
  <c r="AO32" i="48"/>
  <c r="AM32" i="48"/>
  <c r="AG32" i="48"/>
  <c r="AE32" i="48"/>
  <c r="AW30" i="48"/>
  <c r="AU30" i="48"/>
  <c r="AO30" i="48"/>
  <c r="AM30" i="48"/>
  <c r="AG30" i="48"/>
  <c r="AE30" i="48"/>
  <c r="AW29" i="48"/>
  <c r="AU29" i="48"/>
  <c r="AO29" i="48"/>
  <c r="AM29" i="48"/>
  <c r="AG29" i="48"/>
  <c r="AE29" i="48"/>
  <c r="AW28" i="48"/>
  <c r="AU28" i="48"/>
  <c r="AN28" i="48"/>
  <c r="AO28" i="48" s="1"/>
  <c r="AM28" i="48"/>
  <c r="AG28" i="48"/>
  <c r="AE28" i="48"/>
  <c r="AW27" i="48"/>
  <c r="AU27" i="48"/>
  <c r="AN27" i="48"/>
  <c r="AO27" i="48" s="1"/>
  <c r="AM27" i="48"/>
  <c r="AG27" i="48"/>
  <c r="AE27" i="48"/>
  <c r="AW26" i="48"/>
  <c r="AU26" i="48"/>
  <c r="AO26" i="48"/>
  <c r="AM26" i="48"/>
  <c r="AG26" i="48"/>
  <c r="AE26" i="48"/>
  <c r="AW25" i="48"/>
  <c r="AU25" i="48"/>
  <c r="AO25" i="48"/>
  <c r="AM25" i="48"/>
  <c r="AG25" i="48"/>
  <c r="AE25" i="48"/>
  <c r="AW19" i="48"/>
  <c r="AU19" i="48"/>
  <c r="AN19" i="48"/>
  <c r="AO19" i="48" s="1"/>
  <c r="AM19" i="48"/>
  <c r="AG19" i="48"/>
  <c r="AE19" i="48"/>
  <c r="AW18" i="48"/>
  <c r="AU18" i="48"/>
  <c r="AO18" i="48"/>
  <c r="AM18" i="48"/>
  <c r="AG18" i="48"/>
  <c r="AE18" i="48"/>
  <c r="AW17" i="48"/>
  <c r="AU17" i="48"/>
  <c r="AO17" i="48"/>
  <c r="AM17" i="48"/>
  <c r="AG17" i="48"/>
  <c r="AE17" i="48"/>
  <c r="AW16" i="48"/>
  <c r="AU16" i="48"/>
  <c r="AO16" i="48"/>
  <c r="AM16" i="48"/>
  <c r="AG16" i="48"/>
  <c r="AE16" i="48"/>
  <c r="AO13" i="48"/>
  <c r="AM13" i="48"/>
  <c r="AG13" i="48"/>
  <c r="AE13" i="48"/>
  <c r="AW12" i="48"/>
  <c r="AU12" i="48"/>
  <c r="AO12" i="48"/>
  <c r="AM12" i="48"/>
  <c r="AG12" i="48"/>
  <c r="AE12" i="48"/>
  <c r="AW11" i="48"/>
  <c r="AU11" i="48"/>
  <c r="AO11" i="48"/>
  <c r="AM11" i="48"/>
  <c r="AG11" i="48"/>
  <c r="AE11" i="48"/>
  <c r="AW10" i="48"/>
  <c r="AU10" i="48"/>
  <c r="AO10" i="48"/>
  <c r="AM10" i="48"/>
  <c r="AG10" i="48"/>
  <c r="AE10" i="48"/>
  <c r="AW9" i="48"/>
  <c r="AU9" i="48"/>
  <c r="AN9" i="48"/>
  <c r="AO9" i="48" s="1"/>
  <c r="AM9" i="48"/>
  <c r="AG9" i="48"/>
  <c r="AE9" i="48"/>
  <c r="AW8" i="48"/>
  <c r="AU8" i="48"/>
  <c r="AO8" i="48"/>
  <c r="AM8" i="48"/>
  <c r="AG8" i="48"/>
  <c r="AE8" i="48"/>
  <c r="AW7" i="48"/>
  <c r="AU7" i="48"/>
  <c r="AO7" i="48"/>
  <c r="AM7" i="48"/>
  <c r="AG7" i="48"/>
  <c r="AE7" i="48"/>
  <c r="AW6" i="48"/>
  <c r="AU6" i="48"/>
  <c r="AO6" i="48"/>
  <c r="AM6" i="48"/>
  <c r="AG6" i="48"/>
  <c r="AE6" i="48"/>
  <c r="AW5" i="48"/>
  <c r="AU5" i="48"/>
  <c r="AO5" i="48"/>
  <c r="AM5" i="48"/>
  <c r="AG5" i="48"/>
  <c r="AE5" i="48"/>
  <c r="AW4" i="48"/>
  <c r="AU4" i="48"/>
  <c r="AO4" i="48"/>
  <c r="AM4" i="48"/>
  <c r="AG4" i="48"/>
  <c r="AE4" i="48"/>
  <c r="AW3" i="48"/>
  <c r="AU3" i="48"/>
  <c r="AO3" i="48"/>
  <c r="AM3" i="48"/>
  <c r="AG3" i="48"/>
  <c r="AG4" i="1"/>
  <c r="AH4" i="1"/>
  <c r="AI4" i="1"/>
  <c r="AJ4" i="1"/>
  <c r="L27" i="32"/>
  <c r="K5" i="17"/>
  <c r="Z5" i="17" s="1"/>
  <c r="E59" i="17"/>
  <c r="G59" i="17" s="1"/>
  <c r="K59" i="17"/>
  <c r="U59" i="17" s="1"/>
  <c r="M59" i="17"/>
  <c r="N59" i="17"/>
  <c r="O59" i="17"/>
  <c r="N5" i="17"/>
  <c r="N6" i="17"/>
  <c r="N7" i="17"/>
  <c r="N8" i="17"/>
  <c r="N9" i="17"/>
  <c r="N10" i="17"/>
  <c r="N11" i="17"/>
  <c r="N12" i="17"/>
  <c r="N13" i="17"/>
  <c r="N14" i="17"/>
  <c r="N15" i="17"/>
  <c r="N16" i="17"/>
  <c r="N17" i="17"/>
  <c r="N18" i="17"/>
  <c r="N19" i="17"/>
  <c r="N20" i="17"/>
  <c r="N21" i="17"/>
  <c r="N22" i="17"/>
  <c r="N23" i="17"/>
  <c r="N24" i="17"/>
  <c r="N25" i="17"/>
  <c r="N26" i="17"/>
  <c r="N27" i="17"/>
  <c r="N28" i="17"/>
  <c r="N29" i="17"/>
  <c r="N30" i="17"/>
  <c r="N31" i="17"/>
  <c r="N32" i="17"/>
  <c r="N33" i="17"/>
  <c r="N35" i="17"/>
  <c r="N36" i="17"/>
  <c r="N37" i="17"/>
  <c r="N38" i="17"/>
  <c r="N57" i="17"/>
  <c r="N58" i="17"/>
  <c r="N60" i="17"/>
  <c r="N61" i="17"/>
  <c r="M5" i="17"/>
  <c r="M6" i="17"/>
  <c r="M7" i="17"/>
  <c r="M8" i="17"/>
  <c r="M9" i="17"/>
  <c r="M10" i="17"/>
  <c r="M11" i="17"/>
  <c r="M12" i="17"/>
  <c r="M13" i="17"/>
  <c r="M14" i="17"/>
  <c r="M15" i="17"/>
  <c r="M16" i="17"/>
  <c r="M17" i="17"/>
  <c r="M18" i="17"/>
  <c r="M19" i="17"/>
  <c r="M20" i="17"/>
  <c r="M21" i="17"/>
  <c r="M22" i="17"/>
  <c r="M23" i="17"/>
  <c r="M24" i="17"/>
  <c r="M25" i="17"/>
  <c r="M26" i="17"/>
  <c r="M27" i="17"/>
  <c r="M28" i="17"/>
  <c r="M29" i="17"/>
  <c r="M30" i="17"/>
  <c r="M31" i="17"/>
  <c r="M32" i="17"/>
  <c r="M33" i="17"/>
  <c r="M35" i="17"/>
  <c r="M36" i="17"/>
  <c r="M37" i="17"/>
  <c r="M38" i="17"/>
  <c r="M57" i="17"/>
  <c r="M58" i="17"/>
  <c r="M60" i="17"/>
  <c r="M61" i="17"/>
  <c r="E57" i="17"/>
  <c r="G57" i="17" s="1"/>
  <c r="J57" i="17" s="1"/>
  <c r="K57" i="17"/>
  <c r="O57" i="17"/>
  <c r="Y26" i="27"/>
  <c r="Z26" i="27"/>
  <c r="AA26" i="27"/>
  <c r="Y18" i="27"/>
  <c r="Z18" i="27"/>
  <c r="AA18" i="27"/>
  <c r="Y17" i="27"/>
  <c r="Z17" i="27"/>
  <c r="AA17" i="27"/>
  <c r="Y14" i="27"/>
  <c r="Z14" i="27"/>
  <c r="AA14" i="27"/>
  <c r="Y11" i="27"/>
  <c r="Z11" i="27"/>
  <c r="AA11" i="27"/>
  <c r="Y12" i="27"/>
  <c r="Z12" i="27"/>
  <c r="AA12" i="27"/>
  <c r="Y9" i="27"/>
  <c r="Z9" i="27"/>
  <c r="AA9" i="27"/>
  <c r="Y82" i="27"/>
  <c r="Z82" i="27"/>
  <c r="AA82" i="27"/>
  <c r="Y83" i="27"/>
  <c r="Z83" i="27"/>
  <c r="AA83" i="27"/>
  <c r="Y84" i="27"/>
  <c r="Z84" i="27"/>
  <c r="AA84" i="27"/>
  <c r="Y85" i="27"/>
  <c r="Z85" i="27"/>
  <c r="AA85" i="27"/>
  <c r="Y80" i="27"/>
  <c r="Z80" i="27"/>
  <c r="AA80" i="27"/>
  <c r="Y78" i="27"/>
  <c r="Z78" i="27"/>
  <c r="AA78" i="27"/>
  <c r="Y68" i="27"/>
  <c r="Z68" i="27"/>
  <c r="AA68" i="27"/>
  <c r="Y70" i="27"/>
  <c r="Z70" i="27"/>
  <c r="AA70" i="27"/>
  <c r="Y71" i="27"/>
  <c r="Z71" i="27"/>
  <c r="AA71" i="27"/>
  <c r="Y72" i="27"/>
  <c r="Z72" i="27"/>
  <c r="AA72" i="27"/>
  <c r="Y73" i="27"/>
  <c r="Z73" i="27"/>
  <c r="AA73" i="27"/>
  <c r="Y74" i="27"/>
  <c r="Z74" i="27"/>
  <c r="AA74" i="27"/>
  <c r="Y75" i="27"/>
  <c r="Z75" i="27"/>
  <c r="AA75" i="27"/>
  <c r="Y76" i="27"/>
  <c r="Z76" i="27"/>
  <c r="AA76" i="27"/>
  <c r="Y50" i="27"/>
  <c r="Z50" i="27"/>
  <c r="AA50" i="27"/>
  <c r="Y51" i="27"/>
  <c r="Z51" i="27"/>
  <c r="AA51" i="27"/>
  <c r="Y52" i="27"/>
  <c r="Z52" i="27"/>
  <c r="AA52" i="27"/>
  <c r="K39" i="32"/>
  <c r="X98" i="31"/>
  <c r="W98" i="31"/>
  <c r="V98" i="31"/>
  <c r="U98" i="31"/>
  <c r="T98" i="31"/>
  <c r="S98" i="31"/>
  <c r="B98" i="31"/>
  <c r="AA22" i="31"/>
  <c r="Z22" i="31"/>
  <c r="Y22" i="31"/>
  <c r="AA93" i="31"/>
  <c r="Z93" i="31"/>
  <c r="Y93" i="31"/>
  <c r="AA46" i="31"/>
  <c r="Z46" i="31"/>
  <c r="Y46" i="31"/>
  <c r="AA75" i="31"/>
  <c r="Z75" i="31"/>
  <c r="Y75" i="31"/>
  <c r="AA57" i="31"/>
  <c r="Z57" i="31"/>
  <c r="Y57" i="31"/>
  <c r="AA92" i="31"/>
  <c r="Z92" i="31"/>
  <c r="Y92" i="31"/>
  <c r="AA45" i="31"/>
  <c r="Z45" i="31"/>
  <c r="Y45" i="31"/>
  <c r="AA29" i="31"/>
  <c r="Z29" i="31"/>
  <c r="Y29" i="31"/>
  <c r="AA97" i="31"/>
  <c r="Z97" i="31"/>
  <c r="Y97" i="31"/>
  <c r="AA74" i="31"/>
  <c r="Z74" i="31"/>
  <c r="Y74" i="31"/>
  <c r="AA21" i="31"/>
  <c r="Z21" i="31"/>
  <c r="Y21" i="31"/>
  <c r="AA11" i="31"/>
  <c r="Z11" i="31"/>
  <c r="Y11" i="31"/>
  <c r="AA91" i="31"/>
  <c r="Z91" i="31"/>
  <c r="Y91" i="31"/>
  <c r="AA44" i="31"/>
  <c r="Z44" i="31"/>
  <c r="Y44" i="31"/>
  <c r="AA73" i="31"/>
  <c r="Z73" i="31"/>
  <c r="Y73" i="31"/>
  <c r="AA10" i="31"/>
  <c r="Z10" i="31"/>
  <c r="Y10" i="31"/>
  <c r="AA20" i="31"/>
  <c r="Z20" i="31"/>
  <c r="Y20" i="31"/>
  <c r="AA90" i="31"/>
  <c r="Z90" i="31"/>
  <c r="Y90" i="31"/>
  <c r="AA72" i="31"/>
  <c r="Z72" i="31"/>
  <c r="Y72" i="31"/>
  <c r="AA43" i="31"/>
  <c r="Z43" i="31"/>
  <c r="Y43" i="31"/>
  <c r="AA56" i="31"/>
  <c r="Z56" i="31"/>
  <c r="Y56" i="31"/>
  <c r="AA28" i="31"/>
  <c r="Z28" i="31"/>
  <c r="Y28" i="31"/>
  <c r="AA42" i="31"/>
  <c r="Z42" i="31"/>
  <c r="Y42" i="31"/>
  <c r="AA9" i="31"/>
  <c r="Z9" i="31"/>
  <c r="Y9" i="31"/>
  <c r="AA19" i="31"/>
  <c r="Z19" i="31"/>
  <c r="Y19" i="31"/>
  <c r="AA55" i="31"/>
  <c r="Z55" i="31"/>
  <c r="Y55" i="31"/>
  <c r="AA71" i="31"/>
  <c r="Z71" i="31"/>
  <c r="Y71" i="31"/>
  <c r="AA89" i="31"/>
  <c r="Z89" i="31"/>
  <c r="Y89" i="31"/>
  <c r="AA54" i="31"/>
  <c r="Z54" i="31"/>
  <c r="Y54" i="31"/>
  <c r="AA70" i="31"/>
  <c r="Z70" i="31"/>
  <c r="Y70" i="31"/>
  <c r="AA18" i="31"/>
  <c r="Z18" i="31"/>
  <c r="Y18" i="31"/>
  <c r="AA41" i="31"/>
  <c r="Z41" i="31"/>
  <c r="Y41" i="31"/>
  <c r="AA96" i="31"/>
  <c r="Z96" i="31"/>
  <c r="Y96" i="31"/>
  <c r="AA8" i="31"/>
  <c r="Z8" i="31"/>
  <c r="Y8" i="31"/>
  <c r="AA88" i="31"/>
  <c r="Z88" i="31"/>
  <c r="Y88" i="31"/>
  <c r="AA40" i="31"/>
  <c r="Z40" i="31"/>
  <c r="Y40" i="31"/>
  <c r="AA69" i="31"/>
  <c r="Z69" i="31"/>
  <c r="Y69" i="31"/>
  <c r="AA17" i="31"/>
  <c r="Z17" i="31"/>
  <c r="Y17" i="31"/>
  <c r="AA77" i="31"/>
  <c r="Z77" i="31"/>
  <c r="Y77" i="31"/>
  <c r="AA76" i="31"/>
  <c r="Z76" i="31"/>
  <c r="Y76" i="31"/>
  <c r="AA27" i="31"/>
  <c r="Z27" i="31"/>
  <c r="Y27" i="31"/>
  <c r="AA39" i="31"/>
  <c r="Z39" i="31"/>
  <c r="Y39" i="31"/>
  <c r="AA87" i="31"/>
  <c r="Z87" i="31"/>
  <c r="Y87" i="31"/>
  <c r="AA68" i="31"/>
  <c r="Z68" i="31"/>
  <c r="Y68" i="31"/>
  <c r="AA16" i="31"/>
  <c r="Z16" i="31"/>
  <c r="Y16" i="31"/>
  <c r="AA67" i="31"/>
  <c r="Z67" i="31"/>
  <c r="Y67" i="31"/>
  <c r="AA86" i="31"/>
  <c r="Z86" i="31"/>
  <c r="Y86" i="31"/>
  <c r="AA38" i="31"/>
  <c r="Z38" i="31"/>
  <c r="Y38" i="31"/>
  <c r="AA66" i="31"/>
  <c r="Z66" i="31"/>
  <c r="Y66" i="31"/>
  <c r="AA85" i="31"/>
  <c r="Z85" i="31"/>
  <c r="Y85" i="31"/>
  <c r="AA65" i="31"/>
  <c r="Z65" i="31"/>
  <c r="Y65" i="31"/>
  <c r="AA37" i="31"/>
  <c r="Z37" i="31"/>
  <c r="Y37" i="31"/>
  <c r="AA53" i="31"/>
  <c r="Z53" i="31"/>
  <c r="Y53" i="31"/>
  <c r="AA84" i="31"/>
  <c r="Z84" i="31"/>
  <c r="Y84" i="31"/>
  <c r="AA7" i="31"/>
  <c r="Z7" i="31"/>
  <c r="Y7" i="31"/>
  <c r="AA36" i="31"/>
  <c r="Z36" i="31"/>
  <c r="Y36" i="31"/>
  <c r="AA95" i="31"/>
  <c r="Z95" i="31"/>
  <c r="Y95" i="31"/>
  <c r="AA15" i="31"/>
  <c r="Z15" i="31"/>
  <c r="Y15" i="31"/>
  <c r="AA64" i="31"/>
  <c r="Z64" i="31"/>
  <c r="Y64" i="31"/>
  <c r="AA26" i="31"/>
  <c r="Z26" i="31"/>
  <c r="Y26" i="31"/>
  <c r="AA35" i="31"/>
  <c r="Z35" i="31"/>
  <c r="Y35" i="31"/>
  <c r="AA63" i="31"/>
  <c r="Z63" i="31"/>
  <c r="Y63" i="31"/>
  <c r="AA83" i="31"/>
  <c r="Z83" i="31"/>
  <c r="Y83" i="31"/>
  <c r="AA52" i="31"/>
  <c r="Z52" i="31"/>
  <c r="Y52" i="31"/>
  <c r="AA14" i="31"/>
  <c r="Z14" i="31"/>
  <c r="Y14" i="31"/>
  <c r="AA6" i="31"/>
  <c r="Z6" i="31"/>
  <c r="Y6" i="31"/>
  <c r="AA62" i="31"/>
  <c r="Z62" i="31"/>
  <c r="Y62" i="31"/>
  <c r="AA34" i="31"/>
  <c r="Z34" i="31"/>
  <c r="Y34" i="31"/>
  <c r="AA82" i="31"/>
  <c r="Z82" i="31"/>
  <c r="Y82" i="31"/>
  <c r="AA51" i="31"/>
  <c r="Z51" i="31"/>
  <c r="Y51" i="31"/>
  <c r="AA50" i="31"/>
  <c r="Z50" i="31"/>
  <c r="Y50" i="31"/>
  <c r="AA25" i="31"/>
  <c r="Z25" i="31"/>
  <c r="Y25" i="31"/>
  <c r="AA81" i="31"/>
  <c r="Z81" i="31"/>
  <c r="Y81" i="31"/>
  <c r="AA13" i="31"/>
  <c r="Z13" i="31"/>
  <c r="Y13" i="31"/>
  <c r="AA5" i="31"/>
  <c r="Z5" i="31"/>
  <c r="Y5" i="31"/>
  <c r="AA61" i="31"/>
  <c r="Z61" i="31"/>
  <c r="Y61" i="31"/>
  <c r="AA33" i="31"/>
  <c r="Z33" i="31"/>
  <c r="Y33" i="31"/>
  <c r="AA49" i="31"/>
  <c r="Z49" i="31"/>
  <c r="Y49" i="31"/>
  <c r="AA24" i="31"/>
  <c r="Z24" i="31"/>
  <c r="Y24" i="31"/>
  <c r="AA94" i="31"/>
  <c r="Z94" i="31"/>
  <c r="Y94" i="31"/>
  <c r="AA80" i="31"/>
  <c r="Z80" i="31"/>
  <c r="Y80" i="31"/>
  <c r="AA60" i="31"/>
  <c r="Z60" i="31"/>
  <c r="Y60" i="31"/>
  <c r="AA12" i="31"/>
  <c r="Z12" i="31"/>
  <c r="Y12" i="31"/>
  <c r="AA48" i="31"/>
  <c r="Z48" i="31"/>
  <c r="Y48" i="31"/>
  <c r="AA4" i="31"/>
  <c r="Z4" i="31"/>
  <c r="Y4" i="31"/>
  <c r="AA32" i="31"/>
  <c r="Z32" i="31"/>
  <c r="Y32" i="31"/>
  <c r="AA79" i="31"/>
  <c r="Z79" i="31"/>
  <c r="Y79" i="31"/>
  <c r="AA31" i="31"/>
  <c r="Z31" i="31"/>
  <c r="Y31" i="31"/>
  <c r="AA59" i="31"/>
  <c r="Z59" i="31"/>
  <c r="Y59" i="31"/>
  <c r="AA47" i="31"/>
  <c r="Z47" i="31"/>
  <c r="Y47" i="31"/>
  <c r="AA23" i="31"/>
  <c r="Z23" i="31"/>
  <c r="Y23" i="31"/>
  <c r="AA58" i="31"/>
  <c r="Z58" i="31"/>
  <c r="Y58" i="31"/>
  <c r="AA30" i="31"/>
  <c r="Z30" i="31"/>
  <c r="Y30" i="31"/>
  <c r="AA78" i="31"/>
  <c r="Z78" i="31"/>
  <c r="Y78" i="31"/>
  <c r="X163" i="29"/>
  <c r="W163" i="29"/>
  <c r="V163" i="29"/>
  <c r="U163" i="29"/>
  <c r="T163" i="29"/>
  <c r="S163" i="29"/>
  <c r="B163" i="29"/>
  <c r="AA162" i="29"/>
  <c r="Z162" i="29"/>
  <c r="Y162" i="29"/>
  <c r="AA161" i="29"/>
  <c r="Z161" i="29"/>
  <c r="Y161" i="29"/>
  <c r="AA160" i="29"/>
  <c r="Z160" i="29"/>
  <c r="Y160" i="29"/>
  <c r="AA159" i="29"/>
  <c r="Z159" i="29"/>
  <c r="Y159" i="29"/>
  <c r="AA158" i="29"/>
  <c r="Z158" i="29"/>
  <c r="Y158" i="29"/>
  <c r="AA157" i="29"/>
  <c r="Z157" i="29"/>
  <c r="Y157" i="29"/>
  <c r="AA156" i="29"/>
  <c r="Z156" i="29"/>
  <c r="Y156" i="29"/>
  <c r="AA155" i="29"/>
  <c r="Z155" i="29"/>
  <c r="Y155" i="29"/>
  <c r="AA154" i="29"/>
  <c r="Z154" i="29"/>
  <c r="Y154" i="29"/>
  <c r="AA153" i="29"/>
  <c r="Z153" i="29"/>
  <c r="Y153" i="29"/>
  <c r="AA152" i="29"/>
  <c r="Z152" i="29"/>
  <c r="Y152" i="29"/>
  <c r="AA151" i="29"/>
  <c r="Z151" i="29"/>
  <c r="Y151" i="29"/>
  <c r="AA150" i="29"/>
  <c r="Z150" i="29"/>
  <c r="Y150" i="29"/>
  <c r="AA149" i="29"/>
  <c r="Z149" i="29"/>
  <c r="Y149" i="29"/>
  <c r="AA148" i="29"/>
  <c r="Z148" i="29"/>
  <c r="Y148" i="29"/>
  <c r="AA147" i="29"/>
  <c r="Z147" i="29"/>
  <c r="Y147" i="29"/>
  <c r="AA146" i="29"/>
  <c r="Z146" i="29"/>
  <c r="Y146" i="29"/>
  <c r="AA145" i="29"/>
  <c r="Z145" i="29"/>
  <c r="Y145" i="29"/>
  <c r="AA144" i="29"/>
  <c r="Z144" i="29"/>
  <c r="Y144" i="29"/>
  <c r="AA143" i="29"/>
  <c r="Z143" i="29"/>
  <c r="Y143" i="29"/>
  <c r="AA142" i="29"/>
  <c r="Z142" i="29"/>
  <c r="Y142" i="29"/>
  <c r="AA141" i="29"/>
  <c r="Z141" i="29"/>
  <c r="Y141" i="29"/>
  <c r="AA140" i="29"/>
  <c r="Z140" i="29"/>
  <c r="Y140" i="29"/>
  <c r="AA139" i="29"/>
  <c r="Z139" i="29"/>
  <c r="Y139" i="29"/>
  <c r="AA138" i="29"/>
  <c r="Z138" i="29"/>
  <c r="Y138" i="29"/>
  <c r="AA137" i="29"/>
  <c r="Z137" i="29"/>
  <c r="Y137" i="29"/>
  <c r="AA136" i="29"/>
  <c r="Z136" i="29"/>
  <c r="Y136" i="29"/>
  <c r="AA135" i="29"/>
  <c r="Z135" i="29"/>
  <c r="Y135" i="29"/>
  <c r="AA134" i="29"/>
  <c r="Z134" i="29"/>
  <c r="Y134" i="29"/>
  <c r="AA133" i="29"/>
  <c r="Z133" i="29"/>
  <c r="Y133" i="29"/>
  <c r="AA132" i="29"/>
  <c r="Z132" i="29"/>
  <c r="Y132" i="29"/>
  <c r="AA131" i="29"/>
  <c r="Z131" i="29"/>
  <c r="Y131" i="29"/>
  <c r="AA130" i="29"/>
  <c r="Z130" i="29"/>
  <c r="Y130" i="29"/>
  <c r="AA129" i="29"/>
  <c r="Z129" i="29"/>
  <c r="Y129" i="29"/>
  <c r="AA128" i="29"/>
  <c r="Z128" i="29"/>
  <c r="Y128" i="29"/>
  <c r="AA127" i="29"/>
  <c r="Z127" i="29"/>
  <c r="Y127" i="29"/>
  <c r="AA126" i="29"/>
  <c r="Z126" i="29"/>
  <c r="Y126" i="29"/>
  <c r="AA125" i="29"/>
  <c r="Z125" i="29"/>
  <c r="Y125" i="29"/>
  <c r="AA124" i="29"/>
  <c r="Z124" i="29"/>
  <c r="Y124" i="29"/>
  <c r="AA123" i="29"/>
  <c r="Z123" i="29"/>
  <c r="Y123" i="29"/>
  <c r="AA122" i="29"/>
  <c r="Z122" i="29"/>
  <c r="Y122" i="29"/>
  <c r="AA121" i="29"/>
  <c r="Z121" i="29"/>
  <c r="Y121" i="29"/>
  <c r="AA120" i="29"/>
  <c r="Z120" i="29"/>
  <c r="Y120" i="29"/>
  <c r="AA119" i="29"/>
  <c r="Z119" i="29"/>
  <c r="Y119" i="29"/>
  <c r="AA118" i="29"/>
  <c r="Z118" i="29"/>
  <c r="Y118" i="29"/>
  <c r="AA117" i="29"/>
  <c r="Z117" i="29"/>
  <c r="Y117" i="29"/>
  <c r="AA116" i="29"/>
  <c r="Z116" i="29"/>
  <c r="Y116" i="29"/>
  <c r="AA115" i="29"/>
  <c r="Z115" i="29"/>
  <c r="Y115" i="29"/>
  <c r="AA114" i="29"/>
  <c r="Z114" i="29"/>
  <c r="Y114" i="29"/>
  <c r="AA113" i="29"/>
  <c r="Z113" i="29"/>
  <c r="Y113" i="29"/>
  <c r="AA112" i="29"/>
  <c r="Z112" i="29"/>
  <c r="Y112" i="29"/>
  <c r="AA111" i="29"/>
  <c r="Z111" i="29"/>
  <c r="Y111" i="29"/>
  <c r="AA110" i="29"/>
  <c r="Z110" i="29"/>
  <c r="Y110" i="29"/>
  <c r="AA109" i="29"/>
  <c r="Z109" i="29"/>
  <c r="Y109" i="29"/>
  <c r="AA108" i="29"/>
  <c r="Z108" i="29"/>
  <c r="Y108" i="29"/>
  <c r="AA107" i="29"/>
  <c r="Z107" i="29"/>
  <c r="Y107" i="29"/>
  <c r="AA106" i="29"/>
  <c r="Z106" i="29"/>
  <c r="Y106" i="29"/>
  <c r="AA105" i="29"/>
  <c r="Z105" i="29"/>
  <c r="Y105" i="29"/>
  <c r="AA104" i="29"/>
  <c r="Z104" i="29"/>
  <c r="Y104" i="29"/>
  <c r="AA103" i="29"/>
  <c r="Z103" i="29"/>
  <c r="Y103" i="29"/>
  <c r="AA102" i="29"/>
  <c r="Z102" i="29"/>
  <c r="Y102" i="29"/>
  <c r="AA101" i="29"/>
  <c r="Z101" i="29"/>
  <c r="Y101" i="29"/>
  <c r="AA100" i="29"/>
  <c r="Z100" i="29"/>
  <c r="Y100" i="29"/>
  <c r="AA99" i="29"/>
  <c r="Z99" i="29"/>
  <c r="Y99" i="29"/>
  <c r="AA98" i="29"/>
  <c r="Z98" i="29"/>
  <c r="Y98" i="29"/>
  <c r="AA97" i="29"/>
  <c r="Z97" i="29"/>
  <c r="Y97" i="29"/>
  <c r="AA96" i="29"/>
  <c r="Z96" i="29"/>
  <c r="Y96" i="29"/>
  <c r="AA95" i="29"/>
  <c r="Z95" i="29"/>
  <c r="Y95" i="29"/>
  <c r="AA94" i="29"/>
  <c r="Z94" i="29"/>
  <c r="Y94" i="29"/>
  <c r="AA93" i="29"/>
  <c r="Z93" i="29"/>
  <c r="Y93" i="29"/>
  <c r="AA92" i="29"/>
  <c r="Z92" i="29"/>
  <c r="Y92" i="29"/>
  <c r="AA91" i="29"/>
  <c r="Z91" i="29"/>
  <c r="Y91" i="29"/>
  <c r="AA90" i="29"/>
  <c r="Z90" i="29"/>
  <c r="Y90" i="29"/>
  <c r="AA89" i="29"/>
  <c r="Z89" i="29"/>
  <c r="Y89" i="29"/>
  <c r="AA88" i="29"/>
  <c r="Z88" i="29"/>
  <c r="Y88" i="29"/>
  <c r="AA87" i="29"/>
  <c r="Z87" i="29"/>
  <c r="Y87" i="29"/>
  <c r="AA86" i="29"/>
  <c r="Z86" i="29"/>
  <c r="Y86" i="29"/>
  <c r="AA85" i="29"/>
  <c r="Z85" i="29"/>
  <c r="Y85" i="29"/>
  <c r="AA84" i="29"/>
  <c r="Z84" i="29"/>
  <c r="Y84" i="29"/>
  <c r="AA83" i="29"/>
  <c r="Z83" i="29"/>
  <c r="Y83" i="29"/>
  <c r="AA82" i="29"/>
  <c r="Z82" i="29"/>
  <c r="Y82" i="29"/>
  <c r="AA81" i="29"/>
  <c r="Z81" i="29"/>
  <c r="Y81" i="29"/>
  <c r="AA80" i="29"/>
  <c r="Z80" i="29"/>
  <c r="Y80" i="29"/>
  <c r="AA79" i="29"/>
  <c r="Z79" i="29"/>
  <c r="Y79" i="29"/>
  <c r="AA78" i="29"/>
  <c r="Z78" i="29"/>
  <c r="Y78" i="29"/>
  <c r="AA77" i="29"/>
  <c r="Z77" i="29"/>
  <c r="Y77" i="29"/>
  <c r="AA76" i="29"/>
  <c r="Z76" i="29"/>
  <c r="Y76" i="29"/>
  <c r="AA75" i="29"/>
  <c r="Z75" i="29"/>
  <c r="Y75" i="29"/>
  <c r="AA74" i="29"/>
  <c r="Z74" i="29"/>
  <c r="Y74" i="29"/>
  <c r="AA73" i="29"/>
  <c r="Z73" i="29"/>
  <c r="Y73" i="29"/>
  <c r="AA72" i="29"/>
  <c r="Z72" i="29"/>
  <c r="Y72" i="29"/>
  <c r="AA71" i="29"/>
  <c r="Z71" i="29"/>
  <c r="Y71" i="29"/>
  <c r="AA70" i="29"/>
  <c r="Z70" i="29"/>
  <c r="Y70" i="29"/>
  <c r="AA69" i="29"/>
  <c r="Z69" i="29"/>
  <c r="Y69" i="29"/>
  <c r="AA68" i="29"/>
  <c r="Z68" i="29"/>
  <c r="Y68" i="29"/>
  <c r="AA67" i="29"/>
  <c r="Z67" i="29"/>
  <c r="Y67" i="29"/>
  <c r="AA66" i="29"/>
  <c r="Z66" i="29"/>
  <c r="Y66" i="29"/>
  <c r="AA65" i="29"/>
  <c r="Z65" i="29"/>
  <c r="Y65" i="29"/>
  <c r="AA64" i="29"/>
  <c r="Z64" i="29"/>
  <c r="Y64" i="29"/>
  <c r="AA63" i="29"/>
  <c r="Z63" i="29"/>
  <c r="Y63" i="29"/>
  <c r="AA62" i="29"/>
  <c r="Z62" i="29"/>
  <c r="Y62" i="29"/>
  <c r="AA61" i="29"/>
  <c r="Z61" i="29"/>
  <c r="Y61" i="29"/>
  <c r="AA60" i="29"/>
  <c r="Z60" i="29"/>
  <c r="Y60" i="29"/>
  <c r="AA59" i="29"/>
  <c r="Z59" i="29"/>
  <c r="Y59" i="29"/>
  <c r="AA58" i="29"/>
  <c r="Z58" i="29"/>
  <c r="Y58" i="29"/>
  <c r="AA57" i="29"/>
  <c r="Z57" i="29"/>
  <c r="Y57" i="29"/>
  <c r="AA56" i="29"/>
  <c r="Z56" i="29"/>
  <c r="Y56" i="29"/>
  <c r="AA55" i="29"/>
  <c r="Z55" i="29"/>
  <c r="Y55" i="29"/>
  <c r="AA54" i="29"/>
  <c r="Z54" i="29"/>
  <c r="Y54" i="29"/>
  <c r="AA53" i="29"/>
  <c r="Z53" i="29"/>
  <c r="Y53" i="29"/>
  <c r="AA52" i="29"/>
  <c r="Z52" i="29"/>
  <c r="Y52" i="29"/>
  <c r="AA51" i="29"/>
  <c r="Z51" i="29"/>
  <c r="Y51" i="29"/>
  <c r="AA50" i="29"/>
  <c r="Z50" i="29"/>
  <c r="Y50" i="29"/>
  <c r="AA49" i="29"/>
  <c r="Z49" i="29"/>
  <c r="Y49" i="29"/>
  <c r="AA48" i="29"/>
  <c r="Z48" i="29"/>
  <c r="Y48" i="29"/>
  <c r="AA47" i="29"/>
  <c r="Z47" i="29"/>
  <c r="Y47" i="29"/>
  <c r="AA46" i="29"/>
  <c r="Z46" i="29"/>
  <c r="Y46" i="29"/>
  <c r="AA45" i="29"/>
  <c r="Z45" i="29"/>
  <c r="Y45" i="29"/>
  <c r="AA44" i="29"/>
  <c r="Z44" i="29"/>
  <c r="Y44" i="29"/>
  <c r="AA43" i="29"/>
  <c r="Z43" i="29"/>
  <c r="Y43" i="29"/>
  <c r="AA42" i="29"/>
  <c r="Z42" i="29"/>
  <c r="Y42" i="29"/>
  <c r="AA41" i="29"/>
  <c r="Z41" i="29"/>
  <c r="Y41" i="29"/>
  <c r="AA40" i="29"/>
  <c r="Z40" i="29"/>
  <c r="Y40" i="29"/>
  <c r="AA39" i="29"/>
  <c r="Z39" i="29"/>
  <c r="Y39" i="29"/>
  <c r="AA38" i="29"/>
  <c r="Z38" i="29"/>
  <c r="Y38" i="29"/>
  <c r="AA37" i="29"/>
  <c r="Z37" i="29"/>
  <c r="Y37" i="29"/>
  <c r="AA36" i="29"/>
  <c r="Z36" i="29"/>
  <c r="Y36" i="29"/>
  <c r="AA35" i="29"/>
  <c r="Z35" i="29"/>
  <c r="Y35" i="29"/>
  <c r="AA34" i="29"/>
  <c r="Z34" i="29"/>
  <c r="Y34" i="29"/>
  <c r="AA33" i="29"/>
  <c r="Z33" i="29"/>
  <c r="Y33" i="29"/>
  <c r="AA32" i="29"/>
  <c r="Z32" i="29"/>
  <c r="Y32" i="29"/>
  <c r="AA31" i="29"/>
  <c r="Z31" i="29"/>
  <c r="Y31" i="29"/>
  <c r="AA30" i="29"/>
  <c r="Z30" i="29"/>
  <c r="Y30" i="29"/>
  <c r="AA29" i="29"/>
  <c r="Z29" i="29"/>
  <c r="Y29" i="29"/>
  <c r="AA28" i="29"/>
  <c r="Z28" i="29"/>
  <c r="Y28" i="29"/>
  <c r="AA27" i="29"/>
  <c r="Z27" i="29"/>
  <c r="Y27" i="29"/>
  <c r="AA26" i="29"/>
  <c r="Z26" i="29"/>
  <c r="Y26" i="29"/>
  <c r="AA25" i="29"/>
  <c r="Z25" i="29"/>
  <c r="Y25" i="29"/>
  <c r="AA24" i="29"/>
  <c r="Z24" i="29"/>
  <c r="Y24" i="29"/>
  <c r="AA23" i="29"/>
  <c r="Z23" i="29"/>
  <c r="Y23" i="29"/>
  <c r="AA22" i="29"/>
  <c r="Z22" i="29"/>
  <c r="Y22" i="29"/>
  <c r="AA21" i="29"/>
  <c r="Z21" i="29"/>
  <c r="Y21" i="29"/>
  <c r="AA20" i="29"/>
  <c r="Z20" i="29"/>
  <c r="Y20" i="29"/>
  <c r="AA19" i="29"/>
  <c r="Z19" i="29"/>
  <c r="Y19" i="29"/>
  <c r="AA18" i="29"/>
  <c r="Z18" i="29"/>
  <c r="Y18" i="29"/>
  <c r="AA17" i="29"/>
  <c r="Z17" i="29"/>
  <c r="Y17" i="29"/>
  <c r="AA16" i="29"/>
  <c r="Z16" i="29"/>
  <c r="Y16" i="29"/>
  <c r="AA15" i="29"/>
  <c r="Z15" i="29"/>
  <c r="Y15" i="29"/>
  <c r="AA14" i="29"/>
  <c r="Z14" i="29"/>
  <c r="Y14" i="29"/>
  <c r="AA13" i="29"/>
  <c r="Z13" i="29"/>
  <c r="Y13" i="29"/>
  <c r="AA12" i="29"/>
  <c r="Z12" i="29"/>
  <c r="Y12" i="29"/>
  <c r="AA11" i="29"/>
  <c r="Z11" i="29"/>
  <c r="Y11" i="29"/>
  <c r="AA10" i="29"/>
  <c r="Z10" i="29"/>
  <c r="Y10" i="29"/>
  <c r="AA9" i="29"/>
  <c r="Z9" i="29"/>
  <c r="Y9" i="29"/>
  <c r="AA8" i="29"/>
  <c r="Z8" i="29"/>
  <c r="Y8" i="29"/>
  <c r="AA7" i="29"/>
  <c r="Z7" i="29"/>
  <c r="Y7" i="29"/>
  <c r="AA6" i="29"/>
  <c r="Z6" i="29"/>
  <c r="Y6" i="29"/>
  <c r="AA5" i="29"/>
  <c r="Z5" i="29"/>
  <c r="Y5" i="29"/>
  <c r="AA4" i="29"/>
  <c r="Z4" i="29"/>
  <c r="Y4" i="29"/>
  <c r="Q98" i="31"/>
  <c r="R98" i="31"/>
  <c r="Q163" i="29"/>
  <c r="R163" i="29"/>
  <c r="X459" i="28"/>
  <c r="W459" i="28"/>
  <c r="V459" i="28"/>
  <c r="U459" i="28"/>
  <c r="T459" i="28"/>
  <c r="S459" i="28"/>
  <c r="B459" i="28"/>
  <c r="AA458" i="28"/>
  <c r="Z458" i="28"/>
  <c r="Y458" i="28"/>
  <c r="AA457" i="28"/>
  <c r="Z457" i="28"/>
  <c r="Y457" i="28"/>
  <c r="AA456" i="28"/>
  <c r="Z456" i="28"/>
  <c r="Y456" i="28"/>
  <c r="AA455" i="28"/>
  <c r="Z455" i="28"/>
  <c r="Y455" i="28"/>
  <c r="AA454" i="28"/>
  <c r="Z454" i="28"/>
  <c r="Y454" i="28"/>
  <c r="AA453" i="28"/>
  <c r="Z453" i="28"/>
  <c r="Y453" i="28"/>
  <c r="AA452" i="28"/>
  <c r="Z452" i="28"/>
  <c r="Y452" i="28"/>
  <c r="AA451" i="28"/>
  <c r="Z451" i="28"/>
  <c r="Y451" i="28"/>
  <c r="AA450" i="28"/>
  <c r="Z450" i="28"/>
  <c r="Y450" i="28"/>
  <c r="AA449" i="28"/>
  <c r="Z449" i="28"/>
  <c r="Y449" i="28"/>
  <c r="AA448" i="28"/>
  <c r="Z448" i="28"/>
  <c r="Y448" i="28"/>
  <c r="AA447" i="28"/>
  <c r="Z447" i="28"/>
  <c r="Y447" i="28"/>
  <c r="AA446" i="28"/>
  <c r="Z446" i="28"/>
  <c r="Y446" i="28"/>
  <c r="AA445" i="28"/>
  <c r="Z445" i="28"/>
  <c r="Y445" i="28"/>
  <c r="AA444" i="28"/>
  <c r="Z444" i="28"/>
  <c r="Y444" i="28"/>
  <c r="AA443" i="28"/>
  <c r="Z443" i="28"/>
  <c r="Y443" i="28"/>
  <c r="AA442" i="28"/>
  <c r="Z442" i="28"/>
  <c r="Y442" i="28"/>
  <c r="AA441" i="28"/>
  <c r="Z441" i="28"/>
  <c r="Y441" i="28"/>
  <c r="AA440" i="28"/>
  <c r="Z440" i="28"/>
  <c r="Y440" i="28"/>
  <c r="AA439" i="28"/>
  <c r="Z439" i="28"/>
  <c r="Y439" i="28"/>
  <c r="AA438" i="28"/>
  <c r="Z438" i="28"/>
  <c r="Y438" i="28"/>
  <c r="AA437" i="28"/>
  <c r="Z437" i="28"/>
  <c r="Y437" i="28"/>
  <c r="AA436" i="28"/>
  <c r="Z436" i="28"/>
  <c r="Y436" i="28"/>
  <c r="AA435" i="28"/>
  <c r="Z435" i="28"/>
  <c r="Y435" i="28"/>
  <c r="AA434" i="28"/>
  <c r="Z434" i="28"/>
  <c r="Y434" i="28"/>
  <c r="AA433" i="28"/>
  <c r="Z433" i="28"/>
  <c r="Y433" i="28"/>
  <c r="AA432" i="28"/>
  <c r="Z432" i="28"/>
  <c r="Y432" i="28"/>
  <c r="AA431" i="28"/>
  <c r="Z431" i="28"/>
  <c r="Y431" i="28"/>
  <c r="AA430" i="28"/>
  <c r="Z430" i="28"/>
  <c r="Y430" i="28"/>
  <c r="AA429" i="28"/>
  <c r="Z429" i="28"/>
  <c r="Y429" i="28"/>
  <c r="AA428" i="28"/>
  <c r="Z428" i="28"/>
  <c r="Y428" i="28"/>
  <c r="AA427" i="28"/>
  <c r="Z427" i="28"/>
  <c r="Y427" i="28"/>
  <c r="AA426" i="28"/>
  <c r="Z426" i="28"/>
  <c r="Y426" i="28"/>
  <c r="AA425" i="28"/>
  <c r="Z425" i="28"/>
  <c r="Y425" i="28"/>
  <c r="AA424" i="28"/>
  <c r="Z424" i="28"/>
  <c r="Y424" i="28"/>
  <c r="AA423" i="28"/>
  <c r="Z423" i="28"/>
  <c r="Y423" i="28"/>
  <c r="AA422" i="28"/>
  <c r="Z422" i="28"/>
  <c r="Y422" i="28"/>
  <c r="AA421" i="28"/>
  <c r="Z421" i="28"/>
  <c r="Y421" i="28"/>
  <c r="AA419" i="28"/>
  <c r="Z419" i="28"/>
  <c r="Y419" i="28"/>
  <c r="AA418" i="28"/>
  <c r="Z418" i="28"/>
  <c r="Y418" i="28"/>
  <c r="AA417" i="28"/>
  <c r="Z417" i="28"/>
  <c r="Y417" i="28"/>
  <c r="AA416" i="28"/>
  <c r="Z416" i="28"/>
  <c r="Y416" i="28"/>
  <c r="AA415" i="28"/>
  <c r="Z415" i="28"/>
  <c r="Y415" i="28"/>
  <c r="AA414" i="28"/>
  <c r="Z414" i="28"/>
  <c r="Y414" i="28"/>
  <c r="AA413" i="28"/>
  <c r="Z413" i="28"/>
  <c r="Y413" i="28"/>
  <c r="AA412" i="28"/>
  <c r="Z412" i="28"/>
  <c r="Y412" i="28"/>
  <c r="AA411" i="28"/>
  <c r="Z411" i="28"/>
  <c r="Y411" i="28"/>
  <c r="AA410" i="28"/>
  <c r="Z410" i="28"/>
  <c r="Y410" i="28"/>
  <c r="AA409" i="28"/>
  <c r="Z409" i="28"/>
  <c r="Y409" i="28"/>
  <c r="AA408" i="28"/>
  <c r="Z408" i="28"/>
  <c r="Y408" i="28"/>
  <c r="AA407" i="28"/>
  <c r="Z407" i="28"/>
  <c r="Y407" i="28"/>
  <c r="AA406" i="28"/>
  <c r="Z406" i="28"/>
  <c r="Y406" i="28"/>
  <c r="AA405" i="28"/>
  <c r="Z405" i="28"/>
  <c r="Y405" i="28"/>
  <c r="AA404" i="28"/>
  <c r="Z404" i="28"/>
  <c r="Y404" i="28"/>
  <c r="AA403" i="28"/>
  <c r="Z403" i="28"/>
  <c r="Y403" i="28"/>
  <c r="AA402" i="28"/>
  <c r="Z402" i="28"/>
  <c r="Y402" i="28"/>
  <c r="AA401" i="28"/>
  <c r="Z401" i="28"/>
  <c r="Y401" i="28"/>
  <c r="AA400" i="28"/>
  <c r="Z400" i="28"/>
  <c r="Y400" i="28"/>
  <c r="AA399" i="28"/>
  <c r="Z399" i="28"/>
  <c r="Y399" i="28"/>
  <c r="AA398" i="28"/>
  <c r="Z398" i="28"/>
  <c r="Y398" i="28"/>
  <c r="AA397" i="28"/>
  <c r="Z397" i="28"/>
  <c r="Y397" i="28"/>
  <c r="AA396" i="28"/>
  <c r="Z396" i="28"/>
  <c r="Y396" i="28"/>
  <c r="AA395" i="28"/>
  <c r="Z395" i="28"/>
  <c r="Y395" i="28"/>
  <c r="AA394" i="28"/>
  <c r="Z394" i="28"/>
  <c r="Y394" i="28"/>
  <c r="AA393" i="28"/>
  <c r="Z393" i="28"/>
  <c r="Y393" i="28"/>
  <c r="AA392" i="28"/>
  <c r="Z392" i="28"/>
  <c r="Y392" i="28"/>
  <c r="AA391" i="28"/>
  <c r="Z391" i="28"/>
  <c r="Y391" i="28"/>
  <c r="AA390" i="28"/>
  <c r="Z390" i="28"/>
  <c r="Y390" i="28"/>
  <c r="AA389" i="28"/>
  <c r="Z389" i="28"/>
  <c r="Y389" i="28"/>
  <c r="AA388" i="28"/>
  <c r="Z388" i="28"/>
  <c r="Y388" i="28"/>
  <c r="AA387" i="28"/>
  <c r="Z387" i="28"/>
  <c r="Y387" i="28"/>
  <c r="AA386" i="28"/>
  <c r="Z386" i="28"/>
  <c r="Y386" i="28"/>
  <c r="AA385" i="28"/>
  <c r="Z385" i="28"/>
  <c r="Y385" i="28"/>
  <c r="AA384" i="28"/>
  <c r="Z384" i="28"/>
  <c r="Y384" i="28"/>
  <c r="AA383" i="28"/>
  <c r="Z383" i="28"/>
  <c r="Y383" i="28"/>
  <c r="AA382" i="28"/>
  <c r="Z382" i="28"/>
  <c r="Y382" i="28"/>
  <c r="AA381" i="28"/>
  <c r="Z381" i="28"/>
  <c r="Y381" i="28"/>
  <c r="AA380" i="28"/>
  <c r="Z380" i="28"/>
  <c r="Y380" i="28"/>
  <c r="AA379" i="28"/>
  <c r="Z379" i="28"/>
  <c r="Y379" i="28"/>
  <c r="AA378" i="28"/>
  <c r="Z378" i="28"/>
  <c r="Y378" i="28"/>
  <c r="AA377" i="28"/>
  <c r="Z377" i="28"/>
  <c r="Y377" i="28"/>
  <c r="AA376" i="28"/>
  <c r="Z376" i="28"/>
  <c r="Y376" i="28"/>
  <c r="AA375" i="28"/>
  <c r="Z375" i="28"/>
  <c r="Y375" i="28"/>
  <c r="AA374" i="28"/>
  <c r="Z374" i="28"/>
  <c r="Y374" i="28"/>
  <c r="AA373" i="28"/>
  <c r="Z373" i="28"/>
  <c r="Y373" i="28"/>
  <c r="AA372" i="28"/>
  <c r="Z372" i="28"/>
  <c r="Y372" i="28"/>
  <c r="AA371" i="28"/>
  <c r="Z371" i="28"/>
  <c r="Y371" i="28"/>
  <c r="AA370" i="28"/>
  <c r="Z370" i="28"/>
  <c r="Y370" i="28"/>
  <c r="AA369" i="28"/>
  <c r="Z369" i="28"/>
  <c r="Y369" i="28"/>
  <c r="AA368" i="28"/>
  <c r="Z368" i="28"/>
  <c r="Y368" i="28"/>
  <c r="AA367" i="28"/>
  <c r="Z367" i="28"/>
  <c r="Y367" i="28"/>
  <c r="AA366" i="28"/>
  <c r="Z366" i="28"/>
  <c r="Y366" i="28"/>
  <c r="AA365" i="28"/>
  <c r="Z365" i="28"/>
  <c r="Y365" i="28"/>
  <c r="AA364" i="28"/>
  <c r="Z364" i="28"/>
  <c r="Y364" i="28"/>
  <c r="AA363" i="28"/>
  <c r="Z363" i="28"/>
  <c r="Y363" i="28"/>
  <c r="AA362" i="28"/>
  <c r="Z362" i="28"/>
  <c r="Y362" i="28"/>
  <c r="AA361" i="28"/>
  <c r="Z361" i="28"/>
  <c r="Y361" i="28"/>
  <c r="AA359" i="28"/>
  <c r="Z359" i="28"/>
  <c r="Y359" i="28"/>
  <c r="AA358" i="28"/>
  <c r="Z358" i="28"/>
  <c r="Y358" i="28"/>
  <c r="AA357" i="28"/>
  <c r="Z357" i="28"/>
  <c r="Y357" i="28"/>
  <c r="AA356" i="28"/>
  <c r="Z356" i="28"/>
  <c r="Y356" i="28"/>
  <c r="AA355" i="28"/>
  <c r="Z355" i="28"/>
  <c r="Y355" i="28"/>
  <c r="AA354" i="28"/>
  <c r="Z354" i="28"/>
  <c r="Y354" i="28"/>
  <c r="AA353" i="28"/>
  <c r="Z353" i="28"/>
  <c r="Y353" i="28"/>
  <c r="AA352" i="28"/>
  <c r="Z352" i="28"/>
  <c r="Y352" i="28"/>
  <c r="AA351" i="28"/>
  <c r="Z351" i="28"/>
  <c r="Y351" i="28"/>
  <c r="AA350" i="28"/>
  <c r="Z350" i="28"/>
  <c r="Y350" i="28"/>
  <c r="AA349" i="28"/>
  <c r="Z349" i="28"/>
  <c r="Y349" i="28"/>
  <c r="AA348" i="28"/>
  <c r="Z348" i="28"/>
  <c r="Y348" i="28"/>
  <c r="AA347" i="28"/>
  <c r="Z347" i="28"/>
  <c r="Y347" i="28"/>
  <c r="AA346" i="28"/>
  <c r="Z346" i="28"/>
  <c r="Y346" i="28"/>
  <c r="AA345" i="28"/>
  <c r="Z345" i="28"/>
  <c r="Y345" i="28"/>
  <c r="AA344" i="28"/>
  <c r="Z344" i="28"/>
  <c r="Y344" i="28"/>
  <c r="AA343" i="28"/>
  <c r="Z343" i="28"/>
  <c r="Y343" i="28"/>
  <c r="AA342" i="28"/>
  <c r="Z342" i="28"/>
  <c r="Y342" i="28"/>
  <c r="AA341" i="28"/>
  <c r="Z341" i="28"/>
  <c r="Y341" i="28"/>
  <c r="AA340" i="28"/>
  <c r="Z340" i="28"/>
  <c r="Y340" i="28"/>
  <c r="AA339" i="28"/>
  <c r="Z339" i="28"/>
  <c r="Y339" i="28"/>
  <c r="AA338" i="28"/>
  <c r="Z338" i="28"/>
  <c r="Y338" i="28"/>
  <c r="AA337" i="28"/>
  <c r="Z337" i="28"/>
  <c r="Y337" i="28"/>
  <c r="AA336" i="28"/>
  <c r="Z336" i="28"/>
  <c r="Y336" i="28"/>
  <c r="AA335" i="28"/>
  <c r="Z335" i="28"/>
  <c r="Y335" i="28"/>
  <c r="AA334" i="28"/>
  <c r="Z334" i="28"/>
  <c r="Y334" i="28"/>
  <c r="AA333" i="28"/>
  <c r="Z333" i="28"/>
  <c r="Y333" i="28"/>
  <c r="AA332" i="28"/>
  <c r="Z332" i="28"/>
  <c r="Y332" i="28"/>
  <c r="AA331" i="28"/>
  <c r="Z331" i="28"/>
  <c r="Y331" i="28"/>
  <c r="AA330" i="28"/>
  <c r="Z330" i="28"/>
  <c r="Y330" i="28"/>
  <c r="AA329" i="28"/>
  <c r="Z329" i="28"/>
  <c r="Y329" i="28"/>
  <c r="AA328" i="28"/>
  <c r="Z328" i="28"/>
  <c r="Y328" i="28"/>
  <c r="AA327" i="28"/>
  <c r="Z327" i="28"/>
  <c r="Y327" i="28"/>
  <c r="AA326" i="28"/>
  <c r="Z326" i="28"/>
  <c r="Y326" i="28"/>
  <c r="AA325" i="28"/>
  <c r="Z325" i="28"/>
  <c r="Y325" i="28"/>
  <c r="AA324" i="28"/>
  <c r="Z324" i="28"/>
  <c r="Y324" i="28"/>
  <c r="AA323" i="28"/>
  <c r="Z323" i="28"/>
  <c r="Y323" i="28"/>
  <c r="AA322" i="28"/>
  <c r="Z322" i="28"/>
  <c r="Y322" i="28"/>
  <c r="AA321" i="28"/>
  <c r="Z321" i="28"/>
  <c r="Y321" i="28"/>
  <c r="AA320" i="28"/>
  <c r="Z320" i="28"/>
  <c r="Y320" i="28"/>
  <c r="AA319" i="28"/>
  <c r="Z319" i="28"/>
  <c r="Y319" i="28"/>
  <c r="AA318" i="28"/>
  <c r="Z318" i="28"/>
  <c r="Y318" i="28"/>
  <c r="AA317" i="28"/>
  <c r="Z317" i="28"/>
  <c r="Y317" i="28"/>
  <c r="AA316" i="28"/>
  <c r="Z316" i="28"/>
  <c r="Y316" i="28"/>
  <c r="AA315" i="28"/>
  <c r="Z315" i="28"/>
  <c r="Y315" i="28"/>
  <c r="AA314" i="28"/>
  <c r="Z314" i="28"/>
  <c r="Y314" i="28"/>
  <c r="AA313" i="28"/>
  <c r="Z313" i="28"/>
  <c r="Y313" i="28"/>
  <c r="AA312" i="28"/>
  <c r="Z312" i="28"/>
  <c r="Y312" i="28"/>
  <c r="AA311" i="28"/>
  <c r="Z311" i="28"/>
  <c r="Y311" i="28"/>
  <c r="AA310" i="28"/>
  <c r="Z310" i="28"/>
  <c r="Y310" i="28"/>
  <c r="AA309" i="28"/>
  <c r="Z309" i="28"/>
  <c r="Y309" i="28"/>
  <c r="AA308" i="28"/>
  <c r="Z308" i="28"/>
  <c r="Y308" i="28"/>
  <c r="AA307" i="28"/>
  <c r="Z307" i="28"/>
  <c r="Y307" i="28"/>
  <c r="AA306" i="28"/>
  <c r="Z306" i="28"/>
  <c r="Y306" i="28"/>
  <c r="AA305" i="28"/>
  <c r="Z305" i="28"/>
  <c r="Y305" i="28"/>
  <c r="AA304" i="28"/>
  <c r="Z304" i="28"/>
  <c r="Y304" i="28"/>
  <c r="AA303" i="28"/>
  <c r="Z303" i="28"/>
  <c r="Y303" i="28"/>
  <c r="AA302" i="28"/>
  <c r="Z302" i="28"/>
  <c r="Y302" i="28"/>
  <c r="AA301" i="28"/>
  <c r="Z301" i="28"/>
  <c r="Y301" i="28"/>
  <c r="AA300" i="28"/>
  <c r="Z300" i="28"/>
  <c r="Y300" i="28"/>
  <c r="AA299" i="28"/>
  <c r="Z299" i="28"/>
  <c r="Y299" i="28"/>
  <c r="AA298" i="28"/>
  <c r="Z298" i="28"/>
  <c r="Y298" i="28"/>
  <c r="AA297" i="28"/>
  <c r="Z297" i="28"/>
  <c r="Y297" i="28"/>
  <c r="AA296" i="28"/>
  <c r="Z296" i="28"/>
  <c r="Y296" i="28"/>
  <c r="AA295" i="28"/>
  <c r="Z295" i="28"/>
  <c r="Y295" i="28"/>
  <c r="AA294" i="28"/>
  <c r="Z294" i="28"/>
  <c r="Y294" i="28"/>
  <c r="AA293" i="28"/>
  <c r="Z293" i="28"/>
  <c r="Y293" i="28"/>
  <c r="AA292" i="28"/>
  <c r="Z292" i="28"/>
  <c r="Y292" i="28"/>
  <c r="AA291" i="28"/>
  <c r="Z291" i="28"/>
  <c r="Y291" i="28"/>
  <c r="AA290" i="28"/>
  <c r="Z290" i="28"/>
  <c r="Y290" i="28"/>
  <c r="AA289" i="28"/>
  <c r="Z289" i="28"/>
  <c r="Y289" i="28"/>
  <c r="AA288" i="28"/>
  <c r="Z288" i="28"/>
  <c r="Y288" i="28"/>
  <c r="AA287" i="28"/>
  <c r="Z287" i="28"/>
  <c r="Y287" i="28"/>
  <c r="AA286" i="28"/>
  <c r="Z286" i="28"/>
  <c r="Y286" i="28"/>
  <c r="AA285" i="28"/>
  <c r="Z285" i="28"/>
  <c r="Y285" i="28"/>
  <c r="AA284" i="28"/>
  <c r="Z284" i="28"/>
  <c r="Y284" i="28"/>
  <c r="AA283" i="28"/>
  <c r="Z283" i="28"/>
  <c r="Y283" i="28"/>
  <c r="AA282" i="28"/>
  <c r="Z282" i="28"/>
  <c r="Y282" i="28"/>
  <c r="AA281" i="28"/>
  <c r="Z281" i="28"/>
  <c r="Y281" i="28"/>
  <c r="AA280" i="28"/>
  <c r="Z280" i="28"/>
  <c r="Y280" i="28"/>
  <c r="AA279" i="28"/>
  <c r="Z279" i="28"/>
  <c r="Y279" i="28"/>
  <c r="AA278" i="28"/>
  <c r="Z278" i="28"/>
  <c r="Y278" i="28"/>
  <c r="AA277" i="28"/>
  <c r="Z277" i="28"/>
  <c r="Y277" i="28"/>
  <c r="AA276" i="28"/>
  <c r="Z276" i="28"/>
  <c r="Y276" i="28"/>
  <c r="AA275" i="28"/>
  <c r="Z275" i="28"/>
  <c r="Y275" i="28"/>
  <c r="AA274" i="28"/>
  <c r="Z274" i="28"/>
  <c r="Y274" i="28"/>
  <c r="AA273" i="28"/>
  <c r="Z273" i="28"/>
  <c r="Y273" i="28"/>
  <c r="AA272" i="28"/>
  <c r="Z272" i="28"/>
  <c r="Y272" i="28"/>
  <c r="AA271" i="28"/>
  <c r="Z271" i="28"/>
  <c r="Y271" i="28"/>
  <c r="AA270" i="28"/>
  <c r="Z270" i="28"/>
  <c r="Y270" i="28"/>
  <c r="AA269" i="28"/>
  <c r="Z269" i="28"/>
  <c r="Y269" i="28"/>
  <c r="AA268" i="28"/>
  <c r="Z268" i="28"/>
  <c r="Y268" i="28"/>
  <c r="AA267" i="28"/>
  <c r="Z267" i="28"/>
  <c r="Y267" i="28"/>
  <c r="AA266" i="28"/>
  <c r="Z266" i="28"/>
  <c r="Y266" i="28"/>
  <c r="AA265" i="28"/>
  <c r="Z265" i="28"/>
  <c r="Y265" i="28"/>
  <c r="AA264" i="28"/>
  <c r="Z264" i="28"/>
  <c r="Y264" i="28"/>
  <c r="AA263" i="28"/>
  <c r="Z263" i="28"/>
  <c r="Y263" i="28"/>
  <c r="AA262" i="28"/>
  <c r="Z262" i="28"/>
  <c r="Y262" i="28"/>
  <c r="AA261" i="28"/>
  <c r="Z261" i="28"/>
  <c r="Y261" i="28"/>
  <c r="AA260" i="28"/>
  <c r="Z260" i="28"/>
  <c r="Y260" i="28"/>
  <c r="AA259" i="28"/>
  <c r="Z259" i="28"/>
  <c r="Y259" i="28"/>
  <c r="AA258" i="28"/>
  <c r="Z258" i="28"/>
  <c r="Y258" i="28"/>
  <c r="AA257" i="28"/>
  <c r="Z257" i="28"/>
  <c r="Y257" i="28"/>
  <c r="AA256" i="28"/>
  <c r="Z256" i="28"/>
  <c r="Y256" i="28"/>
  <c r="AA255" i="28"/>
  <c r="Z255" i="28"/>
  <c r="Y255" i="28"/>
  <c r="AA254" i="28"/>
  <c r="Z254" i="28"/>
  <c r="Y254" i="28"/>
  <c r="AA253" i="28"/>
  <c r="Z253" i="28"/>
  <c r="Y253" i="28"/>
  <c r="AA252" i="28"/>
  <c r="Z252" i="28"/>
  <c r="Y252" i="28"/>
  <c r="AA251" i="28"/>
  <c r="Z251" i="28"/>
  <c r="Y251" i="28"/>
  <c r="AA250" i="28"/>
  <c r="Z250" i="28"/>
  <c r="Y250" i="28"/>
  <c r="AA249" i="28"/>
  <c r="Z249" i="28"/>
  <c r="Y249" i="28"/>
  <c r="AA248" i="28"/>
  <c r="Z248" i="28"/>
  <c r="Y248" i="28"/>
  <c r="AA247" i="28"/>
  <c r="Z247" i="28"/>
  <c r="Y247" i="28"/>
  <c r="AA246" i="28"/>
  <c r="Z246" i="28"/>
  <c r="Y246" i="28"/>
  <c r="AA245" i="28"/>
  <c r="Z245" i="28"/>
  <c r="Y245" i="28"/>
  <c r="AA244" i="28"/>
  <c r="Z244" i="28"/>
  <c r="Y244" i="28"/>
  <c r="AA243" i="28"/>
  <c r="Z243" i="28"/>
  <c r="Y243" i="28"/>
  <c r="AA242" i="28"/>
  <c r="Z242" i="28"/>
  <c r="Y242" i="28"/>
  <c r="AA241" i="28"/>
  <c r="Z241" i="28"/>
  <c r="Y241" i="28"/>
  <c r="AA240" i="28"/>
  <c r="Z240" i="28"/>
  <c r="Y240" i="28"/>
  <c r="AA239" i="28"/>
  <c r="Z239" i="28"/>
  <c r="Y239" i="28"/>
  <c r="AA238" i="28"/>
  <c r="Z238" i="28"/>
  <c r="Y238" i="28"/>
  <c r="AA237" i="28"/>
  <c r="Z237" i="28"/>
  <c r="Y237" i="28"/>
  <c r="AA236" i="28"/>
  <c r="Z236" i="28"/>
  <c r="Y236" i="28"/>
  <c r="AA235" i="28"/>
  <c r="Z235" i="28"/>
  <c r="Y235" i="28"/>
  <c r="AA234" i="28"/>
  <c r="Z234" i="28"/>
  <c r="Y234" i="28"/>
  <c r="AA233" i="28"/>
  <c r="Z233" i="28"/>
  <c r="Y233" i="28"/>
  <c r="AA232" i="28"/>
  <c r="Z232" i="28"/>
  <c r="Y232" i="28"/>
  <c r="AA231" i="28"/>
  <c r="Z231" i="28"/>
  <c r="Y231" i="28"/>
  <c r="AA230" i="28"/>
  <c r="Z230" i="28"/>
  <c r="Y230" i="28"/>
  <c r="AA229" i="28"/>
  <c r="Z229" i="28"/>
  <c r="Y229" i="28"/>
  <c r="AA228" i="28"/>
  <c r="Z228" i="28"/>
  <c r="Y228" i="28"/>
  <c r="AA227" i="28"/>
  <c r="Z227" i="28"/>
  <c r="Y227" i="28"/>
  <c r="AA226" i="28"/>
  <c r="Z226" i="28"/>
  <c r="Y226" i="28"/>
  <c r="AA225" i="28"/>
  <c r="Z225" i="28"/>
  <c r="Y225" i="28"/>
  <c r="AA224" i="28"/>
  <c r="Z224" i="28"/>
  <c r="Y224" i="28"/>
  <c r="AA223" i="28"/>
  <c r="Z223" i="28"/>
  <c r="Y223" i="28"/>
  <c r="AA222" i="28"/>
  <c r="Z222" i="28"/>
  <c r="Y222" i="28"/>
  <c r="AA221" i="28"/>
  <c r="Z221" i="28"/>
  <c r="Y221" i="28"/>
  <c r="AA220" i="28"/>
  <c r="Z220" i="28"/>
  <c r="Y220" i="28"/>
  <c r="AA219" i="28"/>
  <c r="Z219" i="28"/>
  <c r="Y219" i="28"/>
  <c r="AA218" i="28"/>
  <c r="Z218" i="28"/>
  <c r="Y218" i="28"/>
  <c r="AA217" i="28"/>
  <c r="Z217" i="28"/>
  <c r="Y217" i="28"/>
  <c r="AA216" i="28"/>
  <c r="Z216" i="28"/>
  <c r="Y216" i="28"/>
  <c r="AA215" i="28"/>
  <c r="Z215" i="28"/>
  <c r="Y215" i="28"/>
  <c r="AA214" i="28"/>
  <c r="Z214" i="28"/>
  <c r="Y214" i="28"/>
  <c r="AA213" i="28"/>
  <c r="Z213" i="28"/>
  <c r="Y213" i="28"/>
  <c r="AA212" i="28"/>
  <c r="Z212" i="28"/>
  <c r="Y212" i="28"/>
  <c r="AA211" i="28"/>
  <c r="Z211" i="28"/>
  <c r="Y211" i="28"/>
  <c r="AA210" i="28"/>
  <c r="Z210" i="28"/>
  <c r="Y210" i="28"/>
  <c r="AA209" i="28"/>
  <c r="Z209" i="28"/>
  <c r="Y209" i="28"/>
  <c r="AA208" i="28"/>
  <c r="Z208" i="28"/>
  <c r="Y208" i="28"/>
  <c r="AA207" i="28"/>
  <c r="Z207" i="28"/>
  <c r="Y207" i="28"/>
  <c r="AA206" i="28"/>
  <c r="Z206" i="28"/>
  <c r="Y206" i="28"/>
  <c r="AA205" i="28"/>
  <c r="Z205" i="28"/>
  <c r="Y205" i="28"/>
  <c r="AA204" i="28"/>
  <c r="Z204" i="28"/>
  <c r="Y204" i="28"/>
  <c r="AA203" i="28"/>
  <c r="Z203" i="28"/>
  <c r="Y203" i="28"/>
  <c r="AA202" i="28"/>
  <c r="Z202" i="28"/>
  <c r="Y202" i="28"/>
  <c r="AA201" i="28"/>
  <c r="Z201" i="28"/>
  <c r="Y201" i="28"/>
  <c r="AA200" i="28"/>
  <c r="Z200" i="28"/>
  <c r="Y200" i="28"/>
  <c r="AA199" i="28"/>
  <c r="Z199" i="28"/>
  <c r="Y199" i="28"/>
  <c r="AA198" i="28"/>
  <c r="Z198" i="28"/>
  <c r="Y198" i="28"/>
  <c r="AA197" i="28"/>
  <c r="Z197" i="28"/>
  <c r="Y197" i="28"/>
  <c r="AA196" i="28"/>
  <c r="Z196" i="28"/>
  <c r="Y196" i="28"/>
  <c r="AA195" i="28"/>
  <c r="Z195" i="28"/>
  <c r="Y195" i="28"/>
  <c r="AA194" i="28"/>
  <c r="Z194" i="28"/>
  <c r="Y194" i="28"/>
  <c r="AA193" i="28"/>
  <c r="Z193" i="28"/>
  <c r="Y193" i="28"/>
  <c r="AA192" i="28"/>
  <c r="Z192" i="28"/>
  <c r="Y192" i="28"/>
  <c r="AA191" i="28"/>
  <c r="Z191" i="28"/>
  <c r="Y191" i="28"/>
  <c r="AA190" i="28"/>
  <c r="Z190" i="28"/>
  <c r="Y190" i="28"/>
  <c r="AA189" i="28"/>
  <c r="Z189" i="28"/>
  <c r="Y189" i="28"/>
  <c r="AA188" i="28"/>
  <c r="Z188" i="28"/>
  <c r="Y188" i="28"/>
  <c r="AA187" i="28"/>
  <c r="Z187" i="28"/>
  <c r="Y187" i="28"/>
  <c r="AA186" i="28"/>
  <c r="Z186" i="28"/>
  <c r="Y186" i="28"/>
  <c r="AA185" i="28"/>
  <c r="Z185" i="28"/>
  <c r="Y185" i="28"/>
  <c r="AA184" i="28"/>
  <c r="Z184" i="28"/>
  <c r="Y184" i="28"/>
  <c r="AA183" i="28"/>
  <c r="Z183" i="28"/>
  <c r="Y183" i="28"/>
  <c r="AA182" i="28"/>
  <c r="Z182" i="28"/>
  <c r="Y182" i="28"/>
  <c r="AA181" i="28"/>
  <c r="Z181" i="28"/>
  <c r="Y181" i="28"/>
  <c r="AA180" i="28"/>
  <c r="Z180" i="28"/>
  <c r="Y180" i="28"/>
  <c r="AA179" i="28"/>
  <c r="Z179" i="28"/>
  <c r="Y179" i="28"/>
  <c r="AA178" i="28"/>
  <c r="Z178" i="28"/>
  <c r="Y178" i="28"/>
  <c r="AA177" i="28"/>
  <c r="Z177" i="28"/>
  <c r="Y177" i="28"/>
  <c r="AA176" i="28"/>
  <c r="Z176" i="28"/>
  <c r="Y176" i="28"/>
  <c r="AA175" i="28"/>
  <c r="Z175" i="28"/>
  <c r="Y175" i="28"/>
  <c r="AA174" i="28"/>
  <c r="Z174" i="28"/>
  <c r="Y174" i="28"/>
  <c r="AA173" i="28"/>
  <c r="Z173" i="28"/>
  <c r="Y173" i="28"/>
  <c r="AA172" i="28"/>
  <c r="Z172" i="28"/>
  <c r="Y172" i="28"/>
  <c r="AA171" i="28"/>
  <c r="Z171" i="28"/>
  <c r="Y171" i="28"/>
  <c r="AA170" i="28"/>
  <c r="Z170" i="28"/>
  <c r="Y170" i="28"/>
  <c r="AA169" i="28"/>
  <c r="Z169" i="28"/>
  <c r="Y169" i="28"/>
  <c r="AA168" i="28"/>
  <c r="Z168" i="28"/>
  <c r="Y168" i="28"/>
  <c r="AA167" i="28"/>
  <c r="Z167" i="28"/>
  <c r="Y167" i="28"/>
  <c r="AA166" i="28"/>
  <c r="Z166" i="28"/>
  <c r="Y166" i="28"/>
  <c r="AA165" i="28"/>
  <c r="Z165" i="28"/>
  <c r="Y165" i="28"/>
  <c r="AA164" i="28"/>
  <c r="Z164" i="28"/>
  <c r="Y164" i="28"/>
  <c r="AA163" i="28"/>
  <c r="Z163" i="28"/>
  <c r="Y163" i="28"/>
  <c r="AA162" i="28"/>
  <c r="Z162" i="28"/>
  <c r="Y162" i="28"/>
  <c r="AA161" i="28"/>
  <c r="Z161" i="28"/>
  <c r="Y161" i="28"/>
  <c r="AA160" i="28"/>
  <c r="Z160" i="28"/>
  <c r="Y160" i="28"/>
  <c r="AA159" i="28"/>
  <c r="Z159" i="28"/>
  <c r="Y159" i="28"/>
  <c r="AA158" i="28"/>
  <c r="Z158" i="28"/>
  <c r="Y158" i="28"/>
  <c r="AA157" i="28"/>
  <c r="Z157" i="28"/>
  <c r="Y157" i="28"/>
  <c r="AA156" i="28"/>
  <c r="Z156" i="28"/>
  <c r="Y156" i="28"/>
  <c r="AA155" i="28"/>
  <c r="Z155" i="28"/>
  <c r="Y155" i="28"/>
  <c r="AA154" i="28"/>
  <c r="Z154" i="28"/>
  <c r="Y154" i="28"/>
  <c r="AA153" i="28"/>
  <c r="Z153" i="28"/>
  <c r="Y153" i="28"/>
  <c r="AA152" i="28"/>
  <c r="Z152" i="28"/>
  <c r="Y152" i="28"/>
  <c r="AA151" i="28"/>
  <c r="Z151" i="28"/>
  <c r="Y151" i="28"/>
  <c r="AA150" i="28"/>
  <c r="Z150" i="28"/>
  <c r="Y150" i="28"/>
  <c r="AA149" i="28"/>
  <c r="Z149" i="28"/>
  <c r="Y149" i="28"/>
  <c r="AA148" i="28"/>
  <c r="Z148" i="28"/>
  <c r="Y148" i="28"/>
  <c r="AA147" i="28"/>
  <c r="Z147" i="28"/>
  <c r="Y147" i="28"/>
  <c r="AA146" i="28"/>
  <c r="Z146" i="28"/>
  <c r="Y146" i="28"/>
  <c r="AA145" i="28"/>
  <c r="Z145" i="28"/>
  <c r="Y145" i="28"/>
  <c r="AA144" i="28"/>
  <c r="Z144" i="28"/>
  <c r="Y144" i="28"/>
  <c r="AA143" i="28"/>
  <c r="Z143" i="28"/>
  <c r="Y143" i="28"/>
  <c r="AA142" i="28"/>
  <c r="Z142" i="28"/>
  <c r="Y142" i="28"/>
  <c r="AA141" i="28"/>
  <c r="Z141" i="28"/>
  <c r="Y141" i="28"/>
  <c r="AA140" i="28"/>
  <c r="Z140" i="28"/>
  <c r="Y140" i="28"/>
  <c r="AA139" i="28"/>
  <c r="Z139" i="28"/>
  <c r="Y139" i="28"/>
  <c r="AA138" i="28"/>
  <c r="Z138" i="28"/>
  <c r="Y138" i="28"/>
  <c r="AA137" i="28"/>
  <c r="Z137" i="28"/>
  <c r="Y137" i="28"/>
  <c r="AA136" i="28"/>
  <c r="Z136" i="28"/>
  <c r="Y136" i="28"/>
  <c r="AA135" i="28"/>
  <c r="Z135" i="28"/>
  <c r="Y135" i="28"/>
  <c r="AA134" i="28"/>
  <c r="Z134" i="28"/>
  <c r="Y134" i="28"/>
  <c r="AA133" i="28"/>
  <c r="Z133" i="28"/>
  <c r="Y133" i="28"/>
  <c r="AA132" i="28"/>
  <c r="Z132" i="28"/>
  <c r="Y132" i="28"/>
  <c r="AA131" i="28"/>
  <c r="Z131" i="28"/>
  <c r="Y131" i="28"/>
  <c r="AA130" i="28"/>
  <c r="Z130" i="28"/>
  <c r="Y130" i="28"/>
  <c r="AA129" i="28"/>
  <c r="Z129" i="28"/>
  <c r="Y129" i="28"/>
  <c r="AA128" i="28"/>
  <c r="Z128" i="28"/>
  <c r="Y128" i="28"/>
  <c r="AA127" i="28"/>
  <c r="Z127" i="28"/>
  <c r="Y127" i="28"/>
  <c r="AA126" i="28"/>
  <c r="Z126" i="28"/>
  <c r="Y126" i="28"/>
  <c r="AA125" i="28"/>
  <c r="Z125" i="28"/>
  <c r="Y125" i="28"/>
  <c r="AA124" i="28"/>
  <c r="Z124" i="28"/>
  <c r="Y124" i="28"/>
  <c r="AA123" i="28"/>
  <c r="Z123" i="28"/>
  <c r="Y123" i="28"/>
  <c r="AA122" i="28"/>
  <c r="Z122" i="28"/>
  <c r="Y122" i="28"/>
  <c r="AA121" i="28"/>
  <c r="Z121" i="28"/>
  <c r="Y121" i="28"/>
  <c r="AA120" i="28"/>
  <c r="Z120" i="28"/>
  <c r="Y120" i="28"/>
  <c r="AA119" i="28"/>
  <c r="Z119" i="28"/>
  <c r="Y119" i="28"/>
  <c r="AA118" i="28"/>
  <c r="Z118" i="28"/>
  <c r="Y118" i="28"/>
  <c r="AA117" i="28"/>
  <c r="Z117" i="28"/>
  <c r="Y117" i="28"/>
  <c r="AA116" i="28"/>
  <c r="Z116" i="28"/>
  <c r="Y116" i="28"/>
  <c r="AA115" i="28"/>
  <c r="Z115" i="28"/>
  <c r="Y115" i="28"/>
  <c r="AA114" i="28"/>
  <c r="Z114" i="28"/>
  <c r="Y114" i="28"/>
  <c r="AA113" i="28"/>
  <c r="Z113" i="28"/>
  <c r="Y113" i="28"/>
  <c r="AA63" i="28"/>
  <c r="Z63" i="28"/>
  <c r="Y63" i="28"/>
  <c r="AA47" i="28"/>
  <c r="Z47" i="28"/>
  <c r="Y47" i="28"/>
  <c r="AA102" i="28"/>
  <c r="Z102" i="28"/>
  <c r="Y102" i="28"/>
  <c r="AA101" i="28"/>
  <c r="Z101" i="28"/>
  <c r="Y101" i="28"/>
  <c r="AA31" i="28"/>
  <c r="Z31" i="28"/>
  <c r="Y31" i="28"/>
  <c r="AA96" i="28"/>
  <c r="Z96" i="28"/>
  <c r="Y96" i="28"/>
  <c r="AA62" i="28"/>
  <c r="Z62" i="28"/>
  <c r="Y62" i="28"/>
  <c r="AA100" i="28"/>
  <c r="Z100" i="28"/>
  <c r="Y100" i="28"/>
  <c r="AA81" i="28"/>
  <c r="Z81" i="28"/>
  <c r="Y81" i="28"/>
  <c r="AA46" i="28"/>
  <c r="Z46" i="28"/>
  <c r="Y46" i="28"/>
  <c r="AA30" i="28"/>
  <c r="Z30" i="28"/>
  <c r="Y30" i="28"/>
  <c r="AA61" i="28"/>
  <c r="Z61" i="28"/>
  <c r="Y61" i="28"/>
  <c r="AA6" i="28"/>
  <c r="Z6" i="28"/>
  <c r="Y6" i="28"/>
  <c r="AA29" i="28"/>
  <c r="Z29" i="28"/>
  <c r="Y29" i="28"/>
  <c r="AA45" i="28"/>
  <c r="Z45" i="28"/>
  <c r="Y45" i="28"/>
  <c r="AA105" i="28"/>
  <c r="Z105" i="28"/>
  <c r="Y105" i="28"/>
  <c r="AA10" i="28"/>
  <c r="Z10" i="28"/>
  <c r="Y10" i="28"/>
  <c r="AA104" i="28"/>
  <c r="Z104" i="28"/>
  <c r="Y104" i="28"/>
  <c r="AA8" i="28"/>
  <c r="Z8" i="28"/>
  <c r="Y8" i="28"/>
  <c r="AA60" i="28"/>
  <c r="Z60" i="28"/>
  <c r="Y60" i="28"/>
  <c r="AA12" i="28"/>
  <c r="Z12" i="28"/>
  <c r="Y12" i="28"/>
  <c r="AA28" i="28"/>
  <c r="Z28" i="28"/>
  <c r="Y28" i="28"/>
  <c r="AA87" i="28"/>
  <c r="Z87" i="28"/>
  <c r="Y87" i="28"/>
  <c r="AA59" i="28"/>
  <c r="Z59" i="28"/>
  <c r="Y59" i="28"/>
  <c r="AA103" i="28"/>
  <c r="Z103" i="28"/>
  <c r="Y103" i="28"/>
  <c r="AA94" i="28"/>
  <c r="Z94" i="28"/>
  <c r="Y94" i="28"/>
  <c r="AA91" i="28"/>
  <c r="Z91" i="28"/>
  <c r="Y91" i="28"/>
  <c r="AA89" i="28"/>
  <c r="Z89" i="28"/>
  <c r="Y89" i="28"/>
  <c r="AA93" i="28"/>
  <c r="Z93" i="28"/>
  <c r="Y93" i="28"/>
  <c r="AA44" i="28"/>
  <c r="Z44" i="28"/>
  <c r="Y44" i="28"/>
  <c r="AA90" i="28"/>
  <c r="Z90" i="28"/>
  <c r="Y90" i="28"/>
  <c r="AA27" i="28"/>
  <c r="Z27" i="28"/>
  <c r="Y27" i="28"/>
  <c r="AA88" i="28"/>
  <c r="Z88" i="28"/>
  <c r="Y88" i="28"/>
  <c r="AA71" i="28"/>
  <c r="Z71" i="28"/>
  <c r="Y71" i="28"/>
  <c r="AA92" i="28"/>
  <c r="Z92" i="28"/>
  <c r="Y92" i="28"/>
  <c r="AA43" i="28"/>
  <c r="Z43" i="28"/>
  <c r="Y43" i="28"/>
  <c r="AA68" i="28"/>
  <c r="Z68" i="28"/>
  <c r="Y68" i="28"/>
  <c r="AA67" i="28"/>
  <c r="Z67" i="28"/>
  <c r="Y67" i="28"/>
  <c r="AA26" i="28"/>
  <c r="Z26" i="28"/>
  <c r="Y26" i="28"/>
  <c r="AA58" i="28"/>
  <c r="Z58" i="28"/>
  <c r="Y58" i="28"/>
  <c r="AA42" i="28"/>
  <c r="Z42" i="28"/>
  <c r="Y42" i="28"/>
  <c r="AA70" i="28"/>
  <c r="Z70" i="28"/>
  <c r="Y70" i="28"/>
  <c r="AA80" i="28"/>
  <c r="Z80" i="28"/>
  <c r="Y80" i="28"/>
  <c r="AA25" i="28"/>
  <c r="Z25" i="28"/>
  <c r="Y25" i="28"/>
  <c r="AA57" i="28"/>
  <c r="Z57" i="28"/>
  <c r="Y57" i="28"/>
  <c r="AA41" i="28"/>
  <c r="Z41" i="28"/>
  <c r="Y41" i="28"/>
  <c r="AA112" i="28"/>
  <c r="Z112" i="28"/>
  <c r="Y112" i="28"/>
  <c r="AA64" i="28"/>
  <c r="Z64" i="28"/>
  <c r="Y64" i="28"/>
  <c r="AA56" i="28"/>
  <c r="Z56" i="28"/>
  <c r="Y56" i="28"/>
  <c r="AA24" i="28"/>
  <c r="Z24" i="28"/>
  <c r="Y24" i="28"/>
  <c r="AA40" i="28"/>
  <c r="Z40" i="28"/>
  <c r="Y40" i="28"/>
  <c r="AA66" i="28"/>
  <c r="Z66" i="28"/>
  <c r="Y66" i="28"/>
  <c r="AA23" i="28"/>
  <c r="Z23" i="28"/>
  <c r="Y23" i="28"/>
  <c r="AA4" i="28"/>
  <c r="Z4" i="28"/>
  <c r="Y4" i="28"/>
  <c r="AA79" i="28"/>
  <c r="Z79" i="28"/>
  <c r="Y79" i="28"/>
  <c r="AA55" i="28"/>
  <c r="Z55" i="28"/>
  <c r="Y55" i="28"/>
  <c r="AA22" i="28"/>
  <c r="Z22" i="28"/>
  <c r="Y22" i="28"/>
  <c r="AA39" i="28"/>
  <c r="Z39" i="28"/>
  <c r="Y39" i="28"/>
  <c r="AA86" i="28"/>
  <c r="Z86" i="28"/>
  <c r="Y86" i="28"/>
  <c r="AA85" i="28"/>
  <c r="Z85" i="28"/>
  <c r="Y85" i="28"/>
  <c r="AA110" i="28"/>
  <c r="Z110" i="28"/>
  <c r="Y110" i="28"/>
  <c r="AA54" i="28"/>
  <c r="Z54" i="28"/>
  <c r="Y54" i="28"/>
  <c r="AA38" i="28"/>
  <c r="Z38" i="28"/>
  <c r="Y38" i="28"/>
  <c r="AA21" i="28"/>
  <c r="Z21" i="28"/>
  <c r="Y21" i="28"/>
  <c r="AA99" i="28"/>
  <c r="Z99" i="28"/>
  <c r="Y99" i="28"/>
  <c r="AA97" i="28"/>
  <c r="Z97" i="28"/>
  <c r="Y97" i="28"/>
  <c r="AA53" i="28"/>
  <c r="Z53" i="28"/>
  <c r="Y53" i="28"/>
  <c r="AA20" i="28"/>
  <c r="Z20" i="28"/>
  <c r="Y20" i="28"/>
  <c r="AA72" i="28"/>
  <c r="Z72" i="28"/>
  <c r="Y72" i="28"/>
  <c r="AA52" i="28"/>
  <c r="Z52" i="28"/>
  <c r="Y52" i="28"/>
  <c r="AA37" i="28"/>
  <c r="Z37" i="28"/>
  <c r="Y37" i="28"/>
  <c r="AA107" i="28"/>
  <c r="Z107" i="28"/>
  <c r="Y107" i="28"/>
  <c r="AA106" i="28"/>
  <c r="Z106" i="28"/>
  <c r="Y106" i="28"/>
  <c r="AA19" i="28"/>
  <c r="Z19" i="28"/>
  <c r="Y19" i="28"/>
  <c r="AA9" i="28"/>
  <c r="Z9" i="28"/>
  <c r="Y9" i="28"/>
  <c r="AA7" i="28"/>
  <c r="Z7" i="28"/>
  <c r="Y7" i="28"/>
  <c r="AA11" i="28"/>
  <c r="Z11" i="28"/>
  <c r="Y11" i="28"/>
  <c r="AA51" i="28"/>
  <c r="Z51" i="28"/>
  <c r="Y51" i="28"/>
  <c r="AA98" i="28"/>
  <c r="Z98" i="28"/>
  <c r="Y98" i="28"/>
  <c r="AA69" i="28"/>
  <c r="Z69" i="28"/>
  <c r="Y69" i="28"/>
  <c r="AA18" i="28"/>
  <c r="Z18" i="28"/>
  <c r="Y18" i="28"/>
  <c r="AA36" i="28"/>
  <c r="Z36" i="28"/>
  <c r="Y36" i="28"/>
  <c r="AA50" i="28"/>
  <c r="Z50" i="28"/>
  <c r="Y50" i="28"/>
  <c r="AA5" i="28"/>
  <c r="Z5" i="28"/>
  <c r="Y5" i="28"/>
  <c r="AA17" i="28"/>
  <c r="Z17" i="28"/>
  <c r="Y17" i="28"/>
  <c r="AA35" i="28"/>
  <c r="Z35" i="28"/>
  <c r="Y35" i="28"/>
  <c r="AA95" i="28"/>
  <c r="Z95" i="28"/>
  <c r="Y95" i="28"/>
  <c r="AA16" i="28"/>
  <c r="Z16" i="28"/>
  <c r="Y16" i="28"/>
  <c r="AA111" i="28"/>
  <c r="Z111" i="28"/>
  <c r="Y111" i="28"/>
  <c r="AA109" i="28"/>
  <c r="Z109" i="28"/>
  <c r="Y109" i="28"/>
  <c r="AA65" i="28"/>
  <c r="Z65" i="28"/>
  <c r="Y65" i="28"/>
  <c r="AA49" i="28"/>
  <c r="Z49" i="28"/>
  <c r="Y49" i="28"/>
  <c r="AA34" i="28"/>
  <c r="Z34" i="28"/>
  <c r="Y34" i="28"/>
  <c r="AA84" i="28"/>
  <c r="Z84" i="28"/>
  <c r="Y84" i="28"/>
  <c r="AA108" i="28"/>
  <c r="Z108" i="28"/>
  <c r="Y108" i="28"/>
  <c r="AA15" i="28"/>
  <c r="Z15" i="28"/>
  <c r="Y15" i="28"/>
  <c r="AA33" i="28"/>
  <c r="Z33" i="28"/>
  <c r="Y33" i="28"/>
  <c r="AA75" i="28"/>
  <c r="Z75" i="28"/>
  <c r="Y75" i="28"/>
  <c r="AA14" i="28"/>
  <c r="Z14" i="28"/>
  <c r="Y14" i="28"/>
  <c r="AA73" i="28"/>
  <c r="Z73" i="28"/>
  <c r="Y73" i="28"/>
  <c r="AA83" i="28"/>
  <c r="Z83" i="28"/>
  <c r="Y83" i="28"/>
  <c r="AA77" i="28"/>
  <c r="Z77" i="28"/>
  <c r="Y77" i="28"/>
  <c r="AA76" i="28"/>
  <c r="Z76" i="28"/>
  <c r="Y76" i="28"/>
  <c r="AA74" i="28"/>
  <c r="Z74" i="28"/>
  <c r="Y74" i="28"/>
  <c r="AA78" i="28"/>
  <c r="Z78" i="28"/>
  <c r="Y78" i="28"/>
  <c r="AA32" i="28"/>
  <c r="Z32" i="28"/>
  <c r="Y32" i="28"/>
  <c r="AA13" i="28"/>
  <c r="Z13" i="28"/>
  <c r="Y13" i="28"/>
  <c r="AA48" i="28"/>
  <c r="Z48" i="28"/>
  <c r="Y48" i="28"/>
  <c r="AA82" i="28"/>
  <c r="Z82" i="28"/>
  <c r="Y82" i="28"/>
  <c r="R459" i="28"/>
  <c r="Q459" i="28"/>
  <c r="X459" i="27"/>
  <c r="W459" i="27"/>
  <c r="V459" i="27"/>
  <c r="U459" i="27"/>
  <c r="T459" i="27"/>
  <c r="S459" i="27"/>
  <c r="B459" i="27"/>
  <c r="AA458" i="27"/>
  <c r="Z458" i="27"/>
  <c r="Y458" i="27"/>
  <c r="AA457" i="27"/>
  <c r="Z457" i="27"/>
  <c r="Y457" i="27"/>
  <c r="AA456" i="27"/>
  <c r="Z456" i="27"/>
  <c r="Y456" i="27"/>
  <c r="AA455" i="27"/>
  <c r="Z455" i="27"/>
  <c r="Y455" i="27"/>
  <c r="AA454" i="27"/>
  <c r="Z454" i="27"/>
  <c r="Y454" i="27"/>
  <c r="AA453" i="27"/>
  <c r="Z453" i="27"/>
  <c r="Y453" i="27"/>
  <c r="AA452" i="27"/>
  <c r="Z452" i="27"/>
  <c r="Y452" i="27"/>
  <c r="AA451" i="27"/>
  <c r="Z451" i="27"/>
  <c r="Y451" i="27"/>
  <c r="AA450" i="27"/>
  <c r="Z450" i="27"/>
  <c r="Y450" i="27"/>
  <c r="AA449" i="27"/>
  <c r="Z449" i="27"/>
  <c r="Y449" i="27"/>
  <c r="AA448" i="27"/>
  <c r="Z448" i="27"/>
  <c r="Y448" i="27"/>
  <c r="AA447" i="27"/>
  <c r="Z447" i="27"/>
  <c r="Y447" i="27"/>
  <c r="AA446" i="27"/>
  <c r="Z446" i="27"/>
  <c r="Y446" i="27"/>
  <c r="AA445" i="27"/>
  <c r="Z445" i="27"/>
  <c r="Y445" i="27"/>
  <c r="AA444" i="27"/>
  <c r="Z444" i="27"/>
  <c r="Y444" i="27"/>
  <c r="AA443" i="27"/>
  <c r="Z443" i="27"/>
  <c r="Y443" i="27"/>
  <c r="AA442" i="27"/>
  <c r="Z442" i="27"/>
  <c r="Y442" i="27"/>
  <c r="AA441" i="27"/>
  <c r="Z441" i="27"/>
  <c r="Y441" i="27"/>
  <c r="AA440" i="27"/>
  <c r="Z440" i="27"/>
  <c r="Y440" i="27"/>
  <c r="AA439" i="27"/>
  <c r="Z439" i="27"/>
  <c r="Y439" i="27"/>
  <c r="AA438" i="27"/>
  <c r="Z438" i="27"/>
  <c r="Y438" i="27"/>
  <c r="AA437" i="27"/>
  <c r="Z437" i="27"/>
  <c r="Y437" i="27"/>
  <c r="AA436" i="27"/>
  <c r="Z436" i="27"/>
  <c r="Y436" i="27"/>
  <c r="AA435" i="27"/>
  <c r="Z435" i="27"/>
  <c r="Y435" i="27"/>
  <c r="AA434" i="27"/>
  <c r="Z434" i="27"/>
  <c r="Y434" i="27"/>
  <c r="AA433" i="27"/>
  <c r="Z433" i="27"/>
  <c r="Y433" i="27"/>
  <c r="AA432" i="27"/>
  <c r="Z432" i="27"/>
  <c r="Y432" i="27"/>
  <c r="AA431" i="27"/>
  <c r="Z431" i="27"/>
  <c r="Y431" i="27"/>
  <c r="AA430" i="27"/>
  <c r="Z430" i="27"/>
  <c r="Y430" i="27"/>
  <c r="AA429" i="27"/>
  <c r="Z429" i="27"/>
  <c r="Y429" i="27"/>
  <c r="AA428" i="27"/>
  <c r="Z428" i="27"/>
  <c r="Y428" i="27"/>
  <c r="AA427" i="27"/>
  <c r="Z427" i="27"/>
  <c r="Y427" i="27"/>
  <c r="AA426" i="27"/>
  <c r="Z426" i="27"/>
  <c r="Y426" i="27"/>
  <c r="AA425" i="27"/>
  <c r="Z425" i="27"/>
  <c r="Y425" i="27"/>
  <c r="AA424" i="27"/>
  <c r="Z424" i="27"/>
  <c r="Y424" i="27"/>
  <c r="AA423" i="27"/>
  <c r="Z423" i="27"/>
  <c r="Y423" i="27"/>
  <c r="AA422" i="27"/>
  <c r="Z422" i="27"/>
  <c r="Y422" i="27"/>
  <c r="AA421" i="27"/>
  <c r="Z421" i="27"/>
  <c r="Y421" i="27"/>
  <c r="AA419" i="27"/>
  <c r="Z419" i="27"/>
  <c r="Y419" i="27"/>
  <c r="AA418" i="27"/>
  <c r="Z418" i="27"/>
  <c r="Y418" i="27"/>
  <c r="AA417" i="27"/>
  <c r="Z417" i="27"/>
  <c r="Y417" i="27"/>
  <c r="AA416" i="27"/>
  <c r="Z416" i="27"/>
  <c r="Y416" i="27"/>
  <c r="AA415" i="27"/>
  <c r="Z415" i="27"/>
  <c r="Y415" i="27"/>
  <c r="AA414" i="27"/>
  <c r="Z414" i="27"/>
  <c r="Y414" i="27"/>
  <c r="AA413" i="27"/>
  <c r="Z413" i="27"/>
  <c r="Y413" i="27"/>
  <c r="AA412" i="27"/>
  <c r="Z412" i="27"/>
  <c r="Y412" i="27"/>
  <c r="AA411" i="27"/>
  <c r="Z411" i="27"/>
  <c r="Y411" i="27"/>
  <c r="AA410" i="27"/>
  <c r="Z410" i="27"/>
  <c r="Y410" i="27"/>
  <c r="AA409" i="27"/>
  <c r="Z409" i="27"/>
  <c r="Y409" i="27"/>
  <c r="AA408" i="27"/>
  <c r="Z408" i="27"/>
  <c r="Y408" i="27"/>
  <c r="AA407" i="27"/>
  <c r="Z407" i="27"/>
  <c r="Y407" i="27"/>
  <c r="AA406" i="27"/>
  <c r="Z406" i="27"/>
  <c r="Y406" i="27"/>
  <c r="AA405" i="27"/>
  <c r="Z405" i="27"/>
  <c r="Y405" i="27"/>
  <c r="AA404" i="27"/>
  <c r="Z404" i="27"/>
  <c r="Y404" i="27"/>
  <c r="AA403" i="27"/>
  <c r="Z403" i="27"/>
  <c r="Y403" i="27"/>
  <c r="AA402" i="27"/>
  <c r="Z402" i="27"/>
  <c r="Y402" i="27"/>
  <c r="AA401" i="27"/>
  <c r="Z401" i="27"/>
  <c r="Y401" i="27"/>
  <c r="AA400" i="27"/>
  <c r="Z400" i="27"/>
  <c r="Y400" i="27"/>
  <c r="AA399" i="27"/>
  <c r="Z399" i="27"/>
  <c r="Y399" i="27"/>
  <c r="AA398" i="27"/>
  <c r="Z398" i="27"/>
  <c r="Y398" i="27"/>
  <c r="AA397" i="27"/>
  <c r="Z397" i="27"/>
  <c r="Y397" i="27"/>
  <c r="AA396" i="27"/>
  <c r="Z396" i="27"/>
  <c r="Y396" i="27"/>
  <c r="AA395" i="27"/>
  <c r="Z395" i="27"/>
  <c r="Y395" i="27"/>
  <c r="AA394" i="27"/>
  <c r="Z394" i="27"/>
  <c r="Y394" i="27"/>
  <c r="AA393" i="27"/>
  <c r="Z393" i="27"/>
  <c r="Y393" i="27"/>
  <c r="AA392" i="27"/>
  <c r="Z392" i="27"/>
  <c r="Y392" i="27"/>
  <c r="AA391" i="27"/>
  <c r="Z391" i="27"/>
  <c r="Y391" i="27"/>
  <c r="AA390" i="27"/>
  <c r="Z390" i="27"/>
  <c r="Y390" i="27"/>
  <c r="AA389" i="27"/>
  <c r="Z389" i="27"/>
  <c r="Y389" i="27"/>
  <c r="AA388" i="27"/>
  <c r="Z388" i="27"/>
  <c r="Y388" i="27"/>
  <c r="AA387" i="27"/>
  <c r="Z387" i="27"/>
  <c r="Y387" i="27"/>
  <c r="AA386" i="27"/>
  <c r="Z386" i="27"/>
  <c r="Y386" i="27"/>
  <c r="AA385" i="27"/>
  <c r="Z385" i="27"/>
  <c r="Y385" i="27"/>
  <c r="AA384" i="27"/>
  <c r="Z384" i="27"/>
  <c r="Y384" i="27"/>
  <c r="AA383" i="27"/>
  <c r="Z383" i="27"/>
  <c r="Y383" i="27"/>
  <c r="AA382" i="27"/>
  <c r="Z382" i="27"/>
  <c r="Y382" i="27"/>
  <c r="AA381" i="27"/>
  <c r="Z381" i="27"/>
  <c r="Y381" i="27"/>
  <c r="AA380" i="27"/>
  <c r="Z380" i="27"/>
  <c r="Y380" i="27"/>
  <c r="AA379" i="27"/>
  <c r="Z379" i="27"/>
  <c r="Y379" i="27"/>
  <c r="AA378" i="27"/>
  <c r="Z378" i="27"/>
  <c r="Y378" i="27"/>
  <c r="AA377" i="27"/>
  <c r="Z377" i="27"/>
  <c r="Y377" i="27"/>
  <c r="AA376" i="27"/>
  <c r="Z376" i="27"/>
  <c r="Y376" i="27"/>
  <c r="AA375" i="27"/>
  <c r="Z375" i="27"/>
  <c r="Y375" i="27"/>
  <c r="AA374" i="27"/>
  <c r="Z374" i="27"/>
  <c r="Y374" i="27"/>
  <c r="AA373" i="27"/>
  <c r="Z373" i="27"/>
  <c r="Y373" i="27"/>
  <c r="AA372" i="27"/>
  <c r="Z372" i="27"/>
  <c r="Y372" i="27"/>
  <c r="AA371" i="27"/>
  <c r="Z371" i="27"/>
  <c r="Y371" i="27"/>
  <c r="AA370" i="27"/>
  <c r="Z370" i="27"/>
  <c r="Y370" i="27"/>
  <c r="AA369" i="27"/>
  <c r="Z369" i="27"/>
  <c r="Y369" i="27"/>
  <c r="AA368" i="27"/>
  <c r="Z368" i="27"/>
  <c r="Y368" i="27"/>
  <c r="AA367" i="27"/>
  <c r="Z367" i="27"/>
  <c r="Y367" i="27"/>
  <c r="AA366" i="27"/>
  <c r="Z366" i="27"/>
  <c r="Y366" i="27"/>
  <c r="AA365" i="27"/>
  <c r="Z365" i="27"/>
  <c r="Y365" i="27"/>
  <c r="AA364" i="27"/>
  <c r="Z364" i="27"/>
  <c r="Y364" i="27"/>
  <c r="AA363" i="27"/>
  <c r="Z363" i="27"/>
  <c r="Y363" i="27"/>
  <c r="AA362" i="27"/>
  <c r="Z362" i="27"/>
  <c r="Y362" i="27"/>
  <c r="AA361" i="27"/>
  <c r="Z361" i="27"/>
  <c r="Y361" i="27"/>
  <c r="AA359" i="27"/>
  <c r="Z359" i="27"/>
  <c r="Y359" i="27"/>
  <c r="AA358" i="27"/>
  <c r="Z358" i="27"/>
  <c r="Y358" i="27"/>
  <c r="AA357" i="27"/>
  <c r="Z357" i="27"/>
  <c r="Y357" i="27"/>
  <c r="AA356" i="27"/>
  <c r="Z356" i="27"/>
  <c r="Y356" i="27"/>
  <c r="AA355" i="27"/>
  <c r="Z355" i="27"/>
  <c r="Y355" i="27"/>
  <c r="AA354" i="27"/>
  <c r="Z354" i="27"/>
  <c r="Y354" i="27"/>
  <c r="AA353" i="27"/>
  <c r="Z353" i="27"/>
  <c r="Y353" i="27"/>
  <c r="AA352" i="27"/>
  <c r="Z352" i="27"/>
  <c r="Y352" i="27"/>
  <c r="AA351" i="27"/>
  <c r="Z351" i="27"/>
  <c r="Y351" i="27"/>
  <c r="AA350" i="27"/>
  <c r="Z350" i="27"/>
  <c r="Y350" i="27"/>
  <c r="AA349" i="27"/>
  <c r="Z349" i="27"/>
  <c r="Y349" i="27"/>
  <c r="AA348" i="27"/>
  <c r="Z348" i="27"/>
  <c r="Y348" i="27"/>
  <c r="AA347" i="27"/>
  <c r="Z347" i="27"/>
  <c r="Y347" i="27"/>
  <c r="AA346" i="27"/>
  <c r="Z346" i="27"/>
  <c r="Y346" i="27"/>
  <c r="AA345" i="27"/>
  <c r="Z345" i="27"/>
  <c r="Y345" i="27"/>
  <c r="AA344" i="27"/>
  <c r="Z344" i="27"/>
  <c r="Y344" i="27"/>
  <c r="AA343" i="27"/>
  <c r="Z343" i="27"/>
  <c r="Y343" i="27"/>
  <c r="AA342" i="27"/>
  <c r="Z342" i="27"/>
  <c r="Y342" i="27"/>
  <c r="AA341" i="27"/>
  <c r="Z341" i="27"/>
  <c r="Y341" i="27"/>
  <c r="AA340" i="27"/>
  <c r="Z340" i="27"/>
  <c r="Y340" i="27"/>
  <c r="AA339" i="27"/>
  <c r="Z339" i="27"/>
  <c r="Y339" i="27"/>
  <c r="AA338" i="27"/>
  <c r="Z338" i="27"/>
  <c r="Y338" i="27"/>
  <c r="AA337" i="27"/>
  <c r="Z337" i="27"/>
  <c r="Y337" i="27"/>
  <c r="AA336" i="27"/>
  <c r="Z336" i="27"/>
  <c r="Y336" i="27"/>
  <c r="AA335" i="27"/>
  <c r="Z335" i="27"/>
  <c r="Y335" i="27"/>
  <c r="AA334" i="27"/>
  <c r="Z334" i="27"/>
  <c r="Y334" i="27"/>
  <c r="AA333" i="27"/>
  <c r="Z333" i="27"/>
  <c r="Y333" i="27"/>
  <c r="AA332" i="27"/>
  <c r="Z332" i="27"/>
  <c r="Y332" i="27"/>
  <c r="AA331" i="27"/>
  <c r="Z331" i="27"/>
  <c r="Y331" i="27"/>
  <c r="AA330" i="27"/>
  <c r="Z330" i="27"/>
  <c r="Y330" i="27"/>
  <c r="AA329" i="27"/>
  <c r="Z329" i="27"/>
  <c r="Y329" i="27"/>
  <c r="AA328" i="27"/>
  <c r="Z328" i="27"/>
  <c r="Y328" i="27"/>
  <c r="AA327" i="27"/>
  <c r="Z327" i="27"/>
  <c r="Y327" i="27"/>
  <c r="AA326" i="27"/>
  <c r="Z326" i="27"/>
  <c r="Y326" i="27"/>
  <c r="AA325" i="27"/>
  <c r="Z325" i="27"/>
  <c r="Y325" i="27"/>
  <c r="AA324" i="27"/>
  <c r="Z324" i="27"/>
  <c r="Y324" i="27"/>
  <c r="AA323" i="27"/>
  <c r="Z323" i="27"/>
  <c r="Y323" i="27"/>
  <c r="AA322" i="27"/>
  <c r="Z322" i="27"/>
  <c r="Y322" i="27"/>
  <c r="AA321" i="27"/>
  <c r="Z321" i="27"/>
  <c r="Y321" i="27"/>
  <c r="AA320" i="27"/>
  <c r="Z320" i="27"/>
  <c r="Y320" i="27"/>
  <c r="AA319" i="27"/>
  <c r="Z319" i="27"/>
  <c r="Y319" i="27"/>
  <c r="AA318" i="27"/>
  <c r="Z318" i="27"/>
  <c r="Y318" i="27"/>
  <c r="AA317" i="27"/>
  <c r="Z317" i="27"/>
  <c r="Y317" i="27"/>
  <c r="AA316" i="27"/>
  <c r="Z316" i="27"/>
  <c r="Y316" i="27"/>
  <c r="AA315" i="27"/>
  <c r="Z315" i="27"/>
  <c r="Y315" i="27"/>
  <c r="AA314" i="27"/>
  <c r="Z314" i="27"/>
  <c r="Y314" i="27"/>
  <c r="AA313" i="27"/>
  <c r="Z313" i="27"/>
  <c r="Y313" i="27"/>
  <c r="AA312" i="27"/>
  <c r="Z312" i="27"/>
  <c r="Y312" i="27"/>
  <c r="AA311" i="27"/>
  <c r="Z311" i="27"/>
  <c r="Y311" i="27"/>
  <c r="AA310" i="27"/>
  <c r="Z310" i="27"/>
  <c r="Y310" i="27"/>
  <c r="AA309" i="27"/>
  <c r="Z309" i="27"/>
  <c r="Y309" i="27"/>
  <c r="AA308" i="27"/>
  <c r="Z308" i="27"/>
  <c r="Y308" i="27"/>
  <c r="AA307" i="27"/>
  <c r="Z307" i="27"/>
  <c r="Y307" i="27"/>
  <c r="AA306" i="27"/>
  <c r="Z306" i="27"/>
  <c r="Y306" i="27"/>
  <c r="AA305" i="27"/>
  <c r="Z305" i="27"/>
  <c r="Y305" i="27"/>
  <c r="AA304" i="27"/>
  <c r="Z304" i="27"/>
  <c r="Y304" i="27"/>
  <c r="AA303" i="27"/>
  <c r="Z303" i="27"/>
  <c r="Y303" i="27"/>
  <c r="AA302" i="27"/>
  <c r="Z302" i="27"/>
  <c r="Y302" i="27"/>
  <c r="AA301" i="27"/>
  <c r="Z301" i="27"/>
  <c r="Y301" i="27"/>
  <c r="AA300" i="27"/>
  <c r="Z300" i="27"/>
  <c r="Y300" i="27"/>
  <c r="AA299" i="27"/>
  <c r="Z299" i="27"/>
  <c r="Y299" i="27"/>
  <c r="AA298" i="27"/>
  <c r="Z298" i="27"/>
  <c r="Y298" i="27"/>
  <c r="AA297" i="27"/>
  <c r="Z297" i="27"/>
  <c r="Y297" i="27"/>
  <c r="AA296" i="27"/>
  <c r="Z296" i="27"/>
  <c r="Y296" i="27"/>
  <c r="AA295" i="27"/>
  <c r="Z295" i="27"/>
  <c r="Y295" i="27"/>
  <c r="AA294" i="27"/>
  <c r="Z294" i="27"/>
  <c r="Y294" i="27"/>
  <c r="AA293" i="27"/>
  <c r="Z293" i="27"/>
  <c r="Y293" i="27"/>
  <c r="AA292" i="27"/>
  <c r="Z292" i="27"/>
  <c r="Y292" i="27"/>
  <c r="AA291" i="27"/>
  <c r="Z291" i="27"/>
  <c r="Y291" i="27"/>
  <c r="AA290" i="27"/>
  <c r="Z290" i="27"/>
  <c r="Y290" i="27"/>
  <c r="AA289" i="27"/>
  <c r="Z289" i="27"/>
  <c r="Y289" i="27"/>
  <c r="AA288" i="27"/>
  <c r="Z288" i="27"/>
  <c r="Y288" i="27"/>
  <c r="AA287" i="27"/>
  <c r="Z287" i="27"/>
  <c r="Y287" i="27"/>
  <c r="AA286" i="27"/>
  <c r="Z286" i="27"/>
  <c r="Y286" i="27"/>
  <c r="AA285" i="27"/>
  <c r="Z285" i="27"/>
  <c r="Y285" i="27"/>
  <c r="AA284" i="27"/>
  <c r="Z284" i="27"/>
  <c r="Y284" i="27"/>
  <c r="AA283" i="27"/>
  <c r="Z283" i="27"/>
  <c r="Y283" i="27"/>
  <c r="AA282" i="27"/>
  <c r="Z282" i="27"/>
  <c r="Y282" i="27"/>
  <c r="AA281" i="27"/>
  <c r="Z281" i="27"/>
  <c r="Y281" i="27"/>
  <c r="AA280" i="27"/>
  <c r="Z280" i="27"/>
  <c r="Y280" i="27"/>
  <c r="AA279" i="27"/>
  <c r="Z279" i="27"/>
  <c r="Y279" i="27"/>
  <c r="AA278" i="27"/>
  <c r="Z278" i="27"/>
  <c r="Y278" i="27"/>
  <c r="AA277" i="27"/>
  <c r="Z277" i="27"/>
  <c r="Y277" i="27"/>
  <c r="AA276" i="27"/>
  <c r="Z276" i="27"/>
  <c r="Y276" i="27"/>
  <c r="AA275" i="27"/>
  <c r="Z275" i="27"/>
  <c r="Y275" i="27"/>
  <c r="AA274" i="27"/>
  <c r="Z274" i="27"/>
  <c r="Y274" i="27"/>
  <c r="AA273" i="27"/>
  <c r="Z273" i="27"/>
  <c r="Y273" i="27"/>
  <c r="AA272" i="27"/>
  <c r="Z272" i="27"/>
  <c r="Y272" i="27"/>
  <c r="AA271" i="27"/>
  <c r="Z271" i="27"/>
  <c r="Y271" i="27"/>
  <c r="AA270" i="27"/>
  <c r="Z270" i="27"/>
  <c r="Y270" i="27"/>
  <c r="AA269" i="27"/>
  <c r="Z269" i="27"/>
  <c r="Y269" i="27"/>
  <c r="AA268" i="27"/>
  <c r="Z268" i="27"/>
  <c r="Y268" i="27"/>
  <c r="AA267" i="27"/>
  <c r="Z267" i="27"/>
  <c r="Y267" i="27"/>
  <c r="AA266" i="27"/>
  <c r="Z266" i="27"/>
  <c r="Y266" i="27"/>
  <c r="AA265" i="27"/>
  <c r="Z265" i="27"/>
  <c r="Y265" i="27"/>
  <c r="AA264" i="27"/>
  <c r="Z264" i="27"/>
  <c r="Y264" i="27"/>
  <c r="AA263" i="27"/>
  <c r="Z263" i="27"/>
  <c r="Y263" i="27"/>
  <c r="AA262" i="27"/>
  <c r="Z262" i="27"/>
  <c r="Y262" i="27"/>
  <c r="AA261" i="27"/>
  <c r="Z261" i="27"/>
  <c r="Y261" i="27"/>
  <c r="AA260" i="27"/>
  <c r="Z260" i="27"/>
  <c r="Y260" i="27"/>
  <c r="AA259" i="27"/>
  <c r="Z259" i="27"/>
  <c r="Y259" i="27"/>
  <c r="AA258" i="27"/>
  <c r="Z258" i="27"/>
  <c r="Y258" i="27"/>
  <c r="AA257" i="27"/>
  <c r="Z257" i="27"/>
  <c r="Y257" i="27"/>
  <c r="AA256" i="27"/>
  <c r="Z256" i="27"/>
  <c r="Y256" i="27"/>
  <c r="AA255" i="27"/>
  <c r="Z255" i="27"/>
  <c r="Y255" i="27"/>
  <c r="AA254" i="27"/>
  <c r="Z254" i="27"/>
  <c r="Y254" i="27"/>
  <c r="AA253" i="27"/>
  <c r="Z253" i="27"/>
  <c r="Y253" i="27"/>
  <c r="AA252" i="27"/>
  <c r="Z252" i="27"/>
  <c r="Y252" i="27"/>
  <c r="AA251" i="27"/>
  <c r="Z251" i="27"/>
  <c r="Y251" i="27"/>
  <c r="AA250" i="27"/>
  <c r="Z250" i="27"/>
  <c r="Y250" i="27"/>
  <c r="AA249" i="27"/>
  <c r="Z249" i="27"/>
  <c r="Y249" i="27"/>
  <c r="AA248" i="27"/>
  <c r="Z248" i="27"/>
  <c r="Y248" i="27"/>
  <c r="AA247" i="27"/>
  <c r="Z247" i="27"/>
  <c r="Y247" i="27"/>
  <c r="AA246" i="27"/>
  <c r="Z246" i="27"/>
  <c r="Y246" i="27"/>
  <c r="AA245" i="27"/>
  <c r="Z245" i="27"/>
  <c r="Y245" i="27"/>
  <c r="AA244" i="27"/>
  <c r="Z244" i="27"/>
  <c r="Y244" i="27"/>
  <c r="AA243" i="27"/>
  <c r="Z243" i="27"/>
  <c r="Y243" i="27"/>
  <c r="AA242" i="27"/>
  <c r="Z242" i="27"/>
  <c r="Y242" i="27"/>
  <c r="AA241" i="27"/>
  <c r="Z241" i="27"/>
  <c r="Y241" i="27"/>
  <c r="AA240" i="27"/>
  <c r="Z240" i="27"/>
  <c r="Y240" i="27"/>
  <c r="AA239" i="27"/>
  <c r="Z239" i="27"/>
  <c r="Y239" i="27"/>
  <c r="AA238" i="27"/>
  <c r="Z238" i="27"/>
  <c r="Y238" i="27"/>
  <c r="AA237" i="27"/>
  <c r="Z237" i="27"/>
  <c r="Y237" i="27"/>
  <c r="AA236" i="27"/>
  <c r="Z236" i="27"/>
  <c r="Y236" i="27"/>
  <c r="AA235" i="27"/>
  <c r="Z235" i="27"/>
  <c r="Y235" i="27"/>
  <c r="AA234" i="27"/>
  <c r="Z234" i="27"/>
  <c r="Y234" i="27"/>
  <c r="AA233" i="27"/>
  <c r="Z233" i="27"/>
  <c r="Y233" i="27"/>
  <c r="AA232" i="27"/>
  <c r="Z232" i="27"/>
  <c r="Y232" i="27"/>
  <c r="AA231" i="27"/>
  <c r="Z231" i="27"/>
  <c r="Y231" i="27"/>
  <c r="AA230" i="27"/>
  <c r="Z230" i="27"/>
  <c r="Y230" i="27"/>
  <c r="AA229" i="27"/>
  <c r="Z229" i="27"/>
  <c r="Y229" i="27"/>
  <c r="AA228" i="27"/>
  <c r="Z228" i="27"/>
  <c r="Y228" i="27"/>
  <c r="AA227" i="27"/>
  <c r="Z227" i="27"/>
  <c r="Y227" i="27"/>
  <c r="AA226" i="27"/>
  <c r="Z226" i="27"/>
  <c r="Y226" i="27"/>
  <c r="AA225" i="27"/>
  <c r="Z225" i="27"/>
  <c r="Y225" i="27"/>
  <c r="AA224" i="27"/>
  <c r="Z224" i="27"/>
  <c r="Y224" i="27"/>
  <c r="AA223" i="27"/>
  <c r="Z223" i="27"/>
  <c r="Y223" i="27"/>
  <c r="AA222" i="27"/>
  <c r="Z222" i="27"/>
  <c r="Y222" i="27"/>
  <c r="AA221" i="27"/>
  <c r="Z221" i="27"/>
  <c r="Y221" i="27"/>
  <c r="AA220" i="27"/>
  <c r="Z220" i="27"/>
  <c r="Y220" i="27"/>
  <c r="AA219" i="27"/>
  <c r="Z219" i="27"/>
  <c r="Y219" i="27"/>
  <c r="AA218" i="27"/>
  <c r="Z218" i="27"/>
  <c r="Y218" i="27"/>
  <c r="AA217" i="27"/>
  <c r="Z217" i="27"/>
  <c r="Y217" i="27"/>
  <c r="AA216" i="27"/>
  <c r="Z216" i="27"/>
  <c r="Y216" i="27"/>
  <c r="AA215" i="27"/>
  <c r="Z215" i="27"/>
  <c r="Y215" i="27"/>
  <c r="AA214" i="27"/>
  <c r="Z214" i="27"/>
  <c r="Y214" i="27"/>
  <c r="AA213" i="27"/>
  <c r="Z213" i="27"/>
  <c r="Y213" i="27"/>
  <c r="AA212" i="27"/>
  <c r="Z212" i="27"/>
  <c r="Y212" i="27"/>
  <c r="AA211" i="27"/>
  <c r="Z211" i="27"/>
  <c r="Y211" i="27"/>
  <c r="AA210" i="27"/>
  <c r="Z210" i="27"/>
  <c r="Y210" i="27"/>
  <c r="AA209" i="27"/>
  <c r="Z209" i="27"/>
  <c r="Y209" i="27"/>
  <c r="AA208" i="27"/>
  <c r="Z208" i="27"/>
  <c r="Y208" i="27"/>
  <c r="AA207" i="27"/>
  <c r="Z207" i="27"/>
  <c r="Y207" i="27"/>
  <c r="AA206" i="27"/>
  <c r="Z206" i="27"/>
  <c r="Y206" i="27"/>
  <c r="AA205" i="27"/>
  <c r="Z205" i="27"/>
  <c r="Y205" i="27"/>
  <c r="AA204" i="27"/>
  <c r="Z204" i="27"/>
  <c r="Y204" i="27"/>
  <c r="AA203" i="27"/>
  <c r="Z203" i="27"/>
  <c r="Y203" i="27"/>
  <c r="AA202" i="27"/>
  <c r="Z202" i="27"/>
  <c r="Y202" i="27"/>
  <c r="AA201" i="27"/>
  <c r="Z201" i="27"/>
  <c r="Y201" i="27"/>
  <c r="AA200" i="27"/>
  <c r="Z200" i="27"/>
  <c r="Y200" i="27"/>
  <c r="AA199" i="27"/>
  <c r="Z199" i="27"/>
  <c r="Y199" i="27"/>
  <c r="AA198" i="27"/>
  <c r="Z198" i="27"/>
  <c r="Y198" i="27"/>
  <c r="AA197" i="27"/>
  <c r="Z197" i="27"/>
  <c r="Y197" i="27"/>
  <c r="AA196" i="27"/>
  <c r="Z196" i="27"/>
  <c r="Y196" i="27"/>
  <c r="AA195" i="27"/>
  <c r="Z195" i="27"/>
  <c r="Y195" i="27"/>
  <c r="AA194" i="27"/>
  <c r="Z194" i="27"/>
  <c r="Y194" i="27"/>
  <c r="AA193" i="27"/>
  <c r="Z193" i="27"/>
  <c r="Y193" i="27"/>
  <c r="AA192" i="27"/>
  <c r="Z192" i="27"/>
  <c r="Y192" i="27"/>
  <c r="AA191" i="27"/>
  <c r="Z191" i="27"/>
  <c r="Y191" i="27"/>
  <c r="AA190" i="27"/>
  <c r="Z190" i="27"/>
  <c r="Y190" i="27"/>
  <c r="AA189" i="27"/>
  <c r="Z189" i="27"/>
  <c r="Y189" i="27"/>
  <c r="AA188" i="27"/>
  <c r="Z188" i="27"/>
  <c r="Y188" i="27"/>
  <c r="AA187" i="27"/>
  <c r="Z187" i="27"/>
  <c r="Y187" i="27"/>
  <c r="AA186" i="27"/>
  <c r="Z186" i="27"/>
  <c r="Y186" i="27"/>
  <c r="AA185" i="27"/>
  <c r="Z185" i="27"/>
  <c r="Y185" i="27"/>
  <c r="AA184" i="27"/>
  <c r="Z184" i="27"/>
  <c r="Y184" i="27"/>
  <c r="AA183" i="27"/>
  <c r="Z183" i="27"/>
  <c r="Y183" i="27"/>
  <c r="AA182" i="27"/>
  <c r="Z182" i="27"/>
  <c r="Y182" i="27"/>
  <c r="AA181" i="27"/>
  <c r="Z181" i="27"/>
  <c r="Y181" i="27"/>
  <c r="AA180" i="27"/>
  <c r="Z180" i="27"/>
  <c r="Y180" i="27"/>
  <c r="AA179" i="27"/>
  <c r="Z179" i="27"/>
  <c r="Y179" i="27"/>
  <c r="AA178" i="27"/>
  <c r="Z178" i="27"/>
  <c r="Y178" i="27"/>
  <c r="AA177" i="27"/>
  <c r="Z177" i="27"/>
  <c r="Y177" i="27"/>
  <c r="AA176" i="27"/>
  <c r="Z176" i="27"/>
  <c r="Y176" i="27"/>
  <c r="AA175" i="27"/>
  <c r="Z175" i="27"/>
  <c r="Y175" i="27"/>
  <c r="AA174" i="27"/>
  <c r="Z174" i="27"/>
  <c r="Y174" i="27"/>
  <c r="AA173" i="27"/>
  <c r="Z173" i="27"/>
  <c r="Y173" i="27"/>
  <c r="AA172" i="27"/>
  <c r="Z172" i="27"/>
  <c r="Y172" i="27"/>
  <c r="AA171" i="27"/>
  <c r="Z171" i="27"/>
  <c r="Y171" i="27"/>
  <c r="AA170" i="27"/>
  <c r="Z170" i="27"/>
  <c r="Y170" i="27"/>
  <c r="AA169" i="27"/>
  <c r="Z169" i="27"/>
  <c r="Y169" i="27"/>
  <c r="AA168" i="27"/>
  <c r="Z168" i="27"/>
  <c r="Y168" i="27"/>
  <c r="AA167" i="27"/>
  <c r="Z167" i="27"/>
  <c r="Y167" i="27"/>
  <c r="AA166" i="27"/>
  <c r="Z166" i="27"/>
  <c r="Y166" i="27"/>
  <c r="AA165" i="27"/>
  <c r="Z165" i="27"/>
  <c r="Y165" i="27"/>
  <c r="AA164" i="27"/>
  <c r="Z164" i="27"/>
  <c r="Y164" i="27"/>
  <c r="AA163" i="27"/>
  <c r="Z163" i="27"/>
  <c r="Y163" i="27"/>
  <c r="AA162" i="27"/>
  <c r="Z162" i="27"/>
  <c r="Y162" i="27"/>
  <c r="AA161" i="27"/>
  <c r="Z161" i="27"/>
  <c r="Y161" i="27"/>
  <c r="AA160" i="27"/>
  <c r="Z160" i="27"/>
  <c r="Y160" i="27"/>
  <c r="AA159" i="27"/>
  <c r="Z159" i="27"/>
  <c r="Y159" i="27"/>
  <c r="AA158" i="27"/>
  <c r="Z158" i="27"/>
  <c r="Y158" i="27"/>
  <c r="AA157" i="27"/>
  <c r="Z157" i="27"/>
  <c r="Y157" i="27"/>
  <c r="AA156" i="27"/>
  <c r="Z156" i="27"/>
  <c r="Y156" i="27"/>
  <c r="AA155" i="27"/>
  <c r="Z155" i="27"/>
  <c r="Y155" i="27"/>
  <c r="AA154" i="27"/>
  <c r="Z154" i="27"/>
  <c r="Y154" i="27"/>
  <c r="AA153" i="27"/>
  <c r="Z153" i="27"/>
  <c r="Y153" i="27"/>
  <c r="AA152" i="27"/>
  <c r="Z152" i="27"/>
  <c r="Y152" i="27"/>
  <c r="AA151" i="27"/>
  <c r="Z151" i="27"/>
  <c r="Y151" i="27"/>
  <c r="AA150" i="27"/>
  <c r="Z150" i="27"/>
  <c r="Y150" i="27"/>
  <c r="AA149" i="27"/>
  <c r="Z149" i="27"/>
  <c r="Y149" i="27"/>
  <c r="AA148" i="27"/>
  <c r="Z148" i="27"/>
  <c r="Y148" i="27"/>
  <c r="AA147" i="27"/>
  <c r="Z147" i="27"/>
  <c r="Y147" i="27"/>
  <c r="AA146" i="27"/>
  <c r="Z146" i="27"/>
  <c r="Y146" i="27"/>
  <c r="AA145" i="27"/>
  <c r="Z145" i="27"/>
  <c r="Y145" i="27"/>
  <c r="AA144" i="27"/>
  <c r="Z144" i="27"/>
  <c r="Y144" i="27"/>
  <c r="AA143" i="27"/>
  <c r="Z143" i="27"/>
  <c r="Y143" i="27"/>
  <c r="AA142" i="27"/>
  <c r="Z142" i="27"/>
  <c r="Y142" i="27"/>
  <c r="AA141" i="27"/>
  <c r="Z141" i="27"/>
  <c r="Y141" i="27"/>
  <c r="AA140" i="27"/>
  <c r="Z140" i="27"/>
  <c r="Y140" i="27"/>
  <c r="AA139" i="27"/>
  <c r="Z139" i="27"/>
  <c r="Y139" i="27"/>
  <c r="AA138" i="27"/>
  <c r="Z138" i="27"/>
  <c r="Y138" i="27"/>
  <c r="AA137" i="27"/>
  <c r="Z137" i="27"/>
  <c r="Y137" i="27"/>
  <c r="AA136" i="27"/>
  <c r="Z136" i="27"/>
  <c r="Y136" i="27"/>
  <c r="AA135" i="27"/>
  <c r="Z135" i="27"/>
  <c r="Y135" i="27"/>
  <c r="AA134" i="27"/>
  <c r="Z134" i="27"/>
  <c r="Y134" i="27"/>
  <c r="AA133" i="27"/>
  <c r="Z133" i="27"/>
  <c r="Y133" i="27"/>
  <c r="AA132" i="27"/>
  <c r="Z132" i="27"/>
  <c r="Y132" i="27"/>
  <c r="AA131" i="27"/>
  <c r="Z131" i="27"/>
  <c r="Y131" i="27"/>
  <c r="AA130" i="27"/>
  <c r="Z130" i="27"/>
  <c r="Y130" i="27"/>
  <c r="AA129" i="27"/>
  <c r="Z129" i="27"/>
  <c r="Y129" i="27"/>
  <c r="AA128" i="27"/>
  <c r="Z128" i="27"/>
  <c r="Y128" i="27"/>
  <c r="AA127" i="27"/>
  <c r="Z127" i="27"/>
  <c r="Y127" i="27"/>
  <c r="AA126" i="27"/>
  <c r="Z126" i="27"/>
  <c r="Y126" i="27"/>
  <c r="AA125" i="27"/>
  <c r="Z125" i="27"/>
  <c r="Y125" i="27"/>
  <c r="AA124" i="27"/>
  <c r="Z124" i="27"/>
  <c r="Y124" i="27"/>
  <c r="AA123" i="27"/>
  <c r="Z123" i="27"/>
  <c r="Y123" i="27"/>
  <c r="AA122" i="27"/>
  <c r="Z122" i="27"/>
  <c r="Y122" i="27"/>
  <c r="AA121" i="27"/>
  <c r="Z121" i="27"/>
  <c r="Y121" i="27"/>
  <c r="AA120" i="27"/>
  <c r="Z120" i="27"/>
  <c r="Y120" i="27"/>
  <c r="AA119" i="27"/>
  <c r="Z119" i="27"/>
  <c r="Y119" i="27"/>
  <c r="AA118" i="27"/>
  <c r="Z118" i="27"/>
  <c r="Y118" i="27"/>
  <c r="AA117" i="27"/>
  <c r="Z117" i="27"/>
  <c r="Y117" i="27"/>
  <c r="AA116" i="27"/>
  <c r="Z116" i="27"/>
  <c r="Y116" i="27"/>
  <c r="AA115" i="27"/>
  <c r="Z115" i="27"/>
  <c r="Y115" i="27"/>
  <c r="AA114" i="27"/>
  <c r="Z114" i="27"/>
  <c r="Y114" i="27"/>
  <c r="AA113" i="27"/>
  <c r="Z113" i="27"/>
  <c r="Y113" i="27"/>
  <c r="AA112" i="27"/>
  <c r="Z112" i="27"/>
  <c r="Y112" i="27"/>
  <c r="AA111" i="27"/>
  <c r="Z111" i="27"/>
  <c r="Y111" i="27"/>
  <c r="AA110" i="27"/>
  <c r="Z110" i="27"/>
  <c r="Y110" i="27"/>
  <c r="AA109" i="27"/>
  <c r="Z109" i="27"/>
  <c r="Y109" i="27"/>
  <c r="AA108" i="27"/>
  <c r="Z108" i="27"/>
  <c r="Y108" i="27"/>
  <c r="AA107" i="27"/>
  <c r="Z107" i="27"/>
  <c r="Y107" i="27"/>
  <c r="AA106" i="27"/>
  <c r="Z106" i="27"/>
  <c r="Y106" i="27"/>
  <c r="AA105" i="27"/>
  <c r="Z105" i="27"/>
  <c r="Y105" i="27"/>
  <c r="AA104" i="27"/>
  <c r="Z104" i="27"/>
  <c r="Y104" i="27"/>
  <c r="AA103" i="27"/>
  <c r="Z103" i="27"/>
  <c r="Y103" i="27"/>
  <c r="AA102" i="27"/>
  <c r="Z102" i="27"/>
  <c r="Y102" i="27"/>
  <c r="AA101" i="27"/>
  <c r="Z101" i="27"/>
  <c r="Y101" i="27"/>
  <c r="AA100" i="27"/>
  <c r="Z100" i="27"/>
  <c r="Y100" i="27"/>
  <c r="AA99" i="27"/>
  <c r="Z99" i="27"/>
  <c r="Y99" i="27"/>
  <c r="AA98" i="27"/>
  <c r="Z98" i="27"/>
  <c r="Y98" i="27"/>
  <c r="AA97" i="27"/>
  <c r="Z97" i="27"/>
  <c r="Y97" i="27"/>
  <c r="AA96" i="27"/>
  <c r="Z96" i="27"/>
  <c r="Y96" i="27"/>
  <c r="AA95" i="27"/>
  <c r="Z95" i="27"/>
  <c r="Y95" i="27"/>
  <c r="AA94" i="27"/>
  <c r="Z94" i="27"/>
  <c r="Y94" i="27"/>
  <c r="AA93" i="27"/>
  <c r="Z93" i="27"/>
  <c r="Y93" i="27"/>
  <c r="AA92" i="27"/>
  <c r="Z92" i="27"/>
  <c r="Y92" i="27"/>
  <c r="AA91" i="27"/>
  <c r="Z91" i="27"/>
  <c r="Y91" i="27"/>
  <c r="AA90" i="27"/>
  <c r="Z90" i="27"/>
  <c r="Y90" i="27"/>
  <c r="AA89" i="27"/>
  <c r="Z89" i="27"/>
  <c r="Y89" i="27"/>
  <c r="AA88" i="27"/>
  <c r="Z88" i="27"/>
  <c r="Y88" i="27"/>
  <c r="AA87" i="27"/>
  <c r="Z87" i="27"/>
  <c r="Y87" i="27"/>
  <c r="AA86" i="27"/>
  <c r="Z86" i="27"/>
  <c r="Y86" i="27"/>
  <c r="AA81" i="27"/>
  <c r="Z81" i="27"/>
  <c r="Y81" i="27"/>
  <c r="AA79" i="27"/>
  <c r="Z79" i="27"/>
  <c r="Y79" i="27"/>
  <c r="AA77" i="27"/>
  <c r="Z77" i="27"/>
  <c r="Y77" i="27"/>
  <c r="AA69" i="27"/>
  <c r="Z69" i="27"/>
  <c r="Y69" i="27"/>
  <c r="AA67" i="27"/>
  <c r="Z67" i="27"/>
  <c r="Y67" i="27"/>
  <c r="AA66" i="27"/>
  <c r="Z66" i="27"/>
  <c r="Y66" i="27"/>
  <c r="AA65" i="27"/>
  <c r="Z65" i="27"/>
  <c r="Y65" i="27"/>
  <c r="AA64" i="27"/>
  <c r="Z64" i="27"/>
  <c r="Y64" i="27"/>
  <c r="AA63" i="27"/>
  <c r="Z63" i="27"/>
  <c r="Y63" i="27"/>
  <c r="AA62" i="27"/>
  <c r="Z62" i="27"/>
  <c r="Y62" i="27"/>
  <c r="AA61" i="27"/>
  <c r="Z61" i="27"/>
  <c r="Y61" i="27"/>
  <c r="AA60" i="27"/>
  <c r="Z60" i="27"/>
  <c r="Y60" i="27"/>
  <c r="AA59" i="27"/>
  <c r="Z59" i="27"/>
  <c r="Y59" i="27"/>
  <c r="AA58" i="27"/>
  <c r="Z58" i="27"/>
  <c r="Y58" i="27"/>
  <c r="AA57" i="27"/>
  <c r="Z57" i="27"/>
  <c r="Y57" i="27"/>
  <c r="AA56" i="27"/>
  <c r="Z56" i="27"/>
  <c r="Y56" i="27"/>
  <c r="AA55" i="27"/>
  <c r="Z55" i="27"/>
  <c r="Y55" i="27"/>
  <c r="AA54" i="27"/>
  <c r="Z54" i="27"/>
  <c r="Y54" i="27"/>
  <c r="AA53" i="27"/>
  <c r="Z53" i="27"/>
  <c r="Y53" i="27"/>
  <c r="AA49" i="27"/>
  <c r="Z49" i="27"/>
  <c r="Y49" i="27"/>
  <c r="AA48" i="27"/>
  <c r="Z48" i="27"/>
  <c r="Y48" i="27"/>
  <c r="AA47" i="27"/>
  <c r="Z47" i="27"/>
  <c r="Y47" i="27"/>
  <c r="AA46" i="27"/>
  <c r="Z46" i="27"/>
  <c r="Y46" i="27"/>
  <c r="AA45" i="27"/>
  <c r="Z45" i="27"/>
  <c r="Y45" i="27"/>
  <c r="AA44" i="27"/>
  <c r="Z44" i="27"/>
  <c r="Y44" i="27"/>
  <c r="AA43" i="27"/>
  <c r="Z43" i="27"/>
  <c r="Y43" i="27"/>
  <c r="AA42" i="27"/>
  <c r="Z42" i="27"/>
  <c r="Y42" i="27"/>
  <c r="AA41" i="27"/>
  <c r="Z41" i="27"/>
  <c r="Y41" i="27"/>
  <c r="AA40" i="27"/>
  <c r="Z40" i="27"/>
  <c r="Y40" i="27"/>
  <c r="AA39" i="27"/>
  <c r="Z39" i="27"/>
  <c r="Y39" i="27"/>
  <c r="AA38" i="27"/>
  <c r="Z38" i="27"/>
  <c r="Y38" i="27"/>
  <c r="AA37" i="27"/>
  <c r="Z37" i="27"/>
  <c r="Y37" i="27"/>
  <c r="AA36" i="27"/>
  <c r="Z36" i="27"/>
  <c r="Y36" i="27"/>
  <c r="AA35" i="27"/>
  <c r="Z35" i="27"/>
  <c r="Y35" i="27"/>
  <c r="AA34" i="27"/>
  <c r="Z34" i="27"/>
  <c r="Y34" i="27"/>
  <c r="AA33" i="27"/>
  <c r="Z33" i="27"/>
  <c r="Y33" i="27"/>
  <c r="AA32" i="27"/>
  <c r="Z32" i="27"/>
  <c r="Y32" i="27"/>
  <c r="AA31" i="27"/>
  <c r="Z31" i="27"/>
  <c r="Y31" i="27"/>
  <c r="AA30" i="27"/>
  <c r="Z30" i="27"/>
  <c r="Y30" i="27"/>
  <c r="AA29" i="27"/>
  <c r="Z29" i="27"/>
  <c r="Y29" i="27"/>
  <c r="AA28" i="27"/>
  <c r="Z28" i="27"/>
  <c r="Y28" i="27"/>
  <c r="AA27" i="27"/>
  <c r="Z27" i="27"/>
  <c r="Y27" i="27"/>
  <c r="AA25" i="27"/>
  <c r="Z25" i="27"/>
  <c r="Y25" i="27"/>
  <c r="AA24" i="27"/>
  <c r="Z24" i="27"/>
  <c r="Y24" i="27"/>
  <c r="AA23" i="27"/>
  <c r="Z23" i="27"/>
  <c r="Y23" i="27"/>
  <c r="AA22" i="27"/>
  <c r="Z22" i="27"/>
  <c r="Y22" i="27"/>
  <c r="AA21" i="27"/>
  <c r="Z21" i="27"/>
  <c r="Y21" i="27"/>
  <c r="AA20" i="27"/>
  <c r="Z20" i="27"/>
  <c r="Y20" i="27"/>
  <c r="AA19" i="27"/>
  <c r="Z19" i="27"/>
  <c r="Y19" i="27"/>
  <c r="AA16" i="27"/>
  <c r="Z16" i="27"/>
  <c r="Y16" i="27"/>
  <c r="AA15" i="27"/>
  <c r="Z15" i="27"/>
  <c r="Y15" i="27"/>
  <c r="AA13" i="27"/>
  <c r="Z13" i="27"/>
  <c r="Y13" i="27"/>
  <c r="AA10" i="27"/>
  <c r="Z10" i="27"/>
  <c r="Y10" i="27"/>
  <c r="AA8" i="27"/>
  <c r="Z8" i="27"/>
  <c r="Y8" i="27"/>
  <c r="AA7" i="27"/>
  <c r="Z7" i="27"/>
  <c r="Y7" i="27"/>
  <c r="AA6" i="27"/>
  <c r="Z6" i="27"/>
  <c r="Y6" i="27"/>
  <c r="AA5" i="27"/>
  <c r="Z5" i="27"/>
  <c r="Y5" i="27"/>
  <c r="AA4" i="27"/>
  <c r="Z4" i="27"/>
  <c r="Y4" i="27"/>
  <c r="Q459" i="27"/>
  <c r="R459" i="27"/>
  <c r="H62" i="17"/>
  <c r="O19" i="17"/>
  <c r="O18" i="17"/>
  <c r="E5" i="17"/>
  <c r="G5" i="17" s="1"/>
  <c r="E12" i="17"/>
  <c r="G12" i="17" s="1"/>
  <c r="E58" i="17"/>
  <c r="G58" i="17" s="1"/>
  <c r="I58" i="17" s="1"/>
  <c r="E19" i="17"/>
  <c r="G19" i="17" s="1"/>
  <c r="J19" i="17" s="1"/>
  <c r="E21" i="17"/>
  <c r="G21" i="17" s="1"/>
  <c r="E33" i="17"/>
  <c r="G33" i="17" s="1"/>
  <c r="J33" i="17" s="1"/>
  <c r="E31" i="17"/>
  <c r="E22" i="17"/>
  <c r="G22" i="17" s="1"/>
  <c r="I22" i="17" s="1"/>
  <c r="E37" i="17"/>
  <c r="E29" i="17"/>
  <c r="G29" i="17" s="1"/>
  <c r="E38" i="17"/>
  <c r="G38" i="17" s="1"/>
  <c r="I38" i="17" s="1"/>
  <c r="E9" i="17"/>
  <c r="G9" i="17" s="1"/>
  <c r="J9" i="17" s="1"/>
  <c r="E35" i="17"/>
  <c r="G35" i="17" s="1"/>
  <c r="J35" i="17" s="1"/>
  <c r="E30" i="17"/>
  <c r="G30" i="17" s="1"/>
  <c r="E11" i="17"/>
  <c r="G11" i="17" s="1"/>
  <c r="J11" i="17" s="1"/>
  <c r="E7" i="17"/>
  <c r="E8" i="17"/>
  <c r="G8" i="17" s="1"/>
  <c r="E28" i="17"/>
  <c r="G28" i="17" s="1"/>
  <c r="I28" i="17" s="1"/>
  <c r="E10" i="17"/>
  <c r="G10" i="17" s="1"/>
  <c r="J10" i="17" s="1"/>
  <c r="E16" i="17"/>
  <c r="G16" i="17" s="1"/>
  <c r="I16" i="17" s="1"/>
  <c r="E6" i="17"/>
  <c r="E18" i="17"/>
  <c r="E17" i="17"/>
  <c r="G17" i="17" s="1"/>
  <c r="I17" i="17" s="1"/>
  <c r="E24" i="17"/>
  <c r="E26" i="17"/>
  <c r="G26" i="17" s="1"/>
  <c r="J26" i="17" s="1"/>
  <c r="E23" i="17"/>
  <c r="G23" i="17" s="1"/>
  <c r="E32" i="17"/>
  <c r="E25" i="17"/>
  <c r="G25" i="17" s="1"/>
  <c r="J25" i="17" s="1"/>
  <c r="E15" i="17"/>
  <c r="E13" i="17"/>
  <c r="G13" i="17" s="1"/>
  <c r="E20" i="17"/>
  <c r="G20" i="17" s="1"/>
  <c r="E61" i="17"/>
  <c r="G61" i="17" s="1"/>
  <c r="I61" i="17" s="1"/>
  <c r="E27" i="17"/>
  <c r="E36" i="17"/>
  <c r="G36" i="17" s="1"/>
  <c r="J36" i="17" s="1"/>
  <c r="E14" i="17"/>
  <c r="G14" i="17" s="1"/>
  <c r="I14" i="17" s="1"/>
  <c r="F62" i="17"/>
  <c r="O58" i="17"/>
  <c r="O20" i="17"/>
  <c r="O28" i="17"/>
  <c r="O26" i="17"/>
  <c r="P26" i="17" s="1"/>
  <c r="Q26" i="17" s="1"/>
  <c r="O24" i="17"/>
  <c r="O16" i="17"/>
  <c r="O27" i="17"/>
  <c r="P27" i="17" s="1"/>
  <c r="Q27" i="17" s="1"/>
  <c r="O8" i="17"/>
  <c r="O33" i="17"/>
  <c r="O60" i="17"/>
  <c r="O21" i="17"/>
  <c r="O61" i="17"/>
  <c r="O32" i="17"/>
  <c r="P32" i="17" s="1"/>
  <c r="O14" i="17"/>
  <c r="O25" i="17"/>
  <c r="P25" i="17" s="1"/>
  <c r="Q25" i="17" s="1"/>
  <c r="O15" i="17"/>
  <c r="O11" i="17"/>
  <c r="O5" i="17"/>
  <c r="O30" i="17"/>
  <c r="O35" i="17"/>
  <c r="O6" i="17"/>
  <c r="O10" i="17"/>
  <c r="O9" i="17"/>
  <c r="O23" i="17"/>
  <c r="O31" i="17"/>
  <c r="O7" i="17"/>
  <c r="O22" i="17"/>
  <c r="O36" i="17"/>
  <c r="O37" i="17"/>
  <c r="O38" i="17"/>
  <c r="O17" i="17"/>
  <c r="O29" i="17"/>
  <c r="O13" i="17"/>
  <c r="K30" i="17"/>
  <c r="U30" i="17" s="1"/>
  <c r="K36" i="17"/>
  <c r="K58" i="17"/>
  <c r="U58" i="17" s="1"/>
  <c r="K13" i="17"/>
  <c r="U13" i="17" s="1"/>
  <c r="K15" i="17"/>
  <c r="K22" i="17"/>
  <c r="K23" i="17"/>
  <c r="Z23" i="17" s="1"/>
  <c r="K61" i="17"/>
  <c r="K8" i="17"/>
  <c r="U8" i="17" s="1"/>
  <c r="K16" i="17"/>
  <c r="U16" i="17" s="1"/>
  <c r="K35" i="17"/>
  <c r="Z35" i="17" s="1"/>
  <c r="K26" i="17"/>
  <c r="K37" i="17"/>
  <c r="K7" i="17"/>
  <c r="Z7" i="17" s="1"/>
  <c r="K20" i="17"/>
  <c r="U20" i="17" s="1"/>
  <c r="K19" i="17"/>
  <c r="Z19" i="17" s="1"/>
  <c r="K38" i="17"/>
  <c r="K32" i="17"/>
  <c r="Z32" i="17" s="1"/>
  <c r="K18" i="17"/>
  <c r="K17" i="17"/>
  <c r="K33" i="17"/>
  <c r="Z33" i="17" s="1"/>
  <c r="K21" i="17"/>
  <c r="K29" i="17"/>
  <c r="Z29" i="17" s="1"/>
  <c r="K60" i="17"/>
  <c r="Z60" i="17" s="1"/>
  <c r="K27" i="17"/>
  <c r="Z27" i="17" s="1"/>
  <c r="K12" i="17"/>
  <c r="Z12" i="17" s="1"/>
  <c r="K14" i="17"/>
  <c r="U14" i="17" s="1"/>
  <c r="K25" i="17"/>
  <c r="K24" i="17"/>
  <c r="Z24" i="17" s="1"/>
  <c r="K6" i="17"/>
  <c r="Z6" i="17" s="1"/>
  <c r="K31" i="17"/>
  <c r="Z31" i="17" s="1"/>
  <c r="K11" i="17"/>
  <c r="U11" i="17" s="1"/>
  <c r="E60" i="17"/>
  <c r="G60" i="17" s="1"/>
  <c r="K10" i="17"/>
  <c r="U10" i="17" s="1"/>
  <c r="K28" i="17"/>
  <c r="Z28" i="17" s="1"/>
  <c r="K9" i="17"/>
  <c r="O12" i="17"/>
  <c r="L32" i="17"/>
  <c r="L26" i="17"/>
  <c r="T32" i="17"/>
  <c r="L15" i="17"/>
  <c r="L25" i="17"/>
  <c r="L27" i="17"/>
  <c r="S27" i="17"/>
  <c r="S26" i="17"/>
  <c r="S25" i="17"/>
  <c r="T26" i="17"/>
  <c r="T27" i="17"/>
  <c r="S32" i="17"/>
  <c r="T25" i="17"/>
  <c r="E7" i="20"/>
  <c r="E8" i="20"/>
  <c r="I12" i="33" l="1"/>
  <c r="M12" i="33" s="1"/>
  <c r="L39" i="17"/>
  <c r="P47" i="17"/>
  <c r="Q47" i="17" s="1"/>
  <c r="S45" i="17"/>
  <c r="S39" i="17"/>
  <c r="S54" i="17"/>
  <c r="P54" i="17"/>
  <c r="Q54" i="17" s="1"/>
  <c r="P46" i="17"/>
  <c r="Q46" i="17" s="1"/>
  <c r="S46" i="17"/>
  <c r="L46" i="17"/>
  <c r="S49" i="17"/>
  <c r="P48" i="17"/>
  <c r="Q48" i="17" s="1"/>
  <c r="S47" i="17"/>
  <c r="P39" i="17"/>
  <c r="Q39" i="17" s="1"/>
  <c r="L54" i="17"/>
  <c r="P49" i="17"/>
  <c r="Q49" i="17" s="1"/>
  <c r="L49" i="17"/>
  <c r="L47" i="17"/>
  <c r="L45" i="17"/>
  <c r="L48" i="17"/>
  <c r="S48" i="17"/>
  <c r="P45" i="17"/>
  <c r="Q45" i="17" s="1"/>
  <c r="X54" i="17"/>
  <c r="T54" i="17"/>
  <c r="T49" i="17"/>
  <c r="X49" i="17"/>
  <c r="T48" i="17"/>
  <c r="X48" i="17"/>
  <c r="T47" i="17"/>
  <c r="X47" i="17"/>
  <c r="T46" i="17"/>
  <c r="X46" i="17"/>
  <c r="T45" i="17"/>
  <c r="X45" i="17"/>
  <c r="T39" i="17"/>
  <c r="X39" i="17"/>
  <c r="X11" i="1"/>
  <c r="L38" i="17" s="1"/>
  <c r="T610" i="1"/>
  <c r="U610" i="1"/>
  <c r="V610" i="1"/>
  <c r="AK554" i="1"/>
  <c r="W16" i="41"/>
  <c r="AK247" i="1"/>
  <c r="AJ16" i="41"/>
  <c r="X16" i="1"/>
  <c r="L24" i="17" s="1"/>
  <c r="W13" i="41"/>
  <c r="AK225" i="1"/>
  <c r="AK595" i="1"/>
  <c r="AK603" i="1"/>
  <c r="AK515" i="1"/>
  <c r="X265" i="1"/>
  <c r="W15" i="41"/>
  <c r="AK486" i="1"/>
  <c r="AK373" i="1"/>
  <c r="AJ14" i="41"/>
  <c r="AK59" i="1"/>
  <c r="AK185" i="1"/>
  <c r="AK206" i="1"/>
  <c r="AJ15" i="41"/>
  <c r="AK482" i="1"/>
  <c r="AK8" i="1"/>
  <c r="AK184" i="1"/>
  <c r="AK93" i="1"/>
  <c r="X46" i="1"/>
  <c r="W14" i="41"/>
  <c r="AK81" i="1"/>
  <c r="AK21" i="1"/>
  <c r="AK99" i="1"/>
  <c r="AK517" i="1"/>
  <c r="AK527" i="1"/>
  <c r="AK14" i="1"/>
  <c r="AK349" i="1"/>
  <c r="AK153" i="1"/>
  <c r="AK53" i="1"/>
  <c r="AK430" i="1"/>
  <c r="AK352" i="1"/>
  <c r="AK129" i="1"/>
  <c r="AK542" i="1"/>
  <c r="AK105" i="1"/>
  <c r="AJ13" i="41"/>
  <c r="AK550" i="1"/>
  <c r="AK419" i="1"/>
  <c r="AK218" i="1"/>
  <c r="AK592" i="1"/>
  <c r="AK507" i="1"/>
  <c r="AK441" i="1"/>
  <c r="AK268" i="1"/>
  <c r="AK100" i="1"/>
  <c r="AK42" i="1"/>
  <c r="AK277" i="1"/>
  <c r="AK252" i="1"/>
  <c r="AK55" i="1"/>
  <c r="AK126" i="1"/>
  <c r="AK504" i="1"/>
  <c r="AN61" i="48"/>
  <c r="AK380" i="1"/>
  <c r="AK338" i="1"/>
  <c r="AK134" i="1"/>
  <c r="AK194" i="1"/>
  <c r="AK526" i="1"/>
  <c r="AK26" i="1"/>
  <c r="AK549" i="1"/>
  <c r="AK471" i="1"/>
  <c r="AK234" i="1"/>
  <c r="AK31" i="1"/>
  <c r="AK417" i="1"/>
  <c r="AK394" i="1"/>
  <c r="AK440" i="1"/>
  <c r="AK308" i="1"/>
  <c r="AK495" i="1"/>
  <c r="AK404" i="1"/>
  <c r="AK359" i="1"/>
  <c r="AK318" i="1"/>
  <c r="AK383" i="1"/>
  <c r="AK462" i="1"/>
  <c r="AK22" i="1"/>
  <c r="AK45" i="1"/>
  <c r="AK196" i="1"/>
  <c r="AK427" i="1"/>
  <c r="AK557" i="1"/>
  <c r="AK484" i="1"/>
  <c r="AK15" i="1"/>
  <c r="AK195" i="1"/>
  <c r="AK152" i="1"/>
  <c r="AK146" i="1"/>
  <c r="AK52" i="1"/>
  <c r="AK145" i="1"/>
  <c r="AK287" i="1"/>
  <c r="AK264" i="1"/>
  <c r="AK534" i="1"/>
  <c r="AK166" i="1"/>
  <c r="AK98" i="1"/>
  <c r="AK20" i="1"/>
  <c r="AK414" i="1"/>
  <c r="AK494" i="1"/>
  <c r="AK473" i="1"/>
  <c r="AK130" i="1"/>
  <c r="AK529" i="1"/>
  <c r="AK74" i="1"/>
  <c r="AK398" i="1"/>
  <c r="AK27" i="1"/>
  <c r="AK72" i="1"/>
  <c r="AK204" i="1"/>
  <c r="AK125" i="1"/>
  <c r="AK605" i="1"/>
  <c r="AK528" i="1"/>
  <c r="AK298" i="1"/>
  <c r="AK278" i="1"/>
  <c r="AK211" i="1"/>
  <c r="AK416" i="1"/>
  <c r="AK19" i="1"/>
  <c r="AK459" i="1"/>
  <c r="AK436" i="1"/>
  <c r="AK407" i="1"/>
  <c r="AK406" i="1"/>
  <c r="AK197" i="1"/>
  <c r="AK496" i="1"/>
  <c r="AK286" i="1"/>
  <c r="AK492" i="1"/>
  <c r="AK518" i="1"/>
  <c r="AK299" i="1"/>
  <c r="AK538" i="1"/>
  <c r="AK362" i="1"/>
  <c r="AK536" i="1"/>
  <c r="AK76" i="1"/>
  <c r="AK69" i="1"/>
  <c r="AK279" i="1"/>
  <c r="AK571" i="1"/>
  <c r="AK367" i="1"/>
  <c r="AK12" i="1"/>
  <c r="AK372" i="1"/>
  <c r="AK25" i="1"/>
  <c r="AK418" i="1"/>
  <c r="AK402" i="1"/>
  <c r="AK265" i="1"/>
  <c r="AK80" i="1"/>
  <c r="AK601" i="1"/>
  <c r="AK203" i="1"/>
  <c r="AK16" i="1"/>
  <c r="AK437" i="1"/>
  <c r="AK384" i="1"/>
  <c r="AK361" i="1"/>
  <c r="AK541" i="1"/>
  <c r="AK493" i="1"/>
  <c r="AK453" i="1"/>
  <c r="AK446" i="1"/>
  <c r="AK305" i="1"/>
  <c r="AK87" i="1"/>
  <c r="AK190" i="1"/>
  <c r="AK215" i="1"/>
  <c r="AK124" i="1"/>
  <c r="AK567" i="1"/>
  <c r="AK540" i="1"/>
  <c r="AK432" i="1"/>
  <c r="AK280" i="1"/>
  <c r="AK18" i="1"/>
  <c r="AK463" i="1"/>
  <c r="AK450" i="1"/>
  <c r="AK151" i="1"/>
  <c r="AK330" i="1"/>
  <c r="AK464" i="1"/>
  <c r="AK442" i="1"/>
  <c r="AK66" i="1"/>
  <c r="AK572" i="1"/>
  <c r="AK118" i="1"/>
  <c r="AK510" i="1"/>
  <c r="AK293" i="1"/>
  <c r="AK23" i="1"/>
  <c r="AK546" i="1"/>
  <c r="AK385" i="1"/>
  <c r="AK103" i="1"/>
  <c r="AK228" i="1"/>
  <c r="AK62" i="1"/>
  <c r="AK267" i="1"/>
  <c r="AK141" i="1"/>
  <c r="AK189" i="1"/>
  <c r="AK61" i="1"/>
  <c r="AK149" i="1"/>
  <c r="AK553" i="1"/>
  <c r="AK148" i="1"/>
  <c r="AK561" i="1"/>
  <c r="AK452" i="1"/>
  <c r="AK395" i="1"/>
  <c r="AK370" i="1"/>
  <c r="AK351" i="1"/>
  <c r="AK73" i="1"/>
  <c r="AK84" i="1"/>
  <c r="AK75" i="1"/>
  <c r="AK290" i="1"/>
  <c r="AK609" i="1"/>
  <c r="AK570" i="1"/>
  <c r="AK488" i="1"/>
  <c r="AK369" i="1"/>
  <c r="AK356" i="1"/>
  <c r="AK326" i="1"/>
  <c r="AK208" i="1"/>
  <c r="AK201" i="1"/>
  <c r="AK158" i="1"/>
  <c r="AK564" i="1"/>
  <c r="AK539" i="1"/>
  <c r="AK449" i="1"/>
  <c r="AK341" i="1"/>
  <c r="AK585" i="1"/>
  <c r="AK51" i="1"/>
  <c r="AK9" i="1"/>
  <c r="AK598" i="1"/>
  <c r="AK491" i="1"/>
  <c r="AK479" i="1"/>
  <c r="AK412" i="1"/>
  <c r="AK360" i="1"/>
  <c r="AK214" i="1"/>
  <c r="AK355" i="1"/>
  <c r="AK96" i="1"/>
  <c r="AK140" i="1"/>
  <c r="AK90" i="1"/>
  <c r="AK329" i="1"/>
  <c r="AK573" i="1"/>
  <c r="AK227" i="1"/>
  <c r="AK193" i="1"/>
  <c r="AK170" i="1"/>
  <c r="AK435" i="1"/>
  <c r="AK429" i="1"/>
  <c r="AK40" i="1"/>
  <c r="AK560" i="1"/>
  <c r="AK97" i="1"/>
  <c r="AK89" i="1"/>
  <c r="AK289" i="1"/>
  <c r="AK483" i="1"/>
  <c r="AK457" i="1"/>
  <c r="AK346" i="1"/>
  <c r="AK47" i="1"/>
  <c r="T25" i="33" s="1"/>
  <c r="X25" i="33" s="1"/>
  <c r="AK340" i="1"/>
  <c r="AK584" i="1"/>
  <c r="AK606" i="1"/>
  <c r="AK13" i="1"/>
  <c r="AK578" i="1"/>
  <c r="AK391" i="1"/>
  <c r="AK335" i="1"/>
  <c r="AK161" i="1"/>
  <c r="AK88" i="1"/>
  <c r="AK223" i="1"/>
  <c r="AK460" i="1"/>
  <c r="AK474" i="1"/>
  <c r="AK342" i="1"/>
  <c r="AK328" i="1"/>
  <c r="AK187" i="1"/>
  <c r="AK594" i="1"/>
  <c r="AK300" i="1"/>
  <c r="AK451" i="1"/>
  <c r="AK506" i="1"/>
  <c r="AK365" i="1"/>
  <c r="AK297" i="1"/>
  <c r="AK127" i="1"/>
  <c r="AK580" i="1"/>
  <c r="AK551" i="1"/>
  <c r="AK537" i="1"/>
  <c r="AK70" i="1"/>
  <c r="AK56" i="1"/>
  <c r="AK117" i="1"/>
  <c r="AK139" i="1"/>
  <c r="AK217" i="1"/>
  <c r="AK276" i="1"/>
  <c r="AK590" i="1"/>
  <c r="AK512" i="1"/>
  <c r="AK461" i="1"/>
  <c r="AK339" i="1"/>
  <c r="AK232" i="1"/>
  <c r="AK604" i="1"/>
  <c r="AK582" i="1"/>
  <c r="AK555" i="1"/>
  <c r="AK508" i="1"/>
  <c r="AK386" i="1"/>
  <c r="AK336" i="1"/>
  <c r="AK294" i="1"/>
  <c r="AK229" i="1"/>
  <c r="AK205" i="1"/>
  <c r="AK112" i="1"/>
  <c r="AK60" i="1"/>
  <c r="AK50" i="1"/>
  <c r="AK608" i="1"/>
  <c r="AK559" i="1"/>
  <c r="AK535" i="1"/>
  <c r="AK514" i="1"/>
  <c r="AK487" i="1"/>
  <c r="AK439" i="1"/>
  <c r="AK413" i="1"/>
  <c r="AK390" i="1"/>
  <c r="AK364" i="1"/>
  <c r="AK307" i="1"/>
  <c r="AK270" i="1"/>
  <c r="AK240" i="1"/>
  <c r="AK210" i="1"/>
  <c r="AK191" i="1"/>
  <c r="AK188" i="1"/>
  <c r="AK41" i="1"/>
  <c r="AK128" i="1"/>
  <c r="AK71" i="1"/>
  <c r="AK11" i="1"/>
  <c r="AK7" i="1"/>
  <c r="AK581" i="1"/>
  <c r="AK516" i="1"/>
  <c r="AK490" i="1"/>
  <c r="AK466" i="1"/>
  <c r="AK420" i="1"/>
  <c r="AK393" i="1"/>
  <c r="AK368" i="1"/>
  <c r="AK241" i="1"/>
  <c r="AK213" i="1"/>
  <c r="AK150" i="1"/>
  <c r="AK78" i="1"/>
  <c r="AK83" i="1"/>
  <c r="AK28" i="1"/>
  <c r="AK77" i="1"/>
  <c r="AK455" i="1"/>
  <c r="AK376" i="1"/>
  <c r="AK331" i="1"/>
  <c r="AK220" i="1"/>
  <c r="AK132" i="1"/>
  <c r="AK192" i="1"/>
  <c r="AK54" i="1"/>
  <c r="AK33" i="1"/>
  <c r="AK566" i="1"/>
  <c r="AK545" i="1"/>
  <c r="AK520" i="1"/>
  <c r="AK470" i="1"/>
  <c r="AK445" i="1"/>
  <c r="AK423" i="1"/>
  <c r="AK397" i="1"/>
  <c r="AK348" i="1"/>
  <c r="AK317" i="1"/>
  <c r="AK285" i="1"/>
  <c r="AK261" i="1"/>
  <c r="AK119" i="1"/>
  <c r="AK44" i="1"/>
  <c r="AK68" i="1"/>
  <c r="AK574" i="1"/>
  <c r="AK548" i="1"/>
  <c r="AK523" i="1"/>
  <c r="AK499" i="1"/>
  <c r="AK454" i="1"/>
  <c r="AK428" i="1"/>
  <c r="AK405" i="1"/>
  <c r="AK382" i="1"/>
  <c r="AK333" i="1"/>
  <c r="AK288" i="1"/>
  <c r="AK263" i="1"/>
  <c r="AK224" i="1"/>
  <c r="AK378" i="1"/>
  <c r="AK138" i="1"/>
  <c r="AK121" i="1"/>
  <c r="AK116" i="1"/>
  <c r="AK30" i="1"/>
  <c r="AK596" i="1"/>
  <c r="AK415" i="1"/>
  <c r="AK607" i="1"/>
  <c r="AK583" i="1"/>
  <c r="AK485" i="1"/>
  <c r="AK363" i="1"/>
  <c r="AK587" i="1"/>
  <c r="AK511" i="1"/>
  <c r="AK465" i="1"/>
  <c r="AK388" i="1"/>
  <c r="AK343" i="1"/>
  <c r="AK275" i="1"/>
  <c r="AK239" i="1"/>
  <c r="AK147" i="1"/>
  <c r="AK114" i="1"/>
  <c r="AK104" i="1"/>
  <c r="AK82" i="1"/>
  <c r="AK79" i="1"/>
  <c r="AK591" i="1"/>
  <c r="AK565" i="1"/>
  <c r="AK519" i="1"/>
  <c r="AK469" i="1"/>
  <c r="AK444" i="1"/>
  <c r="AK396" i="1"/>
  <c r="AK371" i="1"/>
  <c r="AK347" i="1"/>
  <c r="AK309" i="1"/>
  <c r="AK258" i="1"/>
  <c r="AK216" i="1"/>
  <c r="AK58" i="1"/>
  <c r="AK111" i="1"/>
  <c r="AK35" i="1"/>
  <c r="AK10" i="1"/>
  <c r="AK569" i="1"/>
  <c r="AK543" i="1"/>
  <c r="AK524" i="1"/>
  <c r="AK498" i="1"/>
  <c r="AK448" i="1"/>
  <c r="AK424" i="1"/>
  <c r="AK401" i="1"/>
  <c r="AK375" i="1"/>
  <c r="AK327" i="1"/>
  <c r="AK282" i="1"/>
  <c r="AK262" i="1"/>
  <c r="AK219" i="1"/>
  <c r="AK199" i="1"/>
  <c r="AK137" i="1"/>
  <c r="AK120" i="1"/>
  <c r="AK95" i="1"/>
  <c r="AK86" i="1"/>
  <c r="AK65" i="1"/>
  <c r="AK67" i="1"/>
  <c r="AK600" i="1"/>
  <c r="AK552" i="1"/>
  <c r="AK525" i="1"/>
  <c r="AK502" i="1"/>
  <c r="AK477" i="1"/>
  <c r="AK431" i="1"/>
  <c r="AK403" i="1"/>
  <c r="AK379" i="1"/>
  <c r="AK354" i="1"/>
  <c r="AK292" i="1"/>
  <c r="AK266" i="1"/>
  <c r="AK222" i="1"/>
  <c r="AK202" i="1"/>
  <c r="AK181" i="1"/>
  <c r="AK162" i="1"/>
  <c r="AK48" i="1"/>
  <c r="AK46" i="1"/>
  <c r="AK123" i="1"/>
  <c r="AK6" i="1"/>
  <c r="AK599" i="1"/>
  <c r="AK577" i="1"/>
  <c r="AK556" i="1"/>
  <c r="AK531" i="1"/>
  <c r="AK481" i="1"/>
  <c r="AK456" i="1"/>
  <c r="AK434" i="1"/>
  <c r="AK409" i="1"/>
  <c r="AK358" i="1"/>
  <c r="AK334" i="1"/>
  <c r="AK296" i="1"/>
  <c r="AK271" i="1"/>
  <c r="AK186" i="1"/>
  <c r="AK142" i="1"/>
  <c r="AK101" i="1"/>
  <c r="AK37" i="1"/>
  <c r="AK64" i="1"/>
  <c r="AK5" i="1"/>
  <c r="AK562" i="1"/>
  <c r="AK588" i="1"/>
  <c r="AK29" i="1"/>
  <c r="AK589" i="1"/>
  <c r="AK563" i="1"/>
  <c r="AK513" i="1"/>
  <c r="AK489" i="1"/>
  <c r="AK467" i="1"/>
  <c r="AK443" i="1"/>
  <c r="AK392" i="1"/>
  <c r="AK366" i="1"/>
  <c r="AK345" i="1"/>
  <c r="AK306" i="1"/>
  <c r="AK233" i="1"/>
  <c r="AK209" i="1"/>
  <c r="AK133" i="1"/>
  <c r="AK110" i="1"/>
  <c r="AK39" i="1"/>
  <c r="AK17" i="1"/>
  <c r="AK593" i="1"/>
  <c r="AK568" i="1"/>
  <c r="AK544" i="1"/>
  <c r="AK497" i="1"/>
  <c r="AK472" i="1"/>
  <c r="AK447" i="1"/>
  <c r="AK422" i="1"/>
  <c r="AK374" i="1"/>
  <c r="AK350" i="1"/>
  <c r="AK325" i="1"/>
  <c r="AK281" i="1"/>
  <c r="AK200" i="1"/>
  <c r="AK115" i="1"/>
  <c r="AK94" i="1"/>
  <c r="AK85" i="1"/>
  <c r="AK34" i="1"/>
  <c r="AK344" i="1"/>
  <c r="AK283" i="1"/>
  <c r="AK586" i="1"/>
  <c r="AK558" i="1"/>
  <c r="AK438" i="1"/>
  <c r="AK597" i="1"/>
  <c r="AK547" i="1"/>
  <c r="AK522" i="1"/>
  <c r="AK501" i="1"/>
  <c r="AK476" i="1"/>
  <c r="AK426" i="1"/>
  <c r="AK399" i="1"/>
  <c r="AK377" i="1"/>
  <c r="AK353" i="1"/>
  <c r="AK284" i="1"/>
  <c r="AK260" i="1"/>
  <c r="AK221" i="1"/>
  <c r="AK212" i="1"/>
  <c r="AK175" i="1"/>
  <c r="AK165" i="1"/>
  <c r="AK136" i="1"/>
  <c r="AK113" i="1"/>
  <c r="AK32" i="1"/>
  <c r="AK475" i="1"/>
  <c r="AK400" i="1"/>
  <c r="AK503" i="1"/>
  <c r="AK478" i="1"/>
  <c r="AK532" i="1"/>
  <c r="AK410" i="1"/>
  <c r="AK272" i="1"/>
  <c r="AK38" i="1"/>
  <c r="AK144" i="1"/>
  <c r="AK57" i="1"/>
  <c r="AK602" i="1"/>
  <c r="AK576" i="1"/>
  <c r="AK530" i="1"/>
  <c r="AK505" i="1"/>
  <c r="AK480" i="1"/>
  <c r="AK408" i="1"/>
  <c r="AK381" i="1"/>
  <c r="AK357" i="1"/>
  <c r="AK332" i="1"/>
  <c r="AK269" i="1"/>
  <c r="AK226" i="1"/>
  <c r="AK36" i="1"/>
  <c r="AK131" i="1"/>
  <c r="AK63" i="1"/>
  <c r="AK468" i="1"/>
  <c r="AK421" i="1"/>
  <c r="AK198" i="1"/>
  <c r="AK91" i="1"/>
  <c r="AK92" i="1"/>
  <c r="AK521" i="1"/>
  <c r="AK425" i="1"/>
  <c r="AK259" i="1"/>
  <c r="AK159" i="1"/>
  <c r="AK135" i="1"/>
  <c r="AK575" i="1"/>
  <c r="AK500" i="1"/>
  <c r="AK183" i="1"/>
  <c r="AK49" i="1"/>
  <c r="AK207" i="1"/>
  <c r="AK43" i="1"/>
  <c r="AK389" i="1"/>
  <c r="AK274" i="1"/>
  <c r="AK231" i="1"/>
  <c r="AK160" i="1"/>
  <c r="AK107" i="1"/>
  <c r="AK579" i="1"/>
  <c r="AK533" i="1"/>
  <c r="AK509" i="1"/>
  <c r="AK458" i="1"/>
  <c r="AK433" i="1"/>
  <c r="AK411" i="1"/>
  <c r="AK387" i="1"/>
  <c r="AK337" i="1"/>
  <c r="T19" i="33" s="1"/>
  <c r="X19" i="33" s="1"/>
  <c r="AK295" i="1"/>
  <c r="AK273" i="1"/>
  <c r="AK230" i="1"/>
  <c r="AK143" i="1"/>
  <c r="AK24" i="1"/>
  <c r="AK106" i="1"/>
  <c r="T18" i="17"/>
  <c r="T17" i="17"/>
  <c r="X18" i="17"/>
  <c r="S18" i="17"/>
  <c r="S17" i="17"/>
  <c r="X17" i="17"/>
  <c r="T36" i="17"/>
  <c r="X23" i="17"/>
  <c r="L53" i="17"/>
  <c r="L56" i="17"/>
  <c r="L18" i="17"/>
  <c r="L23" i="17"/>
  <c r="X187" i="1"/>
  <c r="L28" i="17" s="1"/>
  <c r="L57" i="17"/>
  <c r="L36" i="17"/>
  <c r="L7" i="17"/>
  <c r="L34" i="17"/>
  <c r="L11" i="17"/>
  <c r="L9" i="17"/>
  <c r="L8" i="17"/>
  <c r="L35" i="17"/>
  <c r="L60" i="17"/>
  <c r="L14" i="17"/>
  <c r="L10" i="17"/>
  <c r="L16" i="17"/>
  <c r="W11" i="41"/>
  <c r="R12" i="41"/>
  <c r="AE12" i="41"/>
  <c r="AJ11" i="41"/>
  <c r="I11" i="33"/>
  <c r="M11" i="33" s="1"/>
  <c r="X56" i="17"/>
  <c r="S53" i="17"/>
  <c r="P56" i="17"/>
  <c r="Q56" i="17" s="1"/>
  <c r="T56" i="17"/>
  <c r="S56" i="17"/>
  <c r="P53" i="17"/>
  <c r="Q53" i="17" s="1"/>
  <c r="X53" i="17"/>
  <c r="T53" i="17"/>
  <c r="N5" i="48"/>
  <c r="T61" i="17"/>
  <c r="H7" i="48"/>
  <c r="I7" i="48" s="1"/>
  <c r="M7" i="48" s="1"/>
  <c r="H60" i="48"/>
  <c r="I60" i="48" s="1"/>
  <c r="M60" i="48" s="1"/>
  <c r="H15" i="48"/>
  <c r="I15" i="48" s="1"/>
  <c r="M15" i="48" s="1"/>
  <c r="H18" i="48"/>
  <c r="I18" i="48" s="1"/>
  <c r="M18" i="48" s="1"/>
  <c r="H30" i="48"/>
  <c r="I30" i="48" s="1"/>
  <c r="M30" i="48" s="1"/>
  <c r="H11" i="48"/>
  <c r="I11" i="48" s="1"/>
  <c r="M11" i="48" s="1"/>
  <c r="H26" i="48"/>
  <c r="I26" i="48" s="1"/>
  <c r="M26" i="48" s="1"/>
  <c r="N21" i="48"/>
  <c r="H9" i="48"/>
  <c r="I9" i="48" s="1"/>
  <c r="M9" i="48" s="1"/>
  <c r="P61" i="17"/>
  <c r="Q61" i="17" s="1"/>
  <c r="X61" i="17"/>
  <c r="S61" i="17"/>
  <c r="AJ10" i="41"/>
  <c r="AJ8" i="41"/>
  <c r="AJ9" i="41"/>
  <c r="P20" i="17"/>
  <c r="Q20" i="17" s="1"/>
  <c r="P36" i="17"/>
  <c r="Q36" i="17" s="1"/>
  <c r="L26" i="32"/>
  <c r="H22" i="33"/>
  <c r="L22" i="33" s="1"/>
  <c r="Z34" i="17"/>
  <c r="Z52" i="17"/>
  <c r="J55" i="17"/>
  <c r="L9" i="32"/>
  <c r="R55" i="17"/>
  <c r="U53" i="17"/>
  <c r="U24" i="17"/>
  <c r="P43" i="17"/>
  <c r="Q43" i="17" s="1"/>
  <c r="U19" i="17"/>
  <c r="R41" i="17"/>
  <c r="U32" i="17"/>
  <c r="J34" i="17"/>
  <c r="I34" i="17"/>
  <c r="R34" i="17"/>
  <c r="L7" i="32"/>
  <c r="L25" i="32"/>
  <c r="L4" i="32"/>
  <c r="P11" i="17"/>
  <c r="Q11" i="17" s="1"/>
  <c r="Z42" i="17"/>
  <c r="U5" i="17"/>
  <c r="P41" i="17"/>
  <c r="Q41" i="17" s="1"/>
  <c r="L16" i="32"/>
  <c r="L24" i="32"/>
  <c r="L35" i="32"/>
  <c r="L34" i="32"/>
  <c r="L15" i="32"/>
  <c r="L18" i="32"/>
  <c r="L23" i="32"/>
  <c r="L17" i="32"/>
  <c r="L8" i="32"/>
  <c r="L14" i="32"/>
  <c r="R35" i="17"/>
  <c r="L30" i="32"/>
  <c r="L22" i="32"/>
  <c r="L20" i="32"/>
  <c r="L21" i="32"/>
  <c r="L10" i="32"/>
  <c r="L31" i="32"/>
  <c r="L19" i="32"/>
  <c r="L11" i="32"/>
  <c r="L33" i="32"/>
  <c r="P24" i="17"/>
  <c r="Q24" i="17" s="1"/>
  <c r="P34" i="17"/>
  <c r="Q34" i="17" s="1"/>
  <c r="P9" i="17"/>
  <c r="Q9" i="17" s="1"/>
  <c r="L28" i="32"/>
  <c r="L12" i="32"/>
  <c r="Z10" i="17"/>
  <c r="U29" i="17"/>
  <c r="Z13" i="17"/>
  <c r="U35" i="17"/>
  <c r="P60" i="17"/>
  <c r="Q60" i="17" s="1"/>
  <c r="L13" i="32"/>
  <c r="Z14" i="17"/>
  <c r="Z30" i="17"/>
  <c r="U60" i="17"/>
  <c r="J44" i="17"/>
  <c r="I44" i="17"/>
  <c r="L38" i="32"/>
  <c r="Y27" i="17"/>
  <c r="U31" i="17"/>
  <c r="R12" i="17"/>
  <c r="U7" i="17"/>
  <c r="U51" i="17"/>
  <c r="L32" i="32"/>
  <c r="R44" i="17"/>
  <c r="L37" i="32"/>
  <c r="I35" i="17"/>
  <c r="L3" i="32"/>
  <c r="L6" i="32"/>
  <c r="Z8" i="17"/>
  <c r="U50" i="17"/>
  <c r="I25" i="17"/>
  <c r="P6" i="17"/>
  <c r="Q6" i="17" s="1"/>
  <c r="P23" i="17"/>
  <c r="Q23" i="17" s="1"/>
  <c r="J50" i="17"/>
  <c r="I50" i="17"/>
  <c r="R50" i="17"/>
  <c r="I42" i="17"/>
  <c r="J42" i="17"/>
  <c r="I52" i="17"/>
  <c r="J52" i="17"/>
  <c r="R52" i="17"/>
  <c r="I51" i="17"/>
  <c r="J51" i="17"/>
  <c r="I53" i="17"/>
  <c r="J53" i="17"/>
  <c r="R53" i="17"/>
  <c r="Z44" i="17"/>
  <c r="L36" i="32"/>
  <c r="I10" i="17"/>
  <c r="U44" i="17"/>
  <c r="R10" i="17"/>
  <c r="Z59" i="17"/>
  <c r="Z55" i="17"/>
  <c r="Y32" i="17"/>
  <c r="R9" i="17"/>
  <c r="P50" i="17"/>
  <c r="Q50" i="17" s="1"/>
  <c r="J22" i="17"/>
  <c r="I57" i="17"/>
  <c r="L5" i="32"/>
  <c r="R33" i="17"/>
  <c r="Z20" i="17"/>
  <c r="Z16" i="17"/>
  <c r="R25" i="17"/>
  <c r="I9" i="17"/>
  <c r="L29" i="32"/>
  <c r="P30" i="17"/>
  <c r="Q30" i="17" s="1"/>
  <c r="P15" i="17"/>
  <c r="Q15" i="17" s="1"/>
  <c r="T10" i="17"/>
  <c r="V32" i="17"/>
  <c r="AK4" i="1"/>
  <c r="H2" i="48"/>
  <c r="H30" i="33"/>
  <c r="L30" i="33" s="1"/>
  <c r="H44" i="48"/>
  <c r="I44" i="48" s="1"/>
  <c r="M44" i="48" s="1"/>
  <c r="N41" i="48"/>
  <c r="T23" i="17"/>
  <c r="H35" i="48"/>
  <c r="I35" i="48" s="1"/>
  <c r="M35" i="48" s="1"/>
  <c r="N14" i="48"/>
  <c r="I29" i="33"/>
  <c r="M29" i="33" s="1"/>
  <c r="H3" i="48"/>
  <c r="I3" i="48" s="1"/>
  <c r="M3" i="48" s="1"/>
  <c r="L51" i="17"/>
  <c r="H24" i="48"/>
  <c r="I24" i="48" s="1"/>
  <c r="M24" i="48" s="1"/>
  <c r="H40" i="48"/>
  <c r="I40" i="48" s="1"/>
  <c r="M40" i="48" s="1"/>
  <c r="N22" i="48"/>
  <c r="N20" i="48"/>
  <c r="H23" i="48"/>
  <c r="I23" i="48" s="1"/>
  <c r="M23" i="48" s="1"/>
  <c r="H13" i="48"/>
  <c r="I13" i="48" s="1"/>
  <c r="M13" i="48" s="1"/>
  <c r="N42" i="48"/>
  <c r="N36" i="48"/>
  <c r="H43" i="48"/>
  <c r="I43" i="48" s="1"/>
  <c r="M43" i="48" s="1"/>
  <c r="N10" i="48"/>
  <c r="T30" i="17"/>
  <c r="N55" i="48"/>
  <c r="H47" i="48"/>
  <c r="I47" i="48" s="1"/>
  <c r="M47" i="48" s="1"/>
  <c r="H19" i="48"/>
  <c r="I19" i="48" s="1"/>
  <c r="M19" i="48" s="1"/>
  <c r="X24" i="17"/>
  <c r="H29" i="48"/>
  <c r="I29" i="48" s="1"/>
  <c r="M29" i="48" s="1"/>
  <c r="N57" i="48"/>
  <c r="N28" i="48"/>
  <c r="N25" i="48"/>
  <c r="H58" i="48"/>
  <c r="I58" i="48" s="1"/>
  <c r="M58" i="48" s="1"/>
  <c r="H37" i="48"/>
  <c r="I37" i="48" s="1"/>
  <c r="M37" i="48" s="1"/>
  <c r="I8" i="33"/>
  <c r="M8" i="33" s="1"/>
  <c r="U13" i="33"/>
  <c r="V13" i="33" s="1"/>
  <c r="AA13" i="33" s="1"/>
  <c r="AB13" i="33" s="1"/>
  <c r="H6" i="48"/>
  <c r="I6" i="48" s="1"/>
  <c r="M6" i="48" s="1"/>
  <c r="H12" i="48"/>
  <c r="I12" i="48" s="1"/>
  <c r="M12" i="48" s="1"/>
  <c r="N4" i="48"/>
  <c r="H27" i="48"/>
  <c r="I27" i="48" s="1"/>
  <c r="M27" i="48" s="1"/>
  <c r="H16" i="48"/>
  <c r="I16" i="48" s="1"/>
  <c r="M16" i="48" s="1"/>
  <c r="N46" i="48"/>
  <c r="Q32" i="17"/>
  <c r="X8" i="17"/>
  <c r="L55" i="17"/>
  <c r="N34" i="48"/>
  <c r="H25" i="33"/>
  <c r="L25" i="33" s="1"/>
  <c r="N32" i="48"/>
  <c r="N45" i="48"/>
  <c r="T50" i="17"/>
  <c r="H7" i="33"/>
  <c r="J7" i="33" s="1"/>
  <c r="N7" i="33" s="1"/>
  <c r="N56" i="48"/>
  <c r="N8" i="48"/>
  <c r="X15" i="17"/>
  <c r="L41" i="17"/>
  <c r="N59" i="48"/>
  <c r="H17" i="48"/>
  <c r="I17" i="48" s="1"/>
  <c r="M17" i="48" s="1"/>
  <c r="J13" i="33"/>
  <c r="N13" i="33" s="1"/>
  <c r="H38" i="48"/>
  <c r="I38" i="48" s="1"/>
  <c r="M38" i="48" s="1"/>
  <c r="H39" i="48"/>
  <c r="I39" i="48" s="1"/>
  <c r="M39" i="48" s="1"/>
  <c r="S24" i="17"/>
  <c r="H31" i="48"/>
  <c r="I31" i="48" s="1"/>
  <c r="M31" i="48" s="1"/>
  <c r="M13" i="33"/>
  <c r="L37" i="17"/>
  <c r="P18" i="17"/>
  <c r="Q18" i="17" s="1"/>
  <c r="T20" i="17"/>
  <c r="S20" i="17"/>
  <c r="X9" i="17"/>
  <c r="T14" i="17"/>
  <c r="Y26" i="17"/>
  <c r="N62" i="17"/>
  <c r="P7" i="17"/>
  <c r="Q7" i="17" s="1"/>
  <c r="P14" i="17"/>
  <c r="Q14" i="17" s="1"/>
  <c r="P28" i="17"/>
  <c r="Q28" i="17" s="1"/>
  <c r="P59" i="17"/>
  <c r="Q59" i="17" s="1"/>
  <c r="P58" i="17"/>
  <c r="Q58" i="17" s="1"/>
  <c r="P57" i="17"/>
  <c r="Q57" i="17" s="1"/>
  <c r="P22" i="17"/>
  <c r="Q22" i="17" s="1"/>
  <c r="P33" i="17"/>
  <c r="Q33" i="17" s="1"/>
  <c r="P13" i="17"/>
  <c r="Q13" i="17" s="1"/>
  <c r="P19" i="17"/>
  <c r="Q19" i="17" s="1"/>
  <c r="P52" i="17"/>
  <c r="Q52" i="17" s="1"/>
  <c r="P44" i="17"/>
  <c r="Q44" i="17" s="1"/>
  <c r="P40" i="17"/>
  <c r="Q40" i="17" s="1"/>
  <c r="R40" i="17"/>
  <c r="P51" i="17"/>
  <c r="Q51" i="17" s="1"/>
  <c r="R43" i="17"/>
  <c r="H28" i="33"/>
  <c r="J28" i="33" s="1"/>
  <c r="K28" i="33" s="1"/>
  <c r="O28" i="33" s="1"/>
  <c r="L5" i="17"/>
  <c r="L12" i="17"/>
  <c r="H12" i="33"/>
  <c r="L29" i="17"/>
  <c r="L40" i="17"/>
  <c r="L30" i="17"/>
  <c r="L52" i="17"/>
  <c r="L43" i="17"/>
  <c r="L58" i="17"/>
  <c r="L44" i="17"/>
  <c r="L13" i="17"/>
  <c r="L59" i="17"/>
  <c r="L19" i="17"/>
  <c r="T6" i="17"/>
  <c r="T34" i="17"/>
  <c r="S60" i="17"/>
  <c r="X60" i="17"/>
  <c r="S23" i="17"/>
  <c r="S51" i="17"/>
  <c r="S7" i="17"/>
  <c r="S10" i="17"/>
  <c r="S36" i="17"/>
  <c r="S34" i="17"/>
  <c r="T24" i="17"/>
  <c r="S8" i="17"/>
  <c r="S30" i="17"/>
  <c r="X42" i="17"/>
  <c r="T21" i="17"/>
  <c r="S9" i="17"/>
  <c r="X36" i="17"/>
  <c r="T9" i="17"/>
  <c r="T51" i="17"/>
  <c r="X21" i="17"/>
  <c r="X19" i="17"/>
  <c r="T37" i="17"/>
  <c r="X51" i="17"/>
  <c r="T59" i="17"/>
  <c r="T7" i="17"/>
  <c r="X38" i="17"/>
  <c r="X35" i="17"/>
  <c r="S35" i="17"/>
  <c r="X57" i="17"/>
  <c r="S43" i="17"/>
  <c r="X58" i="17"/>
  <c r="T42" i="17"/>
  <c r="T8" i="17"/>
  <c r="X6" i="17"/>
  <c r="X30" i="17"/>
  <c r="T41" i="17"/>
  <c r="S52" i="17"/>
  <c r="X44" i="17"/>
  <c r="R60" i="17"/>
  <c r="J60" i="17"/>
  <c r="I60" i="17"/>
  <c r="U21" i="17"/>
  <c r="Z21" i="17"/>
  <c r="J21" i="17"/>
  <c r="I21" i="17"/>
  <c r="M62" i="17"/>
  <c r="H11" i="33"/>
  <c r="G6" i="17"/>
  <c r="P35" i="17"/>
  <c r="Q35" i="17" s="1"/>
  <c r="U33" i="17"/>
  <c r="Z58" i="17"/>
  <c r="R19" i="17"/>
  <c r="I19" i="17"/>
  <c r="T11" i="17"/>
  <c r="S29" i="17"/>
  <c r="X12" i="17"/>
  <c r="T33" i="17"/>
  <c r="H24" i="33"/>
  <c r="X52" i="17"/>
  <c r="Z36" i="17"/>
  <c r="U36" i="17"/>
  <c r="P8" i="17"/>
  <c r="Q8" i="17" s="1"/>
  <c r="H6" i="33"/>
  <c r="L50" i="17"/>
  <c r="X10" i="17"/>
  <c r="S55" i="17"/>
  <c r="P55" i="17"/>
  <c r="Q55" i="17" s="1"/>
  <c r="S42" i="17"/>
  <c r="P42" i="17"/>
  <c r="Q42" i="17" s="1"/>
  <c r="S16" i="17"/>
  <c r="X16" i="17"/>
  <c r="T55" i="17"/>
  <c r="X55" i="17"/>
  <c r="P29" i="17"/>
  <c r="Q29" i="17" s="1"/>
  <c r="H16" i="33"/>
  <c r="H19" i="33"/>
  <c r="U18" i="17"/>
  <c r="Z18" i="17"/>
  <c r="H18" i="33"/>
  <c r="R42" i="17"/>
  <c r="R28" i="17"/>
  <c r="S57" i="17"/>
  <c r="P37" i="17"/>
  <c r="Q37" i="17" s="1"/>
  <c r="L33" i="17"/>
  <c r="X7" i="17"/>
  <c r="P17" i="17"/>
  <c r="Q17" i="17" s="1"/>
  <c r="H31" i="33"/>
  <c r="L22" i="17"/>
  <c r="I20" i="17"/>
  <c r="R20" i="17"/>
  <c r="J20" i="17"/>
  <c r="H23" i="33"/>
  <c r="R51" i="17"/>
  <c r="T60" i="17"/>
  <c r="P21" i="17"/>
  <c r="Q21" i="17" s="1"/>
  <c r="L17" i="17"/>
  <c r="H17" i="33"/>
  <c r="Z57" i="17"/>
  <c r="U57" i="17"/>
  <c r="S19" i="17"/>
  <c r="Z37" i="17"/>
  <c r="U37" i="17"/>
  <c r="X13" i="17"/>
  <c r="L21" i="17"/>
  <c r="P38" i="17"/>
  <c r="Q38" i="17" s="1"/>
  <c r="H8" i="33"/>
  <c r="L8" i="33" s="1"/>
  <c r="E62" i="17"/>
  <c r="I23" i="17"/>
  <c r="J23" i="17"/>
  <c r="S31" i="17"/>
  <c r="M30" i="33"/>
  <c r="S41" i="17"/>
  <c r="U41" i="17"/>
  <c r="Z41" i="17"/>
  <c r="Z43" i="17"/>
  <c r="U43" i="17"/>
  <c r="L42" i="17"/>
  <c r="U22" i="17"/>
  <c r="Z22" i="17"/>
  <c r="T57" i="17"/>
  <c r="R57" i="17"/>
  <c r="U25" i="17"/>
  <c r="Z25" i="17"/>
  <c r="J41" i="17"/>
  <c r="I41" i="17"/>
  <c r="J43" i="17"/>
  <c r="I6" i="33"/>
  <c r="M6" i="33" s="1"/>
  <c r="J59" i="17"/>
  <c r="R59" i="17"/>
  <c r="I59" i="17"/>
  <c r="T16" i="17"/>
  <c r="R22" i="17"/>
  <c r="S11" i="17"/>
  <c r="P12" i="17"/>
  <c r="Q12" i="17" s="1"/>
  <c r="S12" i="17"/>
  <c r="X34" i="17"/>
  <c r="T31" i="17"/>
  <c r="U56" i="17"/>
  <c r="Z56" i="17"/>
  <c r="L31" i="17"/>
  <c r="J61" i="17"/>
  <c r="R21" i="17"/>
  <c r="W25" i="17"/>
  <c r="S6" i="17"/>
  <c r="P5" i="17"/>
  <c r="Q5" i="17" s="1"/>
  <c r="G56" i="17"/>
  <c r="I33" i="17"/>
  <c r="I40" i="17"/>
  <c r="U40" i="17"/>
  <c r="Z40" i="17"/>
  <c r="X29" i="17"/>
  <c r="T35" i="17"/>
  <c r="U6" i="17"/>
  <c r="U27" i="17"/>
  <c r="J58" i="17"/>
  <c r="T13" i="17"/>
  <c r="X31" i="17"/>
  <c r="T15" i="17"/>
  <c r="S59" i="17"/>
  <c r="S40" i="17"/>
  <c r="S50" i="17"/>
  <c r="T43" i="17"/>
  <c r="P31" i="17"/>
  <c r="Q31" i="17" s="1"/>
  <c r="X14" i="17"/>
  <c r="X28" i="17"/>
  <c r="T28" i="17"/>
  <c r="P16" i="17"/>
  <c r="Q16" i="17" s="1"/>
  <c r="P10" i="17"/>
  <c r="Q10" i="17" s="1"/>
  <c r="X5" i="17"/>
  <c r="S38" i="17"/>
  <c r="X22" i="17"/>
  <c r="X33" i="17"/>
  <c r="S21" i="17"/>
  <c r="T19" i="17"/>
  <c r="T12" i="17"/>
  <c r="T44" i="17"/>
  <c r="S22" i="17"/>
  <c r="T38" i="17"/>
  <c r="S15" i="17"/>
  <c r="X43" i="17"/>
  <c r="T29" i="17"/>
  <c r="S58" i="17"/>
  <c r="X37" i="17"/>
  <c r="S37" i="17"/>
  <c r="X59" i="17"/>
  <c r="T58" i="17"/>
  <c r="T22" i="17"/>
  <c r="S5" i="17"/>
  <c r="X50" i="17"/>
  <c r="S13" i="17"/>
  <c r="X11" i="17"/>
  <c r="T40" i="17"/>
  <c r="T5" i="17"/>
  <c r="X40" i="17"/>
  <c r="S44" i="17"/>
  <c r="S33" i="17"/>
  <c r="S14" i="17"/>
  <c r="X41" i="17"/>
  <c r="S28" i="17"/>
  <c r="T52" i="17"/>
  <c r="V25" i="17"/>
  <c r="W26" i="17"/>
  <c r="R26" i="17"/>
  <c r="I8" i="17"/>
  <c r="R8" i="17"/>
  <c r="J8" i="17"/>
  <c r="Z61" i="17"/>
  <c r="U61" i="17"/>
  <c r="R14" i="17"/>
  <c r="J14" i="17"/>
  <c r="Y25" i="17"/>
  <c r="I26" i="17"/>
  <c r="U12" i="17"/>
  <c r="R16" i="17"/>
  <c r="U28" i="17"/>
  <c r="Z38" i="17"/>
  <c r="U38" i="17"/>
  <c r="U23" i="17"/>
  <c r="R23" i="17"/>
  <c r="O62" i="17"/>
  <c r="G7" i="17"/>
  <c r="J30" i="17"/>
  <c r="I30" i="17"/>
  <c r="G31" i="17"/>
  <c r="I12" i="17"/>
  <c r="J12" i="17"/>
  <c r="U15" i="17"/>
  <c r="Z15" i="17"/>
  <c r="G27" i="17"/>
  <c r="V27" i="17"/>
  <c r="W27" i="17"/>
  <c r="R13" i="17"/>
  <c r="I13" i="17"/>
  <c r="G37" i="17"/>
  <c r="V26" i="17"/>
  <c r="Z11" i="17"/>
  <c r="R29" i="17"/>
  <c r="J29" i="17"/>
  <c r="R58" i="17"/>
  <c r="J13" i="17"/>
  <c r="R30" i="17"/>
  <c r="K62" i="17"/>
  <c r="U62" i="17" s="1"/>
  <c r="J28" i="17"/>
  <c r="I29" i="17"/>
  <c r="Z9" i="17"/>
  <c r="U9" i="17"/>
  <c r="U17" i="17"/>
  <c r="Z17" i="17"/>
  <c r="R36" i="17"/>
  <c r="I36" i="17"/>
  <c r="G15" i="17"/>
  <c r="G24" i="17"/>
  <c r="G18" i="17"/>
  <c r="J16" i="17"/>
  <c r="I11" i="17"/>
  <c r="R11" i="17"/>
  <c r="G32" i="17"/>
  <c r="W32" i="17"/>
  <c r="R17" i="17"/>
  <c r="J17" i="17"/>
  <c r="I5" i="17"/>
  <c r="J5" i="17"/>
  <c r="R5" i="17"/>
  <c r="U26" i="17"/>
  <c r="Z26" i="17"/>
  <c r="R61" i="17"/>
  <c r="J38" i="17"/>
  <c r="R38" i="17"/>
  <c r="F7" i="20"/>
  <c r="F8" i="20"/>
  <c r="T12" i="33" l="1"/>
  <c r="X12" i="33" s="1"/>
  <c r="W39" i="17"/>
  <c r="V54" i="17"/>
  <c r="Y46" i="17"/>
  <c r="Y47" i="17"/>
  <c r="W49" i="17"/>
  <c r="Y48" i="17"/>
  <c r="V45" i="17"/>
  <c r="W54" i="17"/>
  <c r="Y54" i="17"/>
  <c r="V47" i="17"/>
  <c r="Y49" i="17"/>
  <c r="V49" i="17"/>
  <c r="V48" i="17"/>
  <c r="W48" i="17"/>
  <c r="W47" i="17"/>
  <c r="V46" i="17"/>
  <c r="W46" i="17"/>
  <c r="W45" i="17"/>
  <c r="Y45" i="17"/>
  <c r="V39" i="17"/>
  <c r="Y39" i="17"/>
  <c r="X610" i="1"/>
  <c r="I2" i="48"/>
  <c r="H61" i="48"/>
  <c r="L6" i="17"/>
  <c r="L62" i="17" s="1"/>
  <c r="W18" i="17"/>
  <c r="Y17" i="17"/>
  <c r="Y18" i="17"/>
  <c r="W17" i="17"/>
  <c r="J11" i="33"/>
  <c r="N11" i="33" s="1"/>
  <c r="T31" i="33"/>
  <c r="X31" i="33" s="1"/>
  <c r="T11" i="33"/>
  <c r="X11" i="33" s="1"/>
  <c r="W53" i="17"/>
  <c r="W56" i="17"/>
  <c r="V56" i="17"/>
  <c r="Y56" i="17"/>
  <c r="V53" i="17"/>
  <c r="Y53" i="17"/>
  <c r="W61" i="17"/>
  <c r="Y61" i="17"/>
  <c r="V61" i="17"/>
  <c r="S22" i="33"/>
  <c r="W22" i="33" s="1"/>
  <c r="V36" i="17"/>
  <c r="J22" i="33"/>
  <c r="N22" i="33" s="1"/>
  <c r="S30" i="33"/>
  <c r="U30" i="33" s="1"/>
  <c r="Y30" i="33" s="1"/>
  <c r="J30" i="33"/>
  <c r="K30" i="33" s="1"/>
  <c r="L39" i="32"/>
  <c r="V30" i="17"/>
  <c r="Y10" i="17"/>
  <c r="V23" i="17"/>
  <c r="W52" i="17"/>
  <c r="V20" i="17"/>
  <c r="K13" i="33"/>
  <c r="P13" i="33" s="1"/>
  <c r="Q13" i="33" s="1"/>
  <c r="J29" i="33"/>
  <c r="K29" i="33" s="1"/>
  <c r="T8" i="33"/>
  <c r="X8" i="33" s="1"/>
  <c r="Y30" i="17"/>
  <c r="W8" i="17"/>
  <c r="L7" i="33"/>
  <c r="T29" i="33"/>
  <c r="X29" i="33" s="1"/>
  <c r="N28" i="33"/>
  <c r="V34" i="17"/>
  <c r="Y24" i="17"/>
  <c r="K7" i="33"/>
  <c r="Y36" i="17"/>
  <c r="J25" i="33"/>
  <c r="N25" i="33" s="1"/>
  <c r="Y20" i="17"/>
  <c r="Z13" i="33"/>
  <c r="Y13" i="33"/>
  <c r="S16" i="33"/>
  <c r="W16" i="33" s="1"/>
  <c r="S11" i="33"/>
  <c r="V9" i="17"/>
  <c r="S24" i="33"/>
  <c r="U24" i="33" s="1"/>
  <c r="V50" i="17"/>
  <c r="W16" i="17"/>
  <c r="S17" i="33"/>
  <c r="U17" i="33" s="1"/>
  <c r="Y17" i="33" s="1"/>
  <c r="W42" i="17"/>
  <c r="S25" i="33"/>
  <c r="W25" i="33" s="1"/>
  <c r="V18" i="17"/>
  <c r="P28" i="33"/>
  <c r="Q28" i="33" s="1"/>
  <c r="W20" i="17"/>
  <c r="Y8" i="17"/>
  <c r="V24" i="17"/>
  <c r="L28" i="33"/>
  <c r="J8" i="33"/>
  <c r="K8" i="33" s="1"/>
  <c r="W24" i="17"/>
  <c r="Y7" i="17"/>
  <c r="V60" i="17"/>
  <c r="W10" i="17"/>
  <c r="S19" i="33"/>
  <c r="W19" i="33" s="1"/>
  <c r="W36" i="17"/>
  <c r="S31" i="33"/>
  <c r="Y43" i="17"/>
  <c r="Y34" i="17"/>
  <c r="W34" i="17"/>
  <c r="Y51" i="17"/>
  <c r="Y23" i="17"/>
  <c r="Y28" i="17"/>
  <c r="W23" i="17"/>
  <c r="W60" i="17"/>
  <c r="V6" i="17"/>
  <c r="Y60" i="17"/>
  <c r="S7" i="33"/>
  <c r="U7" i="33" s="1"/>
  <c r="S23" i="33"/>
  <c r="W23" i="33" s="1"/>
  <c r="S18" i="33"/>
  <c r="U18" i="33" s="1"/>
  <c r="S6" i="33"/>
  <c r="W6" i="33" s="1"/>
  <c r="S8" i="33"/>
  <c r="W8" i="33" s="1"/>
  <c r="T6" i="33"/>
  <c r="X6" i="33" s="1"/>
  <c r="S12" i="33"/>
  <c r="L12" i="33"/>
  <c r="J12" i="33"/>
  <c r="Y40" i="17"/>
  <c r="W31" i="17"/>
  <c r="Y21" i="17"/>
  <c r="V15" i="17"/>
  <c r="V51" i="17"/>
  <c r="W30" i="17"/>
  <c r="W59" i="17"/>
  <c r="W9" i="17"/>
  <c r="Y9" i="17"/>
  <c r="V42" i="17"/>
  <c r="W13" i="17"/>
  <c r="V11" i="17"/>
  <c r="Y41" i="17"/>
  <c r="W7" i="17"/>
  <c r="W35" i="17"/>
  <c r="V57" i="17"/>
  <c r="W55" i="17"/>
  <c r="Y33" i="17"/>
  <c r="W51" i="17"/>
  <c r="V7" i="17"/>
  <c r="V38" i="17"/>
  <c r="Y57" i="17"/>
  <c r="W29" i="17"/>
  <c r="W6" i="17"/>
  <c r="Y19" i="17"/>
  <c r="Y6" i="17"/>
  <c r="V41" i="17"/>
  <c r="W41" i="17"/>
  <c r="V55" i="17"/>
  <c r="W40" i="17"/>
  <c r="W38" i="17"/>
  <c r="W57" i="17"/>
  <c r="Y16" i="17"/>
  <c r="Y31" i="17"/>
  <c r="Y11" i="17"/>
  <c r="V59" i="17"/>
  <c r="Y59" i="17"/>
  <c r="Y42" i="17"/>
  <c r="V21" i="17"/>
  <c r="Y38" i="17"/>
  <c r="R6" i="17"/>
  <c r="J6" i="17"/>
  <c r="I6" i="17"/>
  <c r="V8" i="17"/>
  <c r="W19" i="17"/>
  <c r="V31" i="17"/>
  <c r="J18" i="33"/>
  <c r="L18" i="33"/>
  <c r="V17" i="17"/>
  <c r="W43" i="17"/>
  <c r="Y50" i="17"/>
  <c r="Q62" i="17"/>
  <c r="V37" i="17"/>
  <c r="V40" i="17"/>
  <c r="L19" i="33"/>
  <c r="J19" i="33"/>
  <c r="L6" i="33"/>
  <c r="J6" i="33"/>
  <c r="W50" i="17"/>
  <c r="J23" i="33"/>
  <c r="L23" i="33"/>
  <c r="W33" i="17"/>
  <c r="P62" i="17"/>
  <c r="X62" i="17"/>
  <c r="L16" i="33"/>
  <c r="J16" i="33"/>
  <c r="V33" i="17"/>
  <c r="J17" i="33"/>
  <c r="L17" i="33"/>
  <c r="V43" i="17"/>
  <c r="L24" i="33"/>
  <c r="J24" i="33"/>
  <c r="J31" i="33"/>
  <c r="L31" i="33"/>
  <c r="R56" i="17"/>
  <c r="J56" i="17"/>
  <c r="I56" i="17"/>
  <c r="W11" i="17"/>
  <c r="V16" i="17"/>
  <c r="V35" i="17"/>
  <c r="S28" i="33"/>
  <c r="Y55" i="17"/>
  <c r="V13" i="17"/>
  <c r="L11" i="33"/>
  <c r="V10" i="17"/>
  <c r="V19" i="17"/>
  <c r="V12" i="17"/>
  <c r="Y13" i="17"/>
  <c r="W21" i="17"/>
  <c r="Y35" i="17"/>
  <c r="Y52" i="17"/>
  <c r="V58" i="17"/>
  <c r="W58" i="17"/>
  <c r="Y58" i="17"/>
  <c r="V52" i="17"/>
  <c r="V14" i="17"/>
  <c r="Y14" i="17"/>
  <c r="W14" i="17"/>
  <c r="Y12" i="17"/>
  <c r="W12" i="17"/>
  <c r="Y37" i="17"/>
  <c r="W37" i="17"/>
  <c r="Y44" i="17"/>
  <c r="W44" i="17"/>
  <c r="Y15" i="17"/>
  <c r="W15" i="17"/>
  <c r="T62" i="17"/>
  <c r="V29" i="17"/>
  <c r="V28" i="17"/>
  <c r="W28" i="17"/>
  <c r="V44" i="17"/>
  <c r="V22" i="17"/>
  <c r="W22" i="17"/>
  <c r="Y22" i="17"/>
  <c r="Y29" i="17"/>
  <c r="W5" i="17"/>
  <c r="Y5" i="17"/>
  <c r="V5" i="17"/>
  <c r="S62" i="17"/>
  <c r="R37" i="17"/>
  <c r="I37" i="17"/>
  <c r="J37" i="17"/>
  <c r="I18" i="17"/>
  <c r="J18" i="17"/>
  <c r="R18" i="17"/>
  <c r="J15" i="17"/>
  <c r="I15" i="17"/>
  <c r="R15" i="17"/>
  <c r="Z62" i="17"/>
  <c r="I31" i="17"/>
  <c r="R31" i="17"/>
  <c r="J31" i="17"/>
  <c r="J32" i="17"/>
  <c r="I32" i="17"/>
  <c r="R32" i="17"/>
  <c r="J24" i="17"/>
  <c r="R24" i="17"/>
  <c r="I24" i="17"/>
  <c r="R27" i="17"/>
  <c r="I27" i="17"/>
  <c r="J27" i="17"/>
  <c r="I7" i="17"/>
  <c r="J7" i="17"/>
  <c r="R7" i="17"/>
  <c r="G62" i="17"/>
  <c r="J62" i="17" s="1"/>
  <c r="W62" i="17" s="1"/>
  <c r="U12" i="33" l="1"/>
  <c r="V12" i="33" s="1"/>
  <c r="Z12" i="33" s="1"/>
  <c r="M2" i="48"/>
  <c r="I61" i="48"/>
  <c r="K11" i="33"/>
  <c r="P11" i="33" s="1"/>
  <c r="Q11" i="33" s="1"/>
  <c r="U11" i="33"/>
  <c r="Y11" i="33" s="1"/>
  <c r="U31" i="33"/>
  <c r="V31" i="33" s="1"/>
  <c r="U29" i="33"/>
  <c r="Y29" i="33" s="1"/>
  <c r="U22" i="33"/>
  <c r="V22" i="33" s="1"/>
  <c r="Z22" i="33" s="1"/>
  <c r="K22" i="33"/>
  <c r="O22" i="33" s="1"/>
  <c r="N29" i="33"/>
  <c r="W30" i="33"/>
  <c r="V30" i="33"/>
  <c r="Z30" i="33" s="1"/>
  <c r="N30" i="33"/>
  <c r="O13" i="33"/>
  <c r="U8" i="33"/>
  <c r="Y8" i="33" s="1"/>
  <c r="W11" i="33"/>
  <c r="P7" i="33"/>
  <c r="Q7" i="33" s="1"/>
  <c r="O7" i="33"/>
  <c r="U16" i="33"/>
  <c r="V16" i="33" s="1"/>
  <c r="W7" i="33"/>
  <c r="U25" i="33"/>
  <c r="V25" i="33" s="1"/>
  <c r="K25" i="33"/>
  <c r="O25" i="33" s="1"/>
  <c r="U23" i="33"/>
  <c r="Y23" i="33" s="1"/>
  <c r="W31" i="33"/>
  <c r="U19" i="33"/>
  <c r="Y19" i="33" s="1"/>
  <c r="N8" i="33"/>
  <c r="W17" i="33"/>
  <c r="U6" i="33"/>
  <c r="V6" i="33" s="1"/>
  <c r="Z6" i="33" s="1"/>
  <c r="W24" i="33"/>
  <c r="V17" i="33"/>
  <c r="AA17" i="33" s="1"/>
  <c r="AB17" i="33" s="1"/>
  <c r="W12" i="33"/>
  <c r="W18" i="33"/>
  <c r="N12" i="33"/>
  <c r="K12" i="33"/>
  <c r="K23" i="33"/>
  <c r="N23" i="33"/>
  <c r="K31" i="33"/>
  <c r="N31" i="33"/>
  <c r="K24" i="33"/>
  <c r="N24" i="33"/>
  <c r="P30" i="33"/>
  <c r="Q30" i="33" s="1"/>
  <c r="O30" i="33"/>
  <c r="K6" i="33"/>
  <c r="N6" i="33"/>
  <c r="R62" i="17"/>
  <c r="O29" i="33"/>
  <c r="P29" i="33"/>
  <c r="Q29" i="33" s="1"/>
  <c r="I62" i="17"/>
  <c r="V62" i="17" s="1"/>
  <c r="N17" i="33"/>
  <c r="K17" i="33"/>
  <c r="N16" i="33"/>
  <c r="K16" i="33"/>
  <c r="K19" i="33"/>
  <c r="N19" i="33"/>
  <c r="N18" i="33"/>
  <c r="K18" i="33"/>
  <c r="U28" i="33"/>
  <c r="W28" i="33"/>
  <c r="Y62" i="17"/>
  <c r="Y24" i="33"/>
  <c r="V24" i="33"/>
  <c r="V18" i="33"/>
  <c r="Y18" i="33"/>
  <c r="Y7" i="33"/>
  <c r="V7" i="33"/>
  <c r="O8" i="33"/>
  <c r="P8" i="33"/>
  <c r="Q8" i="33" s="1"/>
  <c r="Y12" i="33" l="1"/>
  <c r="AA12" i="33"/>
  <c r="AB12" i="33" s="1"/>
  <c r="O11" i="33"/>
  <c r="V11" i="33"/>
  <c r="AA11" i="33" s="1"/>
  <c r="AB11" i="33" s="1"/>
  <c r="Y31" i="33"/>
  <c r="P25" i="33"/>
  <c r="Q25" i="33" s="1"/>
  <c r="AA22" i="33"/>
  <c r="AB22" i="33" s="1"/>
  <c r="Y22" i="33"/>
  <c r="V29" i="33"/>
  <c r="Z29" i="33" s="1"/>
  <c r="V23" i="33"/>
  <c r="Z23" i="33" s="1"/>
  <c r="AA30" i="33"/>
  <c r="AB30" i="33" s="1"/>
  <c r="P22" i="33"/>
  <c r="Q22" i="33" s="1"/>
  <c r="Y6" i="33"/>
  <c r="V19" i="33"/>
  <c r="Z19" i="33" s="1"/>
  <c r="Y16" i="33"/>
  <c r="Y25" i="33"/>
  <c r="Z17" i="33"/>
  <c r="AA6" i="33"/>
  <c r="AB6" i="33" s="1"/>
  <c r="V8" i="33"/>
  <c r="Z8" i="33" s="1"/>
  <c r="P12" i="33"/>
  <c r="Q12" i="33" s="1"/>
  <c r="O12" i="33"/>
  <c r="P16" i="33"/>
  <c r="Q16" i="33" s="1"/>
  <c r="O16" i="33"/>
  <c r="P17" i="33"/>
  <c r="Q17" i="33" s="1"/>
  <c r="O17" i="33"/>
  <c r="Y28" i="33"/>
  <c r="V28" i="33"/>
  <c r="O6" i="33"/>
  <c r="P6" i="33"/>
  <c r="Q6" i="33" s="1"/>
  <c r="O24" i="33"/>
  <c r="P24" i="33"/>
  <c r="Q24" i="33" s="1"/>
  <c r="Z31" i="33"/>
  <c r="AA31" i="33"/>
  <c r="AB31" i="33" s="1"/>
  <c r="O18" i="33"/>
  <c r="P18" i="33"/>
  <c r="Q18" i="33" s="1"/>
  <c r="O31" i="33"/>
  <c r="P31" i="33"/>
  <c r="Q31" i="33" s="1"/>
  <c r="O19" i="33"/>
  <c r="P19" i="33"/>
  <c r="Q19" i="33" s="1"/>
  <c r="P23" i="33"/>
  <c r="Q23" i="33" s="1"/>
  <c r="O23" i="33"/>
  <c r="Z25" i="33"/>
  <c r="AA25" i="33"/>
  <c r="AB25" i="33" s="1"/>
  <c r="Z24" i="33"/>
  <c r="AA24" i="33"/>
  <c r="AB24" i="33" s="1"/>
  <c r="AA16" i="33"/>
  <c r="AB16" i="33" s="1"/>
  <c r="Z16" i="33"/>
  <c r="Z7" i="33"/>
  <c r="AA7" i="33"/>
  <c r="AB7" i="33" s="1"/>
  <c r="AA18" i="33"/>
  <c r="AB18" i="33" s="1"/>
  <c r="Z18" i="33"/>
  <c r="Z11" i="33" l="1"/>
  <c r="AA23" i="33"/>
  <c r="AB23" i="33" s="1"/>
  <c r="AA29" i="33"/>
  <c r="AB29" i="33" s="1"/>
  <c r="AA19" i="33"/>
  <c r="AB19" i="33" s="1"/>
  <c r="AA8" i="33"/>
  <c r="AB8" i="33" s="1"/>
  <c r="AA28" i="33"/>
  <c r="AB28" i="33" s="1"/>
  <c r="Z28" i="33"/>
</calcChain>
</file>

<file path=xl/sharedStrings.xml><?xml version="1.0" encoding="utf-8"?>
<sst xmlns="http://schemas.openxmlformats.org/spreadsheetml/2006/main" count="7090" uniqueCount="805">
  <si>
    <t>Sum of Quotas</t>
  </si>
  <si>
    <t>Sum of Graduates</t>
  </si>
  <si>
    <t>Sum of Fail</t>
  </si>
  <si>
    <t>Sum of No Shows</t>
  </si>
  <si>
    <t>1. Click ^^^</t>
  </si>
  <si>
    <t>Grads+Fails</t>
  </si>
  <si>
    <t>Grads+Fails+NoShows</t>
  </si>
  <si>
    <t>***Based off file received 22 May 3:39 PM***</t>
  </si>
  <si>
    <t>Course</t>
  </si>
  <si>
    <t>Dept</t>
  </si>
  <si>
    <t>Format</t>
  </si>
  <si>
    <t>CIN</t>
  </si>
  <si>
    <t>CDP</t>
  </si>
  <si>
    <t>FY25 FLT Quota Need</t>
  </si>
  <si>
    <t>Quota Per Course</t>
  </si>
  <si>
    <t>FY25 Courses Needed</t>
  </si>
  <si>
    <t>FY25Courses Needed Round Up</t>
  </si>
  <si>
    <t>NSETC Course # projections</t>
  </si>
  <si>
    <t>NSETC Course # Planned</t>
  </si>
  <si>
    <t>Hours per course</t>
  </si>
  <si>
    <t>Total hours for FY25 to instruct course</t>
  </si>
  <si>
    <t>NSETC FLT Needs deficit</t>
  </si>
  <si>
    <t>NSETC % towards fleet need</t>
  </si>
  <si>
    <t xml:space="preserve">Afloat Environmental Protection Coordinator (Global Online) </t>
  </si>
  <si>
    <t>ENV</t>
  </si>
  <si>
    <t>Global Online</t>
  </si>
  <si>
    <t>A-4J-0022</t>
  </si>
  <si>
    <t>09ER</t>
  </si>
  <si>
    <t>Asbestos Inspector Initial</t>
  </si>
  <si>
    <t>OH</t>
  </si>
  <si>
    <t>Resident</t>
  </si>
  <si>
    <t>A-493-0014</t>
  </si>
  <si>
    <t>Asbestos Inspector Refresher</t>
  </si>
  <si>
    <t>A-493-0015</t>
  </si>
  <si>
    <t>Asbestos Management Planner Initial</t>
  </si>
  <si>
    <t>A-493-0019</t>
  </si>
  <si>
    <t>Asbestos Management Planner Refresher</t>
  </si>
  <si>
    <t>A-493-0020</t>
  </si>
  <si>
    <t>Asbestos Supervisor Initial</t>
  </si>
  <si>
    <t>A-493-0069</t>
  </si>
  <si>
    <t>450U</t>
  </si>
  <si>
    <t>Asbestos Supervisor Refresher</t>
  </si>
  <si>
    <t>A-493-0070</t>
  </si>
  <si>
    <t>450V</t>
  </si>
  <si>
    <t xml:space="preserve">Aviation Safety Specialist (Global Online) </t>
  </si>
  <si>
    <t>FLT</t>
  </si>
  <si>
    <t>A-493-0665</t>
  </si>
  <si>
    <t>10KW</t>
  </si>
  <si>
    <t>Competent Person for Fall Protection Course (Resident)</t>
  </si>
  <si>
    <t>SAF</t>
  </si>
  <si>
    <t>A-493-0103</t>
  </si>
  <si>
    <t>12JY</t>
  </si>
  <si>
    <t>Confined Space Safety</t>
  </si>
  <si>
    <t>A-493-0030</t>
  </si>
  <si>
    <t>286X</t>
  </si>
  <si>
    <t>Construction Safety Standards</t>
  </si>
  <si>
    <t>A-493-0021</t>
  </si>
  <si>
    <t>18BN</t>
  </si>
  <si>
    <t>Emergency Asbestos Response Team</t>
  </si>
  <si>
    <t>A-760-2166</t>
  </si>
  <si>
    <t>438J</t>
  </si>
  <si>
    <t>Facility Response Team (FRT) Five Day</t>
  </si>
  <si>
    <t>A-493-0012</t>
  </si>
  <si>
    <t>Facility Response Team (FRT) Three Day</t>
  </si>
  <si>
    <t>A-493-0013</t>
  </si>
  <si>
    <t>Fall Protection Program Manager Course (Global Online)</t>
  </si>
  <si>
    <t>A-493-0099</t>
  </si>
  <si>
    <t>12JW</t>
  </si>
  <si>
    <t>Fire Protection and Life Safety</t>
  </si>
  <si>
    <t>A-493-0075</t>
  </si>
  <si>
    <t>714U</t>
  </si>
  <si>
    <t xml:space="preserve">General Industry Safety Standards (Global Online) </t>
  </si>
  <si>
    <t>A-493-0061</t>
  </si>
  <si>
    <t>288E</t>
  </si>
  <si>
    <t>Hazardous Material Control and Management [HMC&amp;M] Technician (Global Online)</t>
  </si>
  <si>
    <t>A-322-2604</t>
  </si>
  <si>
    <t>10ZZ</t>
  </si>
  <si>
    <t>Hazardous Substance Incident Response Management (HSIRM)</t>
  </si>
  <si>
    <t>A-493-0077</t>
  </si>
  <si>
    <t>0381</t>
  </si>
  <si>
    <t>Hazardous Substance Incident Response Management (HSIRM) Refresher</t>
  </si>
  <si>
    <t>A-493-0083</t>
  </si>
  <si>
    <t>339E</t>
  </si>
  <si>
    <t>Incident Command System 300 (ICS 300)</t>
  </si>
  <si>
    <t>A-493-2300</t>
  </si>
  <si>
    <t>993F</t>
  </si>
  <si>
    <t>Incident Command System 300 (ICS 300) Refresher</t>
  </si>
  <si>
    <t>A-493-2301</t>
  </si>
  <si>
    <t>05ZD</t>
  </si>
  <si>
    <t>Incident Command System 400 (ICS 400)</t>
  </si>
  <si>
    <t>A-493-0216</t>
  </si>
  <si>
    <t>12X8</t>
  </si>
  <si>
    <t>Industrial Noise</t>
  </si>
  <si>
    <t>A-493-0092</t>
  </si>
  <si>
    <t xml:space="preserve">Introduction to Hazardous Materials [Ashore] (Global Online) </t>
  </si>
  <si>
    <t>A-493-0331</t>
  </si>
  <si>
    <t>10UG</t>
  </si>
  <si>
    <t xml:space="preserve">Introduction to Industrial Hygiene for Safety Professionals (Global Online) </t>
  </si>
  <si>
    <t>A-493-0335</t>
  </si>
  <si>
    <t>09ND</t>
  </si>
  <si>
    <t xml:space="preserve">Introduction to Naval Safety and Occupational Health (Global Online) </t>
  </si>
  <si>
    <t>A-493-0550</t>
  </si>
  <si>
    <t>09K5</t>
  </si>
  <si>
    <t xml:space="preserve">Machinery and Machine Guarding Standards (Global Online) </t>
  </si>
  <si>
    <t>A-493-0073</t>
  </si>
  <si>
    <t>714S</t>
  </si>
  <si>
    <t xml:space="preserve">Mishap Investigation (Global Online) </t>
  </si>
  <si>
    <t>A-493-0078</t>
  </si>
  <si>
    <t>Navy Ergonomics Program (Global Online)</t>
  </si>
  <si>
    <t>A-493-0085</t>
  </si>
  <si>
    <t>Oil Hazardous Substance Spill Response Tabletop Exercise (OHS TTX)</t>
  </si>
  <si>
    <t>A-493-2501</t>
  </si>
  <si>
    <t>05ZE</t>
  </si>
  <si>
    <t>Operational Risk Management Application &amp; Integration (Global Online)</t>
  </si>
  <si>
    <t>A-570-0100</t>
  </si>
  <si>
    <t>18B7</t>
  </si>
  <si>
    <t>Respiratory Protection Program Management</t>
  </si>
  <si>
    <t>A-493-0072</t>
  </si>
  <si>
    <t>713U</t>
  </si>
  <si>
    <t xml:space="preserve">Safety Programs Afloat (Global Online) </t>
  </si>
  <si>
    <t>A-493-2098</t>
  </si>
  <si>
    <t>09WW</t>
  </si>
  <si>
    <t xml:space="preserve">Submarine Safety Officer (Global Online) </t>
  </si>
  <si>
    <t>F-4J-0023</t>
  </si>
  <si>
    <t>11A2</t>
  </si>
  <si>
    <t xml:space="preserve">Tank Managers </t>
  </si>
  <si>
    <t>A-493-0217</t>
  </si>
  <si>
    <t>12X3</t>
  </si>
  <si>
    <t>Total</t>
  </si>
  <si>
    <t>Date Canceled</t>
  </si>
  <si>
    <t>Course Title</t>
  </si>
  <si>
    <t xml:space="preserve">CDP </t>
  </si>
  <si>
    <t>Location</t>
  </si>
  <si>
    <t>Start Date</t>
  </si>
  <si>
    <t>End Date</t>
  </si>
  <si>
    <t>Resident Local Start Time of location</t>
  </si>
  <si>
    <t xml:space="preserve">EST/EDT Local Live Session Start Time </t>
  </si>
  <si>
    <t xml:space="preserve">PST/PDT Local Live Session Start Time </t>
  </si>
  <si>
    <t xml:space="preserve">AST Local Live Session Start Time </t>
  </si>
  <si>
    <t xml:space="preserve">CET/CEST Local Live Session Start Time </t>
  </si>
  <si>
    <t xml:space="preserve">HST Local Live Session Start Time </t>
  </si>
  <si>
    <t xml:space="preserve">JST Local Live Session Start Time </t>
  </si>
  <si>
    <t>Primary Instructor</t>
  </si>
  <si>
    <t>Instructor 2</t>
  </si>
  <si>
    <t>Quotas</t>
  </si>
  <si>
    <t>Course Length (Hours)</t>
  </si>
  <si>
    <t>Course Length (Days)</t>
  </si>
  <si>
    <t>FY25 Need</t>
  </si>
  <si>
    <t>Registered</t>
  </si>
  <si>
    <t>Waitlisted</t>
  </si>
  <si>
    <t>Graduates</t>
  </si>
  <si>
    <t>Fail</t>
  </si>
  <si>
    <t>No Shows</t>
  </si>
  <si>
    <t>Walk-ins</t>
  </si>
  <si>
    <t>Foreign Grads</t>
  </si>
  <si>
    <t>Roster Received By</t>
  </si>
  <si>
    <t>Roster Due</t>
  </si>
  <si>
    <t>Roster Status</t>
  </si>
  <si>
    <t>Remaining Courses</t>
  </si>
  <si>
    <t>Safety Programs Afloat (Resident)</t>
  </si>
  <si>
    <t>A-493-2099</t>
  </si>
  <si>
    <t>438G</t>
  </si>
  <si>
    <t>Mayport, FL</t>
  </si>
  <si>
    <t>Funded</t>
  </si>
  <si>
    <t>EMC Stroughn</t>
  </si>
  <si>
    <t>N1</t>
  </si>
  <si>
    <t>Great Lakes, IL</t>
  </si>
  <si>
    <t>Unfunded</t>
  </si>
  <si>
    <t>ENV Contractor</t>
  </si>
  <si>
    <t>Key West, FL</t>
  </si>
  <si>
    <t>Yokosuka, Japan</t>
  </si>
  <si>
    <t>Guam</t>
  </si>
  <si>
    <t>T. White</t>
  </si>
  <si>
    <t>Norfolk, VA Classroom 2</t>
  </si>
  <si>
    <t>W. Mitchell</t>
  </si>
  <si>
    <t>B. Jung</t>
  </si>
  <si>
    <t>Bahrain</t>
  </si>
  <si>
    <t>Washington, DC</t>
  </si>
  <si>
    <t>Details for Sum of Construction Safety Standards - Location/Course Title: Annapolis, MD</t>
  </si>
  <si>
    <t>Command</t>
  </si>
  <si>
    <t>Location/Course Title</t>
  </si>
  <si>
    <t>Asbestos Inspector</t>
  </si>
  <si>
    <t>Asbestos Management Planner</t>
  </si>
  <si>
    <t>Competent Person for Fall Protection Course</t>
  </si>
  <si>
    <t xml:space="preserve">Confined Space Safety </t>
  </si>
  <si>
    <t>Facility Response Team Five Day</t>
  </si>
  <si>
    <t>Facility Response Team Three Day</t>
  </si>
  <si>
    <t>Fire Protection &amp; Life Safety</t>
  </si>
  <si>
    <t>Hazardous Substance Incident Response Management</t>
  </si>
  <si>
    <t>Hazardous Substance Incident Response Management  Refresher</t>
  </si>
  <si>
    <t xml:space="preserve">Incident Command System 300 </t>
  </si>
  <si>
    <t>Incident Command System 300 Refresher</t>
  </si>
  <si>
    <t xml:space="preserve">Incident Command System 400 </t>
  </si>
  <si>
    <t>Industrial Noise and Hearing Conservation Program</t>
  </si>
  <si>
    <t xml:space="preserve">Oil Hazardous Substance Spill Response Tabletop Exercise </t>
  </si>
  <si>
    <t>Tank Managers Course</t>
  </si>
  <si>
    <t>Totals</t>
  </si>
  <si>
    <t>USFF</t>
  </si>
  <si>
    <t>Annapolis, MD</t>
  </si>
  <si>
    <t>NAVFACSYSCOM</t>
  </si>
  <si>
    <t>CNIC HQ Environmental</t>
  </si>
  <si>
    <t>USMC</t>
  </si>
  <si>
    <t>NHHC</t>
  </si>
  <si>
    <t>NETC</t>
  </si>
  <si>
    <t>NAVSUP</t>
  </si>
  <si>
    <t>NAVSEA</t>
  </si>
  <si>
    <t>COMFRC</t>
  </si>
  <si>
    <t>COMPACFLT</t>
  </si>
  <si>
    <t>NAVSPECWARCOM</t>
  </si>
  <si>
    <t>BUMED</t>
  </si>
  <si>
    <t>Details for Sum of Competent Person for Fall Protection Course - Location/Course Title: Atsugi, Japan</t>
  </si>
  <si>
    <t>Atsugi, Japan</t>
  </si>
  <si>
    <t>Details for Sum of AST (Arabian Standard Time) - Course Title/Preferred Time Zone: Occupational Health Program Manager (In Development)</t>
  </si>
  <si>
    <t>Course Title/Preferred Time Zone</t>
  </si>
  <si>
    <t>AST (Arabian Standard Time)</t>
  </si>
  <si>
    <t>CET/CEST (Central European Standard Time)</t>
  </si>
  <si>
    <t>EST/EDT (Eastern Standard Time)</t>
  </si>
  <si>
    <t>HST (Hawaii Standard Time)</t>
  </si>
  <si>
    <t>JST (Japan Standard Time)</t>
  </si>
  <si>
    <t>PST/PDT (Pacific Standard Time)</t>
  </si>
  <si>
    <t>CNIC HQ Safety</t>
  </si>
  <si>
    <t>Occupational Health Program Manager (In Development)</t>
  </si>
  <si>
    <t>Last Update</t>
  </si>
  <si>
    <t>Comments</t>
  </si>
  <si>
    <t>BMC Sosaya</t>
  </si>
  <si>
    <t>PG-LS1</t>
  </si>
  <si>
    <t>QTR 1 All Hands @0900</t>
  </si>
  <si>
    <t>Command Function</t>
  </si>
  <si>
    <t>Function</t>
  </si>
  <si>
    <t>Norfolk, VA Classroom 1</t>
  </si>
  <si>
    <t>Thanksgiving Potluck</t>
  </si>
  <si>
    <t>Christmas Function</t>
  </si>
  <si>
    <t>QTR 2All Hands @0900</t>
  </si>
  <si>
    <t>QTR 3 All Hands @0900/Potluck</t>
  </si>
  <si>
    <t>July 4th Function</t>
  </si>
  <si>
    <t>QTR 4 All Hands @0900</t>
  </si>
  <si>
    <t>PG-LCS</t>
  </si>
  <si>
    <t>Columbus Day</t>
  </si>
  <si>
    <t>Holiday</t>
  </si>
  <si>
    <t>Veterans Day</t>
  </si>
  <si>
    <t>Thanksgiving</t>
  </si>
  <si>
    <t>Christmas Day</t>
  </si>
  <si>
    <t>New Year's Day</t>
  </si>
  <si>
    <t>MLK Day</t>
  </si>
  <si>
    <t>Washington's Birthday</t>
  </si>
  <si>
    <t>Memorial Day</t>
  </si>
  <si>
    <t>Juneteenth</t>
  </si>
  <si>
    <t>Independence Day</t>
  </si>
  <si>
    <t>Labor Day</t>
  </si>
  <si>
    <t>PDS Prep Week</t>
  </si>
  <si>
    <t>Professional Development Symposium</t>
  </si>
  <si>
    <t>PDS</t>
  </si>
  <si>
    <t>PDS Week</t>
  </si>
  <si>
    <t>LTJG Andrew</t>
  </si>
  <si>
    <t>Coronado, CA</t>
  </si>
  <si>
    <t>Everett, WA</t>
  </si>
  <si>
    <t>Gulfport, MS</t>
  </si>
  <si>
    <t>Iwakuni, Japan</t>
  </si>
  <si>
    <t>Jacksonville, FL</t>
  </si>
  <si>
    <t>Lemoore, CA</t>
  </si>
  <si>
    <t>New Orleans, LA</t>
  </si>
  <si>
    <t xml:space="preserve">Asbestos Management Planner </t>
  </si>
  <si>
    <t>9/10/20245</t>
  </si>
  <si>
    <t>Pearl Harbor, HI</t>
  </si>
  <si>
    <t>San Diego, CA</t>
  </si>
  <si>
    <t xml:space="preserve">Virginia Beach, VA </t>
  </si>
  <si>
    <t>Whidbey Island, WA</t>
  </si>
  <si>
    <t>Need Location</t>
  </si>
  <si>
    <t>D. Rodriguez</t>
  </si>
  <si>
    <t>Seabees Gulfport special conveing</t>
  </si>
  <si>
    <t>Date Change</t>
  </si>
  <si>
    <t>Seabees Port Hueneme special conveing</t>
  </si>
  <si>
    <t>S. Griffin</t>
  </si>
  <si>
    <t>V. Kentish</t>
  </si>
  <si>
    <t>Norfolk, VA</t>
  </si>
  <si>
    <t>SOH Contractor</t>
  </si>
  <si>
    <t>Baltimore, MD</t>
  </si>
  <si>
    <t xml:space="preserve">A-493-0075 </t>
  </si>
  <si>
    <t>Indian Head, MD</t>
  </si>
  <si>
    <t>Port Hueneme, CA</t>
  </si>
  <si>
    <t xml:space="preserve">Seabees Gulfport special convening </t>
  </si>
  <si>
    <t>Last Update: 5/22/2024</t>
  </si>
  <si>
    <t>5/5/2025</t>
  </si>
  <si>
    <t>5/9/2025</t>
  </si>
  <si>
    <t>M. Lacayo</t>
  </si>
  <si>
    <t>K. Seo</t>
  </si>
  <si>
    <t>Diego Garcia</t>
  </si>
  <si>
    <t>Guantanamo Bay, Cuba</t>
  </si>
  <si>
    <t>Panama City, FL</t>
  </si>
  <si>
    <t>Key West, FL (CNRSE)</t>
  </si>
  <si>
    <t>Sasebo, Japan</t>
  </si>
  <si>
    <t>Kings Bay, GA</t>
  </si>
  <si>
    <t>CFA YOKOSUKA</t>
  </si>
  <si>
    <t>Bremerton, WA</t>
  </si>
  <si>
    <t>Bangor, WA</t>
  </si>
  <si>
    <t>Portsmouth, NH</t>
  </si>
  <si>
    <t>New London, CT</t>
  </si>
  <si>
    <t>Groton, CT</t>
  </si>
  <si>
    <t>Okinawa, Japan</t>
  </si>
  <si>
    <t>Manchester, WA (CNRMA)</t>
  </si>
  <si>
    <t>Manchester, WA</t>
  </si>
  <si>
    <t>6/23/205</t>
  </si>
  <si>
    <t>Naval Base Point Loma</t>
  </si>
  <si>
    <t>Point Loma, CA</t>
  </si>
  <si>
    <t>Naval Station Rota</t>
  </si>
  <si>
    <t>Rota, Spain</t>
  </si>
  <si>
    <t>NSA Souda Bay</t>
  </si>
  <si>
    <t>Souda Bay, Greece</t>
  </si>
  <si>
    <t>MCB Hawaii</t>
  </si>
  <si>
    <t>Marine Corps Base Hawaii</t>
  </si>
  <si>
    <t>MCAS Beaufort</t>
  </si>
  <si>
    <t>Beaufort, SC</t>
  </si>
  <si>
    <t>Camp Pendleton, CA</t>
  </si>
  <si>
    <t>Andros, Bahamas (CNRSE)</t>
  </si>
  <si>
    <t>Andros, Bahamas</t>
  </si>
  <si>
    <t>NAVSUP FLCS</t>
  </si>
  <si>
    <t>Pensacola, FL</t>
  </si>
  <si>
    <t>NAVSUP FLCY</t>
  </si>
  <si>
    <t>Hakozaki, Japan</t>
  </si>
  <si>
    <t>NAVSUP FLCY (1-2 &amp; 5 May)</t>
  </si>
  <si>
    <t>Tsurumi, Japan</t>
  </si>
  <si>
    <t>NAF Atsugi</t>
  </si>
  <si>
    <t>Norfolk Naval Shipyard (NCRMA)</t>
  </si>
  <si>
    <t>Norfolk Naval Shipyard</t>
  </si>
  <si>
    <t>Hachinohe, Japan</t>
  </si>
  <si>
    <t>Virginia Beach, VA</t>
  </si>
  <si>
    <t>Little Creek, VA</t>
  </si>
  <si>
    <t>Newport, RI</t>
  </si>
  <si>
    <t>Pax River, MD</t>
  </si>
  <si>
    <t>NSA Annapolis</t>
  </si>
  <si>
    <t>Colts Neck, NJ</t>
  </si>
  <si>
    <t>Kekaha, HI (Barking Sand)</t>
  </si>
  <si>
    <t>PMRF Barking Sands</t>
  </si>
  <si>
    <t xml:space="preserve">NBVC Port Hueneme </t>
  </si>
  <si>
    <t>NALF San Clemente Island</t>
  </si>
  <si>
    <t>San Clemente Island, CA</t>
  </si>
  <si>
    <t>NSA Gaeta</t>
  </si>
  <si>
    <t>Naples, Italy</t>
  </si>
  <si>
    <t>MCAS Cherry Point</t>
  </si>
  <si>
    <t>Cherry Point, NC</t>
  </si>
  <si>
    <t>Camp Lejeune, NC</t>
  </si>
  <si>
    <t>Camp Butler, Japan</t>
  </si>
  <si>
    <t>Naval Support Facility Diego Garcia (UIC: N68539)</t>
  </si>
  <si>
    <t>Crane, IN</t>
  </si>
  <si>
    <t>Indian Island, WA</t>
  </si>
  <si>
    <t>Eastern Time Zone</t>
  </si>
  <si>
    <t>Central Europe Focused</t>
  </si>
  <si>
    <t>Pacific Time Zone Focused</t>
  </si>
  <si>
    <r>
      <t>Japan Time Zone Focused   (</t>
    </r>
    <r>
      <rPr>
        <sz val="11"/>
        <color rgb="FFFF0000"/>
        <rFont val="Calibri"/>
        <family val="2"/>
        <scheme val="minor"/>
      </rPr>
      <t>EDT 1900hr on 6/9/2025</t>
    </r>
    <r>
      <rPr>
        <sz val="11"/>
        <color rgb="FF000000"/>
        <rFont val="Calibri"/>
        <family val="2"/>
        <scheme val="minor"/>
      </rPr>
      <t>)</t>
    </r>
  </si>
  <si>
    <t>`</t>
  </si>
  <si>
    <t>Singapore Area Coordinator</t>
  </si>
  <si>
    <t>Singapore</t>
  </si>
  <si>
    <t>Yorktown NWS (NCRSE)</t>
  </si>
  <si>
    <t>Yorktown, VA</t>
  </si>
  <si>
    <t>A-493-2017</t>
  </si>
  <si>
    <t>12x3</t>
  </si>
  <si>
    <t>Details for Sum of Incident Command System 300  - Location/Course Title: Corpus Christi, TX, Command: BUMED (+)</t>
  </si>
  <si>
    <t>Corpus Christi, TX</t>
  </si>
  <si>
    <t>Start of the FY 26</t>
  </si>
  <si>
    <t>Progress during FY 26</t>
  </si>
  <si>
    <t>Info</t>
  </si>
  <si>
    <t>Courses - Planned vs Need (Active Courses)</t>
  </si>
  <si>
    <t>CTR</t>
  </si>
  <si>
    <t>Course Offerings</t>
  </si>
  <si>
    <t>Quota per Offering</t>
  </si>
  <si>
    <t>Planned Quotas</t>
  </si>
  <si>
    <t>Fleet Quota Need</t>
  </si>
  <si>
    <t>Difference</t>
  </si>
  <si>
    <t>%</t>
  </si>
  <si>
    <t>Total Grads</t>
  </si>
  <si>
    <t>Total Registered</t>
  </si>
  <si>
    <t>Total Waitlisted</t>
  </si>
  <si>
    <t>Total Walk-in</t>
  </si>
  <si>
    <t>To date quotas unused (Open quotas+ no shows)</t>
  </si>
  <si>
    <t>Sunk Courses due to unused quotas todate</t>
  </si>
  <si>
    <t>Grads needed this FY towards planned quotas</t>
  </si>
  <si>
    <t># of course completion reports to be processed</t>
  </si>
  <si>
    <t># of courses remaining</t>
  </si>
  <si>
    <t>To date % of graduates towards Fleet Need</t>
  </si>
  <si>
    <t>% of available quotas used</t>
  </si>
  <si>
    <t>% of available quotas used counting in no shows</t>
  </si>
  <si>
    <t>Remaining FY26 QTR 1 and 2 Open Quotas</t>
  </si>
  <si>
    <t># of additional grads if all quotas are filled of course results remaining to be processed</t>
  </si>
  <si>
    <t>Difference between completed and fleet need of completed, potentially remaining quotas, and processed courses</t>
  </si>
  <si>
    <t>N4</t>
  </si>
  <si>
    <t>N3</t>
  </si>
  <si>
    <t>N8</t>
  </si>
  <si>
    <t>y</t>
  </si>
  <si>
    <t>N5</t>
  </si>
  <si>
    <t xml:space="preserve">Mishap Investigation (Resident) </t>
  </si>
  <si>
    <t>Risk Management Information: Confined Space (non-maritime)</t>
  </si>
  <si>
    <t>Risk Management Information: Data Analytics</t>
  </si>
  <si>
    <t>Risk Management Information: Hazard Management Module in RMI</t>
  </si>
  <si>
    <t>Risk Management Information: Inspections- Program Assessment</t>
  </si>
  <si>
    <t>Risk Management Information: Inspections- Workplace Inspection</t>
  </si>
  <si>
    <t>Risk Management Information: Investigations Module in RMI</t>
  </si>
  <si>
    <t>Risk Management Information: Job Hazard Analysis</t>
  </si>
  <si>
    <t>Risk Management Information: Manage Personnel (Core Plus Creator)</t>
  </si>
  <si>
    <t>Risk Management Information: Manage Personnel (License Issuing Official)</t>
  </si>
  <si>
    <t>Risk Management Information: Manage Personnel (Supervisor)</t>
  </si>
  <si>
    <t>Risk Management Information: Medical Surveillance Coordinator</t>
  </si>
  <si>
    <t>Risk Management Information: Memorandum of Final Evaluation (MOFE) in RMI</t>
  </si>
  <si>
    <t>Risk Management Information: Motorcycle Unit Safety Tracking Tool (MUSTT)</t>
  </si>
  <si>
    <t>Risk Management Information: OSHA Events Module in RMI</t>
  </si>
  <si>
    <t>Risk Management Information: Quality Assurance</t>
  </si>
  <si>
    <t>Risk Management Information: Supervisors Reporting</t>
  </si>
  <si>
    <t>Risk Management Information: Training</t>
  </si>
  <si>
    <t>Risk Management Information: User Administrator</t>
  </si>
  <si>
    <t>Safety Managers Course</t>
  </si>
  <si>
    <t>Planning</t>
  </si>
  <si>
    <t>Need</t>
  </si>
  <si>
    <t>Row Labels</t>
  </si>
  <si>
    <t>Total Planned Quotas in location</t>
  </si>
  <si>
    <t>FY26 Quota Need</t>
  </si>
  <si>
    <t>Norfolk, VA Other</t>
  </si>
  <si>
    <t>Seal Beach, CA</t>
  </si>
  <si>
    <t>Grand Total</t>
  </si>
  <si>
    <t>Funding Status</t>
  </si>
  <si>
    <t xml:space="preserve"> Support</t>
  </si>
  <si>
    <t>FY26 Need</t>
  </si>
  <si>
    <t>Roster Received by</t>
  </si>
  <si>
    <t>1</t>
  </si>
  <si>
    <t>2</t>
  </si>
  <si>
    <t>Open Quotas</t>
  </si>
  <si>
    <t>QTR</t>
  </si>
  <si>
    <t>Department</t>
  </si>
  <si>
    <t>N. DeCastro</t>
  </si>
  <si>
    <t>Weaver, Nicole</t>
  </si>
  <si>
    <t>Keay, Aaron</t>
  </si>
  <si>
    <t>USMC Special Convening</t>
  </si>
  <si>
    <t>Benzick, Sue</t>
  </si>
  <si>
    <t>LS1 Scoggins</t>
  </si>
  <si>
    <t>LT Bozenski</t>
  </si>
  <si>
    <t>N/A</t>
  </si>
  <si>
    <t>All Hands</t>
  </si>
  <si>
    <t>Carter, Amanda</t>
  </si>
  <si>
    <t>A. Hardy</t>
  </si>
  <si>
    <t>OH Contractor</t>
  </si>
  <si>
    <t>R. Hartel</t>
  </si>
  <si>
    <t>C. Gum</t>
  </si>
  <si>
    <t>AC1 Engleking</t>
  </si>
  <si>
    <t>Norfolk, VA Safety Command</t>
  </si>
  <si>
    <t>J. Wilson</t>
  </si>
  <si>
    <t>M. Bailey</t>
  </si>
  <si>
    <t>LSC Kitivi</t>
  </si>
  <si>
    <t>A. Harris</t>
  </si>
  <si>
    <t>LTJG Bozenski</t>
  </si>
  <si>
    <t>W. Bailey</t>
  </si>
  <si>
    <t>Naval Base San Diego</t>
  </si>
  <si>
    <t>0800</t>
  </si>
  <si>
    <t>Holiday Breakfast @ 0800</t>
  </si>
  <si>
    <t xml:space="preserve">Pilot Course </t>
  </si>
  <si>
    <t>Training at 0900</t>
  </si>
  <si>
    <t>G. Jester</t>
  </si>
  <si>
    <t>Nicole</t>
  </si>
  <si>
    <t>POC: william.l.jesse3.mil@us.navy.mil</t>
  </si>
  <si>
    <t>Classroom Reserved</t>
  </si>
  <si>
    <t>NUWC Autec</t>
  </si>
  <si>
    <t>NSF Diego Garcia</t>
  </si>
  <si>
    <t>Diego Garcia (Virtual)</t>
  </si>
  <si>
    <t>NBVC Port Hueneme</t>
  </si>
  <si>
    <t>TBD</t>
  </si>
  <si>
    <t>CFA Sasebo</t>
  </si>
  <si>
    <t>Naval Station Mayport</t>
  </si>
  <si>
    <t>DFSP Sasebo</t>
  </si>
  <si>
    <t>Naval Station Guantanamo Bay</t>
  </si>
  <si>
    <t>NSB Kings Bay</t>
  </si>
  <si>
    <t>NSA Panama City</t>
  </si>
  <si>
    <t>Do not spread quotas. CCA approval required</t>
  </si>
  <si>
    <t>USMC-Do not spread quotas</t>
  </si>
  <si>
    <t>Sigonella, Italy</t>
  </si>
  <si>
    <t>QTR 3 All Hands @0900</t>
  </si>
  <si>
    <t>MCAS Beaufort (USMC FUNDED)</t>
  </si>
  <si>
    <t>MCAS Cherry Point (USMC FUNDED)</t>
  </si>
  <si>
    <t>MCB Camp LeJeune (USMC FUNDED)</t>
  </si>
  <si>
    <t>int</t>
  </si>
  <si>
    <t>Chinhae, Korea</t>
  </si>
  <si>
    <t>AIRFORCE SPECIAL CONVENING Tank Managers – U.S. Funded Course, Quota will not be open</t>
  </si>
  <si>
    <t>Spangdahlem Air Base (SAB), Germany</t>
  </si>
  <si>
    <t xml:space="preserve">Funded </t>
  </si>
  <si>
    <t>NAS Pensacola</t>
  </si>
  <si>
    <t>Naval Air Station Key West</t>
  </si>
  <si>
    <t>CFA Yokosuka</t>
  </si>
  <si>
    <t>Naval Station Rota Spain</t>
  </si>
  <si>
    <t>DFSP Hakozaki</t>
  </si>
  <si>
    <t>MCAS Miramar</t>
  </si>
  <si>
    <t>DFSP Tsurumi</t>
  </si>
  <si>
    <t>Amanda</t>
  </si>
  <si>
    <t>MCAS Yuma, AZ</t>
  </si>
  <si>
    <t>USMC FUNDED</t>
  </si>
  <si>
    <t>DFSP Hachinohe</t>
  </si>
  <si>
    <t>NBK - Bremerton</t>
  </si>
  <si>
    <t>NAVFAC Mid-Atlantic</t>
  </si>
  <si>
    <t>JEB Little Creek -  Fort Story (Virginia Beach)</t>
  </si>
  <si>
    <t>Redzikowo, Poland</t>
  </si>
  <si>
    <t xml:space="preserve">Evening Class </t>
  </si>
  <si>
    <t>Deveselu, Romania</t>
  </si>
  <si>
    <t>Naval Base Coronado</t>
  </si>
  <si>
    <t>Fallon, NV</t>
  </si>
  <si>
    <t>NWS Earle (Colts Neck, NJ)</t>
  </si>
  <si>
    <t>NSF Indian Head</t>
  </si>
  <si>
    <t>Naval Air Station Whidbey Island</t>
  </si>
  <si>
    <t>Naval Station Newport</t>
  </si>
  <si>
    <t>Portsmouth Naval Shipyard, NH</t>
  </si>
  <si>
    <t>Pilot #1</t>
  </si>
  <si>
    <t xml:space="preserve">Workplace Inspection </t>
  </si>
  <si>
    <t>NBK - Bangor</t>
  </si>
  <si>
    <t>NAS Patuxent River</t>
  </si>
  <si>
    <t>NSB New London/Groton</t>
  </si>
  <si>
    <t>Lauren</t>
  </si>
  <si>
    <t>NAVMAG Indian Island</t>
  </si>
  <si>
    <t>DFSP Manchester</t>
  </si>
  <si>
    <t>Naval Station Everett</t>
  </si>
  <si>
    <t>Pilot #2</t>
  </si>
  <si>
    <t>NAS Lemoore</t>
  </si>
  <si>
    <t>MCAS Iwakuni (USMC FUNDED)</t>
  </si>
  <si>
    <t>Marie</t>
  </si>
  <si>
    <t>MCB Hawaii (USMC FUNDED)</t>
  </si>
  <si>
    <t>CFA Okinawa</t>
  </si>
  <si>
    <t>Overall availability calculations</t>
  </si>
  <si>
    <t>Available</t>
  </si>
  <si>
    <t>Not available</t>
  </si>
  <si>
    <t>Total Available</t>
  </si>
  <si>
    <t xml:space="preserve">Instructor </t>
  </si>
  <si>
    <t>Primary Hours</t>
  </si>
  <si>
    <t>Secondary Hours</t>
  </si>
  <si>
    <t>Podium Hours</t>
  </si>
  <si>
    <t>Off Podium Hours</t>
  </si>
  <si>
    <t>Primary %</t>
  </si>
  <si>
    <t>Secondary %</t>
  </si>
  <si>
    <t>Total Podium %</t>
  </si>
  <si>
    <t xml:space="preserve">Remaining Off Podium </t>
  </si>
  <si>
    <t>Off Podium Days</t>
  </si>
  <si>
    <t>Off Podium Months</t>
  </si>
  <si>
    <t>Primary</t>
  </si>
  <si>
    <t xml:space="preserve">Secondary </t>
  </si>
  <si>
    <t>52 weeks a year</t>
  </si>
  <si>
    <t>8 Federal Holidays</t>
  </si>
  <si>
    <t>N. Decastro</t>
  </si>
  <si>
    <t>NSC</t>
  </si>
  <si>
    <t>TMC Newman</t>
  </si>
  <si>
    <t>LT Andrew</t>
  </si>
  <si>
    <t>FY26 FLT Quota Need</t>
  </si>
  <si>
    <t>FY26 Quota Per course</t>
  </si>
  <si>
    <t>FY26 Courses Needed</t>
  </si>
  <si>
    <t>FY26 Courses Needed Round UP</t>
  </si>
  <si>
    <t>FY26 NSETC Course # projections</t>
  </si>
  <si>
    <t>FY26 Hours Per Course</t>
  </si>
  <si>
    <t>FY26 Total Hours to instruct</t>
  </si>
  <si>
    <t>FY 26 NSETC FLT Needs deicit</t>
  </si>
  <si>
    <t>FY26 NSETC % towards fleet need</t>
  </si>
  <si>
    <t>Column3</t>
  </si>
  <si>
    <t>FY25 Total Courses</t>
  </si>
  <si>
    <t>FY25 Quota Per Course</t>
  </si>
  <si>
    <t>FY25 Grads</t>
  </si>
  <si>
    <t>FY25 Fails</t>
  </si>
  <si>
    <t>FY25 No Shows</t>
  </si>
  <si>
    <t>FY25 Average class size</t>
  </si>
  <si>
    <t>FY25 NSETC % towards fleet need</t>
  </si>
  <si>
    <t>Quotas: All Data</t>
  </si>
  <si>
    <t>Courses Needed: All Data</t>
  </si>
  <si>
    <t>Column1</t>
  </si>
  <si>
    <t>FY24 Total Courses</t>
  </si>
  <si>
    <t>FY24 Quotas Per Course</t>
  </si>
  <si>
    <t>FY24 Grads</t>
  </si>
  <si>
    <t>FY24 Fails</t>
  </si>
  <si>
    <t>FY24 Average class size</t>
  </si>
  <si>
    <t>FY24 FLT Quota Need</t>
  </si>
  <si>
    <t>FY24 NSETC % towards fleet need</t>
  </si>
  <si>
    <t>Column2</t>
  </si>
  <si>
    <t>FY23 Total Courses</t>
  </si>
  <si>
    <t>FY23 Quotas Per Course</t>
  </si>
  <si>
    <t>FY23 Grads</t>
  </si>
  <si>
    <t>FY23 Fails</t>
  </si>
  <si>
    <t>FY23 Average class size</t>
  </si>
  <si>
    <t>FY23 FLT Quota Need</t>
  </si>
  <si>
    <t>FY23 NSETC % towards fleet need</t>
  </si>
  <si>
    <t>Column122</t>
  </si>
  <si>
    <t>FY22 Total Courses</t>
  </si>
  <si>
    <t>FY22 Quotas Per Course</t>
  </si>
  <si>
    <t>FY22 Grads</t>
  </si>
  <si>
    <t>FY22 Fails</t>
  </si>
  <si>
    <t>FY22 Average class size</t>
  </si>
  <si>
    <t>FY22 FLT Quota Need</t>
  </si>
  <si>
    <t>FY22 NSETC % towards fleet need</t>
  </si>
  <si>
    <t>Course2</t>
  </si>
  <si>
    <t>Workplace Inspectors Course (In Development)</t>
  </si>
  <si>
    <t>FY25 As of 14 Oct 2025</t>
  </si>
  <si>
    <t>Days</t>
  </si>
  <si>
    <t>Hours</t>
  </si>
  <si>
    <t>Instructor #1</t>
  </si>
  <si>
    <t>Instructor #2</t>
  </si>
  <si>
    <t>Instructor #3</t>
  </si>
  <si>
    <t>Live Session Start Time ET</t>
  </si>
  <si>
    <t>Military Support</t>
  </si>
  <si>
    <t>Afloat Environmental Protection Coordinator (Resident)</t>
  </si>
  <si>
    <t xml:space="preserve"> A-4J-0021</t>
  </si>
  <si>
    <t xml:space="preserve"> 430U</t>
  </si>
  <si>
    <t>ABF3 Sherman</t>
  </si>
  <si>
    <t>ABH3 Sutherland</t>
  </si>
  <si>
    <t>LT Kasun</t>
  </si>
  <si>
    <t>Bearup, Angie</t>
  </si>
  <si>
    <t>Bath, ME</t>
  </si>
  <si>
    <t>Kollie, Sarah</t>
  </si>
  <si>
    <t>Aviation Safety Specialist</t>
  </si>
  <si>
    <t>A-493-0065</t>
  </si>
  <si>
    <t>399A</t>
  </si>
  <si>
    <t>Electrical Standards</t>
  </si>
  <si>
    <t>A-493-0033</t>
  </si>
  <si>
    <t>287A</t>
  </si>
  <si>
    <t xml:space="preserve">Competent Person for Fall Protection Course (Global Online) </t>
  </si>
  <si>
    <t>ETVCS Zellman</t>
  </si>
  <si>
    <t>FTC Sosa</t>
  </si>
  <si>
    <t>Hazardous Material Control and Management [HMC&amp;M] Technician (Resident)</t>
  </si>
  <si>
    <t>A-322-2600</t>
  </si>
  <si>
    <t>438D</t>
  </si>
  <si>
    <t>Introduction to Industrial Hygiene for Safety Professionals (Resident)</t>
  </si>
  <si>
    <t>A-493-0035</t>
  </si>
  <si>
    <t>287C</t>
  </si>
  <si>
    <t>CDR Schaal</t>
  </si>
  <si>
    <t>Introduction to Naval Safety and Occupational Health (Resident)</t>
  </si>
  <si>
    <t>A-493-0050</t>
  </si>
  <si>
    <t>287T</t>
  </si>
  <si>
    <t>Kekaha, HI (Barking Sands)</t>
  </si>
  <si>
    <t>32FJ</t>
  </si>
  <si>
    <t>CDR Schaal + CDR Barrus</t>
  </si>
  <si>
    <t>A-493-0778</t>
  </si>
  <si>
    <t>CDR Barrus</t>
  </si>
  <si>
    <t>Kingsville, TX</t>
  </si>
  <si>
    <t>MARFORRES</t>
  </si>
  <si>
    <t>Marianas</t>
  </si>
  <si>
    <t>A-4J-0019</t>
  </si>
  <si>
    <t>28SL/285M</t>
  </si>
  <si>
    <t>MCAB Fuji, JP</t>
  </si>
  <si>
    <t xml:space="preserve">Staff Training </t>
  </si>
  <si>
    <t>Staff</t>
  </si>
  <si>
    <t>TSD</t>
  </si>
  <si>
    <t>Submarine Safety Officer</t>
  </si>
  <si>
    <t>F-4J-0020</t>
  </si>
  <si>
    <t>961Z</t>
  </si>
  <si>
    <t>MCAS New River, NC</t>
  </si>
  <si>
    <t>MCB Mujuk, Korea</t>
  </si>
  <si>
    <t>Misawa, Japan</t>
  </si>
  <si>
    <t>NAVFAC MIDLANT</t>
  </si>
  <si>
    <t>Reserved</t>
  </si>
  <si>
    <t xml:space="preserve">Reserved </t>
  </si>
  <si>
    <t>A-493-3018</t>
  </si>
  <si>
    <t>31YM</t>
  </si>
  <si>
    <t>A-493-3005</t>
  </si>
  <si>
    <t>31V7</t>
  </si>
  <si>
    <t>A-493-3004</t>
  </si>
  <si>
    <t>31V6</t>
  </si>
  <si>
    <t>A-493-3011</t>
  </si>
  <si>
    <t>31VD</t>
  </si>
  <si>
    <t>A-493-3010</t>
  </si>
  <si>
    <t>31VC</t>
  </si>
  <si>
    <t>A-493-3002</t>
  </si>
  <si>
    <t>31V4</t>
  </si>
  <si>
    <t>A-493-3017</t>
  </si>
  <si>
    <t>31YL</t>
  </si>
  <si>
    <t>A-493-3013</t>
  </si>
  <si>
    <t>31YG</t>
  </si>
  <si>
    <t>Oceana,VA</t>
  </si>
  <si>
    <t>A-493-3014</t>
  </si>
  <si>
    <t>31Yh</t>
  </si>
  <si>
    <t>A-493-3015</t>
  </si>
  <si>
    <t>31YJ</t>
  </si>
  <si>
    <t>Ownings Mills, MD</t>
  </si>
  <si>
    <t>A-493-3016</t>
  </si>
  <si>
    <t>31Yk</t>
  </si>
  <si>
    <t>A-493-3003</t>
  </si>
  <si>
    <t>31V5</t>
  </si>
  <si>
    <t>A-493-3008</t>
  </si>
  <si>
    <t>31VA</t>
  </si>
  <si>
    <t>A-493-3001</t>
  </si>
  <si>
    <t>31V3</t>
  </si>
  <si>
    <t>A-493-3006</t>
  </si>
  <si>
    <t>31V8</t>
  </si>
  <si>
    <t>Philadelphia, PA</t>
  </si>
  <si>
    <t>A-493-3012</t>
  </si>
  <si>
    <t>31YF</t>
  </si>
  <si>
    <t>A-493-3009</t>
  </si>
  <si>
    <t>31VB</t>
  </si>
  <si>
    <t>A-493-3007</t>
  </si>
  <si>
    <t>31V9</t>
  </si>
  <si>
    <t>Point Mugu, CA</t>
  </si>
  <si>
    <t>Portsmouth, MA</t>
  </si>
  <si>
    <t>Portsmouth, VA</t>
  </si>
  <si>
    <t>Puget Sound Manchester, WA</t>
  </si>
  <si>
    <t>Puget Sound, WA</t>
  </si>
  <si>
    <t>Quantico, VA</t>
  </si>
  <si>
    <t>Sam Houston, TX</t>
  </si>
  <si>
    <t>San Nicolas Island, CA</t>
  </si>
  <si>
    <t>Saratoga Springs, NY</t>
  </si>
  <si>
    <t>Tinker AFB, OK</t>
  </si>
  <si>
    <t>Twenty-nine Palms, CA</t>
  </si>
  <si>
    <t>Ventura County, CA</t>
  </si>
  <si>
    <t>White Sands, NM</t>
  </si>
  <si>
    <t>Whiting Field, FL</t>
  </si>
  <si>
    <t>(All)</t>
  </si>
  <si>
    <t>Sum of AST</t>
  </si>
  <si>
    <t>Sum of CET/CEST</t>
  </si>
  <si>
    <t>Sum of EST/EDT</t>
  </si>
  <si>
    <t>Sum of HST</t>
  </si>
  <si>
    <t>Sum of JST</t>
  </si>
  <si>
    <t xml:space="preserve">Sum of PST/PDT </t>
  </si>
  <si>
    <t>Sum</t>
  </si>
  <si>
    <t>Aviation Safety Specialist  (Global Online)</t>
  </si>
  <si>
    <t>Fall Protection Program Manager (Global Online)</t>
  </si>
  <si>
    <t>General Industry Safety Standards  (Global Online)</t>
  </si>
  <si>
    <t>Hazardous Material Control and Management (HMC&amp;M) Technician  (Global Online)</t>
  </si>
  <si>
    <t>Introduction to Hazardous Materials Ashore  (Global Online)</t>
  </si>
  <si>
    <t>Introduction to Industrial Hygiene for Safety Professionals  (Global Online)</t>
  </si>
  <si>
    <t>Introduction to Naval Safety and Occupational Health (Global Online)</t>
  </si>
  <si>
    <t>Machinery &amp; Machine Guarding Standards  (Global Online)</t>
  </si>
  <si>
    <t>Mishap Investigation  (Global Online)</t>
  </si>
  <si>
    <t>Operational Risk Management Application &amp; Integration Course  (Global Online)</t>
  </si>
  <si>
    <t>Safety Programs Afloat  (Global Online)</t>
  </si>
  <si>
    <t>Submarine Safety Officer  (Global Online)</t>
  </si>
  <si>
    <t>Column Labels</t>
  </si>
  <si>
    <t>Values</t>
  </si>
  <si>
    <t>Albany, GA</t>
  </si>
  <si>
    <t xml:space="preserve">Bahrain </t>
  </si>
  <si>
    <t>Camp Lemonnier, Dijbouti</t>
  </si>
  <si>
    <t>Camp Mujuk</t>
  </si>
  <si>
    <t>China Lake, CA</t>
  </si>
  <si>
    <t>Dalhgren, VA</t>
  </si>
  <si>
    <t>El Centro, CA</t>
  </si>
  <si>
    <t xml:space="preserve">Fallon, NV </t>
  </si>
  <si>
    <t>Ft. Worth, TX</t>
  </si>
  <si>
    <t>Kekaha, HI</t>
  </si>
  <si>
    <t xml:space="preserve">Keyport, WA </t>
  </si>
  <si>
    <t>Kingsbay, GA</t>
  </si>
  <si>
    <t>Kingsvile, TX</t>
  </si>
  <si>
    <t>MCAS Iwakuni</t>
  </si>
  <si>
    <t>MCAS New River</t>
  </si>
  <si>
    <t>MCAS Yuma</t>
  </si>
  <si>
    <t>MCSF Blount Island</t>
  </si>
  <si>
    <t>Mechanicburg, PA</t>
  </si>
  <si>
    <t>Mechanicsburg, PA</t>
  </si>
  <si>
    <t>Meridian, MS</t>
  </si>
  <si>
    <t>Mid South, TN</t>
  </si>
  <si>
    <t>Monterey, CA</t>
  </si>
  <si>
    <t>New London, CT/Groton</t>
  </si>
  <si>
    <t>Patuxent River, MD</t>
  </si>
  <si>
    <t>Quantico</t>
  </si>
  <si>
    <t>ROICC Sally, Pensacola, FL</t>
  </si>
  <si>
    <t>Singapore, SG</t>
  </si>
  <si>
    <t>Support Facility Diego Garcia</t>
  </si>
  <si>
    <t>WNY0 Chlinic-Washington, DC</t>
  </si>
  <si>
    <t>Sum of Asbestos Inspector</t>
  </si>
  <si>
    <t>Sum of Asbestos Inspector Refresher</t>
  </si>
  <si>
    <t>Sum of Asbestos Management Planner</t>
  </si>
  <si>
    <t>Sum of Asbestos Management Planner Refresher</t>
  </si>
  <si>
    <t>Sum of Asbestos Supervisor Initial</t>
  </si>
  <si>
    <t>Sum of Asbestos Supervisor Refresher</t>
  </si>
  <si>
    <t>Sum of Competent Person for Fall Protection Course</t>
  </si>
  <si>
    <t xml:space="preserve">Sum of Confined Space Safety </t>
  </si>
  <si>
    <t>Sum of Construction Safety Standards</t>
  </si>
  <si>
    <t>Sum of Emergency Asbestos Response Team</t>
  </si>
  <si>
    <t>Sum of Fire Protection &amp; Life Safety</t>
  </si>
  <si>
    <t>Sum of Industrial Noise and Hearing Conservation Program</t>
  </si>
  <si>
    <t>Sum of Occupational Health Program Manager (In development)</t>
  </si>
  <si>
    <t>Sum of Respiratory Protection Program Management</t>
  </si>
  <si>
    <t xml:space="preserve">Sum of Safety Managers Course </t>
  </si>
  <si>
    <t>Sum of Workplace Inspection Course (In Development)</t>
  </si>
  <si>
    <t>Command Name</t>
  </si>
  <si>
    <t>Camp Lemonnier, Djibouti</t>
  </si>
  <si>
    <t>China Lake (Ridgecrest), CA</t>
  </si>
  <si>
    <t>CLDJ, Djibouti</t>
  </si>
  <si>
    <t>Fort Worth, TX</t>
  </si>
  <si>
    <t>Hachinohe, Japan (NAVSUP FLCY)</t>
  </si>
  <si>
    <t>Hakozaki, Japan (NAVSUP FLCY)</t>
  </si>
  <si>
    <t>MCAB Fuji</t>
  </si>
  <si>
    <t>MCAGCC Twentynine Palms</t>
  </si>
  <si>
    <t>MCB Butler</t>
  </si>
  <si>
    <t>MCB Camp Lejeune</t>
  </si>
  <si>
    <t>MCB Camp Pendleton</t>
  </si>
  <si>
    <t>MCB Mujuk</t>
  </si>
  <si>
    <t>MCB Okinawa</t>
  </si>
  <si>
    <t>MCB Quantico</t>
  </si>
  <si>
    <t>MCLB 29 Palms</t>
  </si>
  <si>
    <t>MCLB Albany</t>
  </si>
  <si>
    <t>MCRD Parris Island</t>
  </si>
  <si>
    <t>MCRD San Diego</t>
  </si>
  <si>
    <t>Support Facilit Diego Garcia</t>
  </si>
  <si>
    <t>Tsurumi, Japan (NAVSUP FLCY)</t>
  </si>
  <si>
    <t>Yorktown, Va</t>
  </si>
  <si>
    <t>(blank)</t>
  </si>
  <si>
    <t>Sum of Facility Response Team Five Day</t>
  </si>
  <si>
    <t>Sum of Facility Response Team Three Day</t>
  </si>
  <si>
    <t>Sum of Hazardous Substance Incident Response Management</t>
  </si>
  <si>
    <t>Sum of Hazardous Substance Incident Response Management  Refresher</t>
  </si>
  <si>
    <t xml:space="preserve">Sum of Incident Command System 300 </t>
  </si>
  <si>
    <t>Sum of Incident Command System 300 Refresher</t>
  </si>
  <si>
    <t xml:space="preserve">Sum of Incident Command System 400 </t>
  </si>
  <si>
    <t xml:space="preserve">Sum of Oil Hazardous Substance Spill Response Tabletop Exercise </t>
  </si>
  <si>
    <t>Sum of Tank Managers Course</t>
  </si>
  <si>
    <t>Afloat Environmental Protection Coordinator (Global Online)</t>
  </si>
  <si>
    <t>Details for Sum of Facility Response Team Three Day - Location/Course Title: Andros, Bahamas (CNRSE ADDED), Command: BUMED (+)</t>
  </si>
  <si>
    <t>Andros, Bahamas (CNRSE ADDED)</t>
  </si>
  <si>
    <t> </t>
  </si>
  <si>
    <t>Details for Sum of Competent Person for Fall Protection Course - Location/Course Title: Pearl Harbor, HI, Command: BUMED (+)</t>
  </si>
  <si>
    <t>Details for Sum of Hazardous Substance Incident Response Management  Refresher - Location/Course Title: Norfolk, VA, Command: BUMED (+)</t>
  </si>
  <si>
    <t>Details for Sum of Hazardous Substance Incident Response Management  Refresher - Location/Course Title: Crane, IN, Command: BUMED (+)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</si>
</sst>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%"/>
    <numFmt numFmtId="165" formatCode="hhmm"/>
    <numFmt numFmtId="166" formatCode="0.0"/>
    <numFmt numFmtId="167" formatCode="#,##0.0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FFFFFF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FFFFFF"/>
      <name val="Calibri"/>
      <family val="2"/>
      <scheme val="minor"/>
    </font>
    <font>
      <b/>
      <sz val="10"/>
      <color theme="1"/>
      <name val="Calibri"/>
      <family val="2"/>
      <scheme val="minor"/>
    </font>
    <font>
      <strike/>
      <sz val="11"/>
      <color rgb="FF000000"/>
      <name val="Calibri"/>
      <family val="2"/>
      <scheme val="minor"/>
    </font>
    <font>
      <sz val="11"/>
      <color rgb="FF242424"/>
      <name val="Calibri"/>
      <family val="2"/>
    </font>
    <font>
      <b/>
      <sz val="11"/>
      <color theme="9" tint="-0.249977111117893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sz val="11"/>
      <name val="Calibri"/>
      <family val="2"/>
    </font>
    <font>
      <b/>
      <sz val="11"/>
      <color theme="5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u/>
      <sz val="11"/>
      <color rgb="FF7030A0"/>
      <name val="Calibri"/>
      <family val="2"/>
      <scheme val="minor"/>
    </font>
    <font>
      <b/>
      <u/>
      <sz val="11"/>
      <color theme="9" tint="-0.249977111117893"/>
      <name val="Calibri"/>
      <family val="2"/>
      <scheme val="minor"/>
    </font>
    <font>
      <b/>
      <u/>
      <sz val="11"/>
      <color theme="5"/>
      <name val="Calibri"/>
      <family val="2"/>
      <scheme val="minor"/>
    </font>
    <font>
      <b/>
      <u/>
      <sz val="11"/>
      <color theme="5" tint="-0.499984740745262"/>
      <name val="Calibri"/>
      <family val="2"/>
      <scheme val="minor"/>
    </font>
    <font>
      <sz val="11"/>
      <name val="Aptos Narrow"/>
      <family val="2"/>
    </font>
    <font>
      <b/>
      <sz val="11"/>
      <color rgb="FF000000"/>
      <name val="Calibri"/>
      <family val="2"/>
      <scheme val="minor"/>
    </font>
    <font>
      <sz val="11"/>
      <color theme="1"/>
      <name val="Arial"/>
      <family val="2"/>
    </font>
    <font>
      <sz val="12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sz val="12"/>
      <color theme="0"/>
      <name val="Arial"/>
      <family val="2"/>
    </font>
    <font>
      <sz val="11"/>
      <color rgb="FFFFFF00"/>
      <name val="Calibri"/>
      <family val="2"/>
      <scheme val="minor"/>
    </font>
    <font>
      <b/>
      <sz val="11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theme="6"/>
      </patternFill>
    </fill>
    <fill>
      <patternFill patternType="solid">
        <fgColor rgb="FFDDEBF7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DF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</fills>
  <borders count="57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723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5" fillId="0" borderId="0" xfId="0" applyFont="1"/>
    <xf numFmtId="0" fontId="0" fillId="0" borderId="0" xfId="0" pivotButton="1"/>
    <xf numFmtId="0" fontId="6" fillId="0" borderId="0" xfId="0" applyFont="1"/>
    <xf numFmtId="0" fontId="3" fillId="0" borderId="0" xfId="0" applyFont="1"/>
    <xf numFmtId="0" fontId="3" fillId="0" borderId="0" xfId="0" applyFont="1" applyAlignment="1">
      <alignment horizontal="left"/>
    </xf>
    <xf numFmtId="14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/>
    </xf>
    <xf numFmtId="0" fontId="0" fillId="0" borderId="0" xfId="0" applyAlignment="1">
      <alignment wrapText="1"/>
    </xf>
    <xf numFmtId="0" fontId="10" fillId="0" borderId="0" xfId="0" applyFont="1" applyAlignment="1">
      <alignment horizontal="center"/>
    </xf>
    <xf numFmtId="0" fontId="3" fillId="0" borderId="0" xfId="0" applyFont="1" applyProtection="1">
      <protection locked="0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164" fontId="3" fillId="0" borderId="0" xfId="0" applyNumberFormat="1" applyFont="1" applyAlignment="1">
      <alignment horizontal="center" vertical="center" wrapText="1"/>
    </xf>
    <xf numFmtId="10" fontId="3" fillId="0" borderId="0" xfId="0" applyNumberFormat="1" applyFont="1" applyAlignment="1">
      <alignment horizontal="center" vertical="center" wrapText="1"/>
    </xf>
    <xf numFmtId="0" fontId="11" fillId="5" borderId="0" xfId="0" applyFont="1" applyFill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14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1" xfId="0" applyNumberFormat="1" applyFont="1" applyBorder="1" applyAlignment="1">
      <alignment horizontal="center" vertical="center" wrapText="1"/>
    </xf>
    <xf numFmtId="0" fontId="12" fillId="0" borderId="2" xfId="0" applyFont="1" applyBorder="1" applyProtection="1">
      <protection locked="0"/>
    </xf>
    <xf numFmtId="0" fontId="7" fillId="4" borderId="18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left" vertical="center"/>
    </xf>
    <xf numFmtId="0" fontId="8" fillId="0" borderId="9" xfId="0" applyFont="1" applyBorder="1" applyAlignment="1" applyProtection="1">
      <alignment horizontal="center" vertical="center" wrapText="1"/>
      <protection hidden="1"/>
    </xf>
    <xf numFmtId="0" fontId="8" fillId="0" borderId="12" xfId="0" applyFont="1" applyBorder="1" applyAlignment="1" applyProtection="1">
      <alignment horizontal="center" vertical="center" wrapText="1"/>
      <protection hidden="1"/>
    </xf>
    <xf numFmtId="0" fontId="8" fillId="0" borderId="3" xfId="0" applyFont="1" applyBorder="1" applyAlignment="1" applyProtection="1">
      <alignment horizontal="center" vertical="center" wrapText="1"/>
      <protection hidden="1"/>
    </xf>
    <xf numFmtId="1" fontId="8" fillId="0" borderId="3" xfId="0" applyNumberFormat="1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10" fontId="8" fillId="0" borderId="3" xfId="1" applyNumberFormat="1" applyFont="1" applyFill="1" applyBorder="1" applyAlignment="1" applyProtection="1">
      <alignment horizontal="center" vertical="center" wrapText="1"/>
      <protection hidden="1"/>
    </xf>
    <xf numFmtId="164" fontId="7" fillId="5" borderId="10" xfId="1" applyNumberFormat="1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10" fontId="7" fillId="6" borderId="3" xfId="0" applyNumberFormat="1" applyFont="1" applyFill="1" applyBorder="1" applyAlignment="1">
      <alignment horizontal="center" vertical="center" wrapText="1"/>
    </xf>
    <xf numFmtId="0" fontId="11" fillId="6" borderId="6" xfId="0" applyFont="1" applyFill="1" applyBorder="1" applyAlignment="1">
      <alignment horizontal="left" vertical="center"/>
    </xf>
    <xf numFmtId="0" fontId="7" fillId="7" borderId="12" xfId="0" applyFont="1" applyFill="1" applyBorder="1" applyAlignment="1">
      <alignment horizontal="center" vertical="center" wrapText="1"/>
    </xf>
    <xf numFmtId="10" fontId="7" fillId="6" borderId="7" xfId="0" applyNumberFormat="1" applyFont="1" applyFill="1" applyBorder="1" applyAlignment="1">
      <alignment horizontal="center" vertical="center" wrapText="1"/>
    </xf>
    <xf numFmtId="10" fontId="8" fillId="0" borderId="7" xfId="1" applyNumberFormat="1" applyFont="1" applyFill="1" applyBorder="1" applyAlignment="1" applyProtection="1">
      <alignment horizontal="center" vertical="center" wrapText="1"/>
      <protection hidden="1"/>
    </xf>
    <xf numFmtId="0" fontId="11" fillId="0" borderId="13" xfId="0" applyFont="1" applyBorder="1" applyAlignment="1" applyProtection="1">
      <alignment horizontal="left" vertical="center" wrapText="1"/>
      <protection hidden="1"/>
    </xf>
    <xf numFmtId="0" fontId="8" fillId="0" borderId="9" xfId="0" applyFont="1" applyBorder="1" applyAlignment="1" applyProtection="1">
      <alignment horizontal="center" vertical="center"/>
      <protection hidden="1"/>
    </xf>
    <xf numFmtId="0" fontId="6" fillId="2" borderId="0" xfId="0" applyFont="1" applyFill="1"/>
    <xf numFmtId="9" fontId="0" fillId="2" borderId="0" xfId="1" applyFont="1" applyFill="1"/>
    <xf numFmtId="0" fontId="10" fillId="0" borderId="0" xfId="0" applyFont="1"/>
    <xf numFmtId="0" fontId="11" fillId="8" borderId="13" xfId="0" applyFont="1" applyFill="1" applyBorder="1" applyAlignment="1" applyProtection="1">
      <alignment horizontal="left" vertical="center" wrapText="1"/>
      <protection hidden="1"/>
    </xf>
    <xf numFmtId="0" fontId="13" fillId="0" borderId="0" xfId="0" applyFont="1"/>
    <xf numFmtId="0" fontId="13" fillId="0" borderId="17" xfId="0" applyFont="1" applyBorder="1"/>
    <xf numFmtId="14" fontId="13" fillId="0" borderId="0" xfId="0" applyNumberFormat="1" applyFont="1" applyAlignment="1">
      <alignment horizontal="center"/>
    </xf>
    <xf numFmtId="0" fontId="13" fillId="0" borderId="19" xfId="0" applyFont="1" applyBorder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10" fillId="0" borderId="0" xfId="0" applyNumberFormat="1" applyFont="1" applyAlignment="1">
      <alignment horizontal="right"/>
    </xf>
    <xf numFmtId="0" fontId="8" fillId="0" borderId="18" xfId="0" applyFont="1" applyBorder="1" applyAlignment="1" applyProtection="1">
      <alignment horizontal="center" vertical="center" wrapText="1"/>
      <protection hidden="1"/>
    </xf>
    <xf numFmtId="14" fontId="14" fillId="0" borderId="20" xfId="0" applyNumberFormat="1" applyFont="1" applyBorder="1" applyAlignment="1">
      <alignment horizontal="center" vertical="center" wrapText="1"/>
    </xf>
    <xf numFmtId="0" fontId="0" fillId="0" borderId="3" xfId="0" applyBorder="1"/>
    <xf numFmtId="0" fontId="0" fillId="0" borderId="3" xfId="0" applyBorder="1" applyAlignment="1">
      <alignment horizontal="center"/>
    </xf>
    <xf numFmtId="0" fontId="11" fillId="5" borderId="28" xfId="0" applyFont="1" applyFill="1" applyBorder="1" applyAlignment="1">
      <alignment horizontal="center" vertical="center" wrapText="1"/>
    </xf>
    <xf numFmtId="3" fontId="11" fillId="6" borderId="29" xfId="0" applyNumberFormat="1" applyFont="1" applyFill="1" applyBorder="1" applyAlignment="1">
      <alignment horizontal="center" vertical="center"/>
    </xf>
    <xf numFmtId="164" fontId="0" fillId="0" borderId="3" xfId="1" applyNumberFormat="1" applyFont="1" applyFill="1" applyBorder="1" applyAlignment="1">
      <alignment horizontal="center"/>
    </xf>
    <xf numFmtId="14" fontId="13" fillId="0" borderId="17" xfId="0" applyNumberFormat="1" applyFont="1" applyBorder="1" applyAlignment="1">
      <alignment horizontal="center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 vertical="center"/>
    </xf>
    <xf numFmtId="165" fontId="13" fillId="0" borderId="0" xfId="0" applyNumberFormat="1" applyFont="1" applyAlignment="1">
      <alignment horizontal="center"/>
    </xf>
    <xf numFmtId="14" fontId="10" fillId="0" borderId="0" xfId="0" applyNumberFormat="1" applyFont="1" applyAlignment="1">
      <alignment horizontal="center" vertical="center"/>
    </xf>
    <xf numFmtId="1" fontId="10" fillId="0" borderId="0" xfId="0" applyNumberFormat="1" applyFont="1" applyAlignment="1">
      <alignment horizontal="center"/>
    </xf>
    <xf numFmtId="1" fontId="10" fillId="0" borderId="0" xfId="0" applyNumberFormat="1" applyFont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0" fontId="10" fillId="0" borderId="0" xfId="0" applyFont="1" applyProtection="1">
      <protection locked="0"/>
    </xf>
    <xf numFmtId="0" fontId="10" fillId="0" borderId="0" xfId="0" applyFont="1" applyAlignment="1">
      <alignment horizontal="center" vertical="center" wrapText="1"/>
    </xf>
    <xf numFmtId="165" fontId="10" fillId="0" borderId="0" xfId="0" quotePrefix="1" applyNumberFormat="1" applyFont="1" applyAlignment="1">
      <alignment horizontal="center" vertical="center"/>
    </xf>
    <xf numFmtId="1" fontId="10" fillId="0" borderId="0" xfId="0" applyNumberFormat="1" applyFont="1" applyAlignment="1">
      <alignment horizontal="right" vertical="center"/>
    </xf>
    <xf numFmtId="14" fontId="10" fillId="0" borderId="17" xfId="0" applyNumberFormat="1" applyFont="1" applyBorder="1" applyAlignment="1">
      <alignment horizontal="center" vertical="center"/>
    </xf>
    <xf numFmtId="0" fontId="13" fillId="0" borderId="0" xfId="0" applyFont="1" applyAlignment="1">
      <alignment horizontal="left"/>
    </xf>
    <xf numFmtId="14" fontId="10" fillId="0" borderId="0" xfId="0" applyNumberFormat="1" applyFont="1" applyAlignment="1">
      <alignment horizontal="left" vertical="center"/>
    </xf>
    <xf numFmtId="0" fontId="10" fillId="0" borderId="0" xfId="0" applyFont="1" applyAlignment="1">
      <alignment horizontal="right"/>
    </xf>
    <xf numFmtId="0" fontId="10" fillId="0" borderId="0" xfId="0" applyFont="1" applyAlignment="1">
      <alignment vertical="center"/>
    </xf>
    <xf numFmtId="14" fontId="13" fillId="0" borderId="0" xfId="0" applyNumberFormat="1" applyFont="1" applyAlignment="1">
      <alignment horizontal="center" wrapText="1"/>
    </xf>
    <xf numFmtId="0" fontId="10" fillId="0" borderId="17" xfId="0" applyFont="1" applyBorder="1" applyAlignment="1">
      <alignment horizontal="left"/>
    </xf>
    <xf numFmtId="0" fontId="10" fillId="0" borderId="21" xfId="0" applyFont="1" applyBorder="1" applyAlignment="1">
      <alignment horizontal="left"/>
    </xf>
    <xf numFmtId="0" fontId="10" fillId="0" borderId="3" xfId="0" applyFont="1" applyBorder="1" applyAlignment="1">
      <alignment horizontal="left"/>
    </xf>
    <xf numFmtId="0" fontId="10" fillId="0" borderId="8" xfId="0" applyFont="1" applyBorder="1" applyAlignment="1">
      <alignment horizontal="left"/>
    </xf>
    <xf numFmtId="14" fontId="10" fillId="0" borderId="22" xfId="0" applyNumberFormat="1" applyFont="1" applyBorder="1" applyAlignment="1">
      <alignment horizontal="center" vertical="center"/>
    </xf>
    <xf numFmtId="14" fontId="10" fillId="0" borderId="23" xfId="0" applyNumberFormat="1" applyFont="1" applyBorder="1" applyAlignment="1">
      <alignment horizontal="center" vertical="center"/>
    </xf>
    <xf numFmtId="0" fontId="10" fillId="0" borderId="19" xfId="0" applyFont="1" applyBorder="1" applyAlignment="1">
      <alignment horizontal="left"/>
    </xf>
    <xf numFmtId="49" fontId="12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14" fontId="10" fillId="0" borderId="0" xfId="0" applyNumberFormat="1" applyFont="1" applyAlignment="1">
      <alignment vertical="center"/>
    </xf>
    <xf numFmtId="0" fontId="10" fillId="0" borderId="17" xfId="0" applyFont="1" applyBorder="1" applyAlignment="1">
      <alignment horizontal="left" vertical="center" wrapText="1"/>
    </xf>
    <xf numFmtId="0" fontId="10" fillId="0" borderId="3" xfId="0" applyFont="1" applyBorder="1"/>
    <xf numFmtId="0" fontId="10" fillId="0" borderId="17" xfId="0" applyFont="1" applyBorder="1" applyAlignment="1">
      <alignment horizontal="left" vertical="center"/>
    </xf>
    <xf numFmtId="0" fontId="13" fillId="0" borderId="3" xfId="0" applyFont="1" applyBorder="1"/>
    <xf numFmtId="0" fontId="10" fillId="0" borderId="17" xfId="0" applyFont="1" applyBorder="1"/>
    <xf numFmtId="14" fontId="13" fillId="0" borderId="17" xfId="0" applyNumberFormat="1" applyFont="1" applyBorder="1" applyAlignment="1">
      <alignment horizontal="center" vertical="center"/>
    </xf>
    <xf numFmtId="14" fontId="10" fillId="0" borderId="3" xfId="0" applyNumberFormat="1" applyFont="1" applyBorder="1" applyAlignment="1">
      <alignment horizontal="center" vertical="center"/>
    </xf>
    <xf numFmtId="14" fontId="13" fillId="0" borderId="3" xfId="0" applyNumberFormat="1" applyFont="1" applyBorder="1" applyAlignment="1">
      <alignment horizontal="center"/>
    </xf>
    <xf numFmtId="14" fontId="10" fillId="0" borderId="19" xfId="0" applyNumberFormat="1" applyFont="1" applyBorder="1" applyAlignment="1">
      <alignment horizontal="center" vertical="center"/>
    </xf>
    <xf numFmtId="0" fontId="16" fillId="0" borderId="0" xfId="0" applyFo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0" xfId="0" applyFont="1" applyAlignment="1">
      <alignment horizontal="left" vertical="center" wrapText="1"/>
    </xf>
    <xf numFmtId="14" fontId="10" fillId="0" borderId="0" xfId="0" applyNumberFormat="1" applyFont="1" applyAlignment="1" applyProtection="1">
      <alignment horizontal="right" vertical="center"/>
      <protection locked="0"/>
    </xf>
    <xf numFmtId="14" fontId="10" fillId="0" borderId="0" xfId="0" applyNumberFormat="1" applyFont="1" applyAlignment="1" applyProtection="1">
      <alignment horizontal="center" vertical="center"/>
      <protection locked="0"/>
    </xf>
    <xf numFmtId="14" fontId="10" fillId="0" borderId="0" xfId="0" applyNumberFormat="1" applyFont="1" applyAlignment="1">
      <alignment horizontal="left"/>
    </xf>
    <xf numFmtId="0" fontId="10" fillId="0" borderId="0" xfId="0" applyFont="1" applyAlignment="1">
      <alignment horizontal="left" wrapText="1"/>
    </xf>
    <xf numFmtId="0" fontId="17" fillId="0" borderId="0" xfId="0" applyFont="1"/>
    <xf numFmtId="0" fontId="10" fillId="0" borderId="24" xfId="0" applyFont="1" applyBorder="1" applyAlignment="1">
      <alignment horizontal="left"/>
    </xf>
    <xf numFmtId="0" fontId="10" fillId="0" borderId="24" xfId="0" applyFont="1" applyBorder="1" applyAlignment="1">
      <alignment horizontal="center" vertical="center"/>
    </xf>
    <xf numFmtId="14" fontId="10" fillId="0" borderId="24" xfId="0" applyNumberFormat="1" applyFont="1" applyBorder="1" applyAlignment="1">
      <alignment horizontal="center" vertical="center"/>
    </xf>
    <xf numFmtId="1" fontId="10" fillId="0" borderId="24" xfId="0" applyNumberFormat="1" applyFont="1" applyBorder="1" applyAlignment="1">
      <alignment horizontal="center"/>
    </xf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10" fillId="2" borderId="0" xfId="0" applyFont="1" applyFill="1"/>
    <xf numFmtId="0" fontId="10" fillId="2" borderId="0" xfId="0" applyFont="1" applyFill="1" applyAlignment="1">
      <alignment horizontal="left"/>
    </xf>
    <xf numFmtId="3" fontId="0" fillId="0" borderId="3" xfId="0" applyNumberFormat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14" fontId="10" fillId="2" borderId="0" xfId="0" applyNumberFormat="1" applyFont="1" applyFill="1" applyAlignment="1">
      <alignment horizontal="center" vertical="center"/>
    </xf>
    <xf numFmtId="165" fontId="13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165" fontId="10" fillId="2" borderId="0" xfId="0" applyNumberFormat="1" applyFont="1" applyFill="1" applyAlignment="1">
      <alignment horizontal="center" vertical="center"/>
    </xf>
    <xf numFmtId="0" fontId="10" fillId="10" borderId="0" xfId="0" applyFont="1" applyFill="1"/>
    <xf numFmtId="0" fontId="10" fillId="10" borderId="0" xfId="0" applyFont="1" applyFill="1" applyAlignment="1">
      <alignment horizontal="left"/>
    </xf>
    <xf numFmtId="0" fontId="10" fillId="10" borderId="0" xfId="0" applyFont="1" applyFill="1" applyAlignment="1">
      <alignment horizontal="center" vertical="center"/>
    </xf>
    <xf numFmtId="14" fontId="13" fillId="10" borderId="0" xfId="0" applyNumberFormat="1" applyFont="1" applyFill="1" applyAlignment="1">
      <alignment horizontal="center"/>
    </xf>
    <xf numFmtId="14" fontId="10" fillId="10" borderId="0" xfId="0" applyNumberFormat="1" applyFont="1" applyFill="1" applyAlignment="1">
      <alignment horizontal="center" vertical="center"/>
    </xf>
    <xf numFmtId="165" fontId="13" fillId="10" borderId="0" xfId="0" applyNumberFormat="1" applyFont="1" applyFill="1" applyAlignment="1">
      <alignment horizontal="center"/>
    </xf>
    <xf numFmtId="0" fontId="10" fillId="10" borderId="0" xfId="0" applyFont="1" applyFill="1" applyAlignment="1">
      <alignment horizontal="center"/>
    </xf>
    <xf numFmtId="20" fontId="10" fillId="0" borderId="0" xfId="0" applyNumberFormat="1" applyFont="1" applyAlignment="1">
      <alignment horizontal="center" vertical="center"/>
    </xf>
    <xf numFmtId="14" fontId="13" fillId="2" borderId="0" xfId="0" applyNumberFormat="1" applyFont="1" applyFill="1" applyAlignment="1">
      <alignment horizontal="center"/>
    </xf>
    <xf numFmtId="14" fontId="13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4" fontId="7" fillId="0" borderId="0" xfId="0" applyNumberFormat="1" applyFont="1" applyAlignment="1">
      <alignment horizontal="center" vertical="center"/>
    </xf>
    <xf numFmtId="1" fontId="7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22" fillId="0" borderId="0" xfId="0" applyFont="1"/>
    <xf numFmtId="14" fontId="0" fillId="0" borderId="0" xfId="0" applyNumberFormat="1" applyAlignment="1">
      <alignment horizontal="center" vertical="center"/>
    </xf>
    <xf numFmtId="165" fontId="22" fillId="0" borderId="0" xfId="0" applyNumberFormat="1" applyFont="1" applyAlignment="1">
      <alignment horizontal="center"/>
    </xf>
    <xf numFmtId="165" fontId="10" fillId="0" borderId="0" xfId="0" applyNumberFormat="1" applyFont="1" applyAlignment="1" applyProtection="1">
      <alignment horizontal="center" vertical="center"/>
      <protection locked="0"/>
    </xf>
    <xf numFmtId="165" fontId="23" fillId="0" borderId="0" xfId="0" applyNumberFormat="1" applyFont="1" applyAlignment="1">
      <alignment horizontal="center" vertical="center"/>
    </xf>
    <xf numFmtId="0" fontId="10" fillId="0" borderId="24" xfId="0" applyFont="1" applyBorder="1"/>
    <xf numFmtId="0" fontId="10" fillId="0" borderId="24" xfId="0" applyFont="1" applyBorder="1" applyAlignment="1">
      <alignment horizontal="center"/>
    </xf>
    <xf numFmtId="14" fontId="22" fillId="0" borderId="0" xfId="0" applyNumberFormat="1" applyFont="1" applyAlignment="1">
      <alignment horizontal="center"/>
    </xf>
    <xf numFmtId="0" fontId="13" fillId="2" borderId="0" xfId="0" applyFont="1" applyFill="1"/>
    <xf numFmtId="1" fontId="10" fillId="2" borderId="0" xfId="0" applyNumberFormat="1" applyFont="1" applyFill="1" applyAlignment="1">
      <alignment horizontal="center"/>
    </xf>
    <xf numFmtId="1" fontId="10" fillId="2" borderId="0" xfId="0" applyNumberFormat="1" applyFont="1" applyFill="1" applyAlignment="1">
      <alignment horizontal="right"/>
    </xf>
    <xf numFmtId="165" fontId="10" fillId="2" borderId="0" xfId="0" quotePrefix="1" applyNumberFormat="1" applyFont="1" applyFill="1" applyAlignment="1">
      <alignment horizontal="center" vertical="center"/>
    </xf>
    <xf numFmtId="0" fontId="10" fillId="2" borderId="17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12" borderId="7" xfId="0" applyFont="1" applyFill="1" applyBorder="1" applyAlignment="1">
      <alignment horizontal="center" vertical="center" wrapText="1"/>
    </xf>
    <xf numFmtId="0" fontId="24" fillId="0" borderId="3" xfId="0" applyFont="1" applyBorder="1" applyAlignment="1">
      <alignment horizontal="center"/>
    </xf>
    <xf numFmtId="0" fontId="24" fillId="0" borderId="18" xfId="0" applyFont="1" applyBorder="1" applyAlignment="1">
      <alignment horizontal="center"/>
    </xf>
    <xf numFmtId="3" fontId="0" fillId="0" borderId="3" xfId="0" applyNumberFormat="1" applyBorder="1" applyAlignment="1">
      <alignment horizontal="center"/>
    </xf>
    <xf numFmtId="0" fontId="5" fillId="0" borderId="3" xfId="0" applyFont="1" applyBorder="1" applyAlignment="1">
      <alignment horizontal="center"/>
    </xf>
    <xf numFmtId="166" fontId="0" fillId="0" borderId="3" xfId="0" applyNumberFormat="1" applyBorder="1" applyAlignment="1">
      <alignment horizontal="center"/>
    </xf>
    <xf numFmtId="166" fontId="0" fillId="0" borderId="7" xfId="0" applyNumberFormat="1" applyBorder="1" applyAlignment="1">
      <alignment horizontal="center"/>
    </xf>
    <xf numFmtId="3" fontId="0" fillId="2" borderId="3" xfId="0" applyNumberFormat="1" applyFill="1" applyBorder="1" applyAlignment="1">
      <alignment horizontal="center"/>
    </xf>
    <xf numFmtId="10" fontId="0" fillId="0" borderId="3" xfId="0" applyNumberFormat="1" applyBorder="1" applyAlignment="1">
      <alignment horizontal="center"/>
    </xf>
    <xf numFmtId="49" fontId="24" fillId="0" borderId="3" xfId="0" applyNumberFormat="1" applyFont="1" applyBorder="1" applyAlignment="1">
      <alignment horizontal="center"/>
    </xf>
    <xf numFmtId="3" fontId="0" fillId="2" borderId="8" xfId="0" applyNumberFormat="1" applyFill="1" applyBorder="1" applyAlignment="1">
      <alignment horizontal="center"/>
    </xf>
    <xf numFmtId="3" fontId="0" fillId="0" borderId="8" xfId="0" applyNumberFormat="1" applyBorder="1" applyAlignment="1">
      <alignment horizontal="center"/>
    </xf>
    <xf numFmtId="10" fontId="0" fillId="0" borderId="8" xfId="0" applyNumberFormat="1" applyBorder="1" applyAlignment="1">
      <alignment horizontal="center"/>
    </xf>
    <xf numFmtId="0" fontId="25" fillId="2" borderId="31" xfId="0" applyFont="1" applyFill="1" applyBorder="1" applyAlignment="1">
      <alignment horizontal="center"/>
    </xf>
    <xf numFmtId="3" fontId="6" fillId="15" borderId="31" xfId="0" applyNumberFormat="1" applyFont="1" applyFill="1" applyBorder="1" applyAlignment="1">
      <alignment horizontal="center"/>
    </xf>
    <xf numFmtId="3" fontId="6" fillId="2" borderId="31" xfId="0" applyNumberFormat="1" applyFont="1" applyFill="1" applyBorder="1" applyAlignment="1">
      <alignment horizontal="center"/>
    </xf>
    <xf numFmtId="0" fontId="24" fillId="0" borderId="3" xfId="0" applyFont="1" applyBorder="1" applyAlignment="1">
      <alignment horizontal="left"/>
    </xf>
    <xf numFmtId="0" fontId="24" fillId="14" borderId="3" xfId="0" applyFont="1" applyFill="1" applyBorder="1" applyAlignment="1">
      <alignment horizontal="left"/>
    </xf>
    <xf numFmtId="0" fontId="25" fillId="2" borderId="30" xfId="0" applyFont="1" applyFill="1" applyBorder="1" applyAlignment="1">
      <alignment horizontal="left"/>
    </xf>
    <xf numFmtId="0" fontId="24" fillId="0" borderId="18" xfId="0" applyFont="1" applyBorder="1" applyAlignment="1">
      <alignment horizontal="left"/>
    </xf>
    <xf numFmtId="0" fontId="24" fillId="13" borderId="18" xfId="0" applyFont="1" applyFill="1" applyBorder="1" applyAlignment="1">
      <alignment horizontal="left"/>
    </xf>
    <xf numFmtId="0" fontId="25" fillId="2" borderId="31" xfId="0" applyFont="1" applyFill="1" applyBorder="1" applyAlignment="1">
      <alignment horizontal="left"/>
    </xf>
    <xf numFmtId="0" fontId="3" fillId="0" borderId="3" xfId="0" applyFont="1" applyBorder="1" applyAlignment="1">
      <alignment horizontal="center"/>
    </xf>
    <xf numFmtId="3" fontId="0" fillId="16" borderId="3" xfId="0" applyNumberFormat="1" applyFill="1" applyBorder="1" applyAlignment="1">
      <alignment horizontal="center"/>
    </xf>
    <xf numFmtId="3" fontId="0" fillId="18" borderId="3" xfId="0" applyNumberFormat="1" applyFill="1" applyBorder="1" applyAlignment="1">
      <alignment horizontal="center"/>
    </xf>
    <xf numFmtId="3" fontId="0" fillId="0" borderId="0" xfId="0" applyNumberFormat="1" applyAlignment="1">
      <alignment horizontal="center"/>
    </xf>
    <xf numFmtId="9" fontId="0" fillId="0" borderId="3" xfId="0" applyNumberFormat="1" applyBorder="1" applyAlignment="1">
      <alignment horizontal="center"/>
    </xf>
    <xf numFmtId="3" fontId="0" fillId="19" borderId="3" xfId="0" applyNumberFormat="1" applyFill="1" applyBorder="1" applyAlignment="1">
      <alignment horizontal="center"/>
    </xf>
    <xf numFmtId="0" fontId="10" fillId="3" borderId="0" xfId="0" applyFont="1" applyFill="1" applyAlignment="1">
      <alignment horizontal="center"/>
    </xf>
    <xf numFmtId="3" fontId="0" fillId="0" borderId="0" xfId="0" applyNumberFormat="1"/>
    <xf numFmtId="1" fontId="10" fillId="0" borderId="0" xfId="0" applyNumberFormat="1" applyFont="1" applyAlignment="1">
      <alignment horizontal="center" vertical="center" wrapText="1"/>
    </xf>
    <xf numFmtId="3" fontId="6" fillId="20" borderId="31" xfId="0" applyNumberFormat="1" applyFont="1" applyFill="1" applyBorder="1" applyAlignment="1">
      <alignment horizontal="center"/>
    </xf>
    <xf numFmtId="0" fontId="0" fillId="0" borderId="32" xfId="0" applyBorder="1" applyAlignment="1">
      <alignment horizontal="center"/>
    </xf>
    <xf numFmtId="9" fontId="0" fillId="0" borderId="32" xfId="1" applyFont="1" applyBorder="1" applyAlignment="1">
      <alignment horizontal="center"/>
    </xf>
    <xf numFmtId="0" fontId="24" fillId="0" borderId="3" xfId="0" applyFont="1" applyBorder="1" applyAlignment="1">
      <alignment horizontal="center" wrapText="1"/>
    </xf>
    <xf numFmtId="0" fontId="0" fillId="0" borderId="0" xfId="0" applyAlignment="1">
      <alignment horizontal="center" wrapText="1"/>
    </xf>
    <xf numFmtId="1" fontId="0" fillId="0" borderId="0" xfId="0" applyNumberFormat="1" applyAlignment="1">
      <alignment wrapText="1"/>
    </xf>
    <xf numFmtId="0" fontId="8" fillId="0" borderId="33" xfId="0" applyFont="1" applyBorder="1" applyAlignment="1">
      <alignment horizontal="center" vertical="center" wrapText="1"/>
    </xf>
    <xf numFmtId="0" fontId="10" fillId="3" borderId="0" xfId="0" applyFont="1" applyFill="1" applyAlignment="1">
      <alignment horizontal="left"/>
    </xf>
    <xf numFmtId="1" fontId="10" fillId="3" borderId="0" xfId="0" applyNumberFormat="1" applyFont="1" applyFill="1" applyAlignment="1">
      <alignment horizontal="center" vertical="center"/>
    </xf>
    <xf numFmtId="1" fontId="10" fillId="0" borderId="0" xfId="0" applyNumberFormat="1" applyFont="1" applyAlignment="1">
      <alignment horizontal="right" vertical="center" wrapText="1"/>
    </xf>
    <xf numFmtId="0" fontId="10" fillId="3" borderId="0" xfId="0" applyFont="1" applyFill="1" applyAlignment="1">
      <alignment horizontal="center" vertical="center"/>
    </xf>
    <xf numFmtId="0" fontId="10" fillId="3" borderId="0" xfId="0" applyFont="1" applyFill="1"/>
    <xf numFmtId="0" fontId="7" fillId="7" borderId="18" xfId="0" applyFont="1" applyFill="1" applyBorder="1" applyAlignment="1">
      <alignment horizontal="center" vertical="center" wrapText="1"/>
    </xf>
    <xf numFmtId="15" fontId="3" fillId="0" borderId="0" xfId="0" applyNumberFormat="1" applyFont="1" applyAlignment="1" applyProtection="1">
      <alignment horizontal="left" vertical="center" wrapText="1"/>
      <protection hidden="1"/>
    </xf>
    <xf numFmtId="0" fontId="7" fillId="2" borderId="4" xfId="0" applyFont="1" applyFill="1" applyBorder="1" applyAlignment="1">
      <alignment horizontal="center" vertical="top" wrapText="1"/>
    </xf>
    <xf numFmtId="0" fontId="7" fillId="2" borderId="27" xfId="0" applyFont="1" applyFill="1" applyBorder="1" applyAlignment="1">
      <alignment horizontal="center" vertical="top" wrapText="1"/>
    </xf>
    <xf numFmtId="0" fontId="7" fillId="2" borderId="5" xfId="0" applyFont="1" applyFill="1" applyBorder="1" applyAlignment="1">
      <alignment horizontal="center" vertical="top" wrapText="1"/>
    </xf>
    <xf numFmtId="0" fontId="7" fillId="20" borderId="34" xfId="0" applyFont="1" applyFill="1" applyBorder="1" applyAlignment="1">
      <alignment horizontal="center" vertical="top" wrapText="1"/>
    </xf>
    <xf numFmtId="0" fontId="7" fillId="20" borderId="35" xfId="0" applyFont="1" applyFill="1" applyBorder="1" applyAlignment="1">
      <alignment horizontal="center" vertical="top" wrapText="1"/>
    </xf>
    <xf numFmtId="0" fontId="7" fillId="9" borderId="0" xfId="0" applyFont="1" applyFill="1" applyAlignment="1">
      <alignment horizontal="center" vertical="top" wrapText="1"/>
    </xf>
    <xf numFmtId="0" fontId="7" fillId="21" borderId="32" xfId="0" applyFont="1" applyFill="1" applyBorder="1" applyAlignment="1">
      <alignment horizontal="center" vertical="top" wrapText="1"/>
    </xf>
    <xf numFmtId="0" fontId="7" fillId="21" borderId="5" xfId="0" applyFont="1" applyFill="1" applyBorder="1" applyAlignment="1">
      <alignment horizontal="center" vertical="top" wrapText="1"/>
    </xf>
    <xf numFmtId="0" fontId="7" fillId="21" borderId="36" xfId="0" applyFont="1" applyFill="1" applyBorder="1" applyAlignment="1">
      <alignment horizontal="center" vertical="top" wrapText="1"/>
    </xf>
    <xf numFmtId="0" fontId="7" fillId="13" borderId="32" xfId="0" applyFont="1" applyFill="1" applyBorder="1" applyAlignment="1">
      <alignment horizontal="center" vertical="top" wrapText="1"/>
    </xf>
    <xf numFmtId="0" fontId="7" fillId="13" borderId="5" xfId="0" applyFont="1" applyFill="1" applyBorder="1" applyAlignment="1">
      <alignment horizontal="center" vertical="top" wrapText="1"/>
    </xf>
    <xf numFmtId="1" fontId="7" fillId="14" borderId="32" xfId="0" applyNumberFormat="1" applyFont="1" applyFill="1" applyBorder="1" applyAlignment="1">
      <alignment horizontal="center" vertical="top" wrapText="1"/>
    </xf>
    <xf numFmtId="1" fontId="7" fillId="14" borderId="5" xfId="0" applyNumberFormat="1" applyFont="1" applyFill="1" applyBorder="1" applyAlignment="1">
      <alignment horizontal="center" vertical="top" wrapText="1"/>
    </xf>
    <xf numFmtId="0" fontId="7" fillId="14" borderId="32" xfId="0" applyFont="1" applyFill="1" applyBorder="1" applyAlignment="1">
      <alignment horizontal="center" vertical="top" wrapText="1"/>
    </xf>
    <xf numFmtId="0" fontId="7" fillId="14" borderId="5" xfId="0" applyFont="1" applyFill="1" applyBorder="1" applyAlignment="1">
      <alignment horizontal="center" vertical="top" wrapText="1"/>
    </xf>
    <xf numFmtId="0" fontId="7" fillId="2" borderId="32" xfId="0" applyFont="1" applyFill="1" applyBorder="1" applyAlignment="1">
      <alignment horizontal="center" vertical="top" wrapText="1"/>
    </xf>
    <xf numFmtId="0" fontId="27" fillId="9" borderId="0" xfId="0" applyFont="1" applyFill="1"/>
    <xf numFmtId="0" fontId="0" fillId="0" borderId="17" xfId="0" applyBorder="1"/>
    <xf numFmtId="0" fontId="10" fillId="0" borderId="41" xfId="0" applyFont="1" applyBorder="1" applyAlignment="1">
      <alignment horizontal="center"/>
    </xf>
    <xf numFmtId="9" fontId="0" fillId="0" borderId="17" xfId="0" applyNumberFormat="1" applyBorder="1" applyAlignment="1">
      <alignment horizontal="center"/>
    </xf>
    <xf numFmtId="0" fontId="6" fillId="2" borderId="43" xfId="0" applyFont="1" applyFill="1" applyBorder="1"/>
    <xf numFmtId="0" fontId="6" fillId="2" borderId="44" xfId="0" applyFont="1" applyFill="1" applyBorder="1" applyAlignment="1">
      <alignment horizontal="center"/>
    </xf>
    <xf numFmtId="0" fontId="0" fillId="2" borderId="45" xfId="0" applyFill="1" applyBorder="1" applyAlignment="1">
      <alignment horizontal="center"/>
    </xf>
    <xf numFmtId="0" fontId="12" fillId="23" borderId="1" xfId="0" applyFont="1" applyFill="1" applyBorder="1" applyAlignment="1">
      <alignment horizontal="center" vertical="center" wrapText="1"/>
    </xf>
    <xf numFmtId="0" fontId="12" fillId="23" borderId="2" xfId="0" applyFont="1" applyFill="1" applyBorder="1" applyAlignment="1">
      <alignment horizontal="center" vertical="center" wrapText="1"/>
    </xf>
    <xf numFmtId="14" fontId="0" fillId="0" borderId="17" xfId="0" applyNumberFormat="1" applyBorder="1" applyAlignment="1">
      <alignment horizontal="left"/>
    </xf>
    <xf numFmtId="0" fontId="0" fillId="0" borderId="34" xfId="0" applyBorder="1" applyAlignment="1">
      <alignment horizontal="center"/>
    </xf>
    <xf numFmtId="0" fontId="0" fillId="0" borderId="22" xfId="0" applyBorder="1" applyAlignment="1">
      <alignment horizontal="center"/>
    </xf>
    <xf numFmtId="0" fontId="7" fillId="0" borderId="0" xfId="0" applyFont="1" applyAlignment="1">
      <alignment vertical="center"/>
    </xf>
    <xf numFmtId="0" fontId="29" fillId="0" borderId="3" xfId="0" applyFont="1" applyBorder="1"/>
    <xf numFmtId="0" fontId="7" fillId="24" borderId="5" xfId="0" applyFont="1" applyFill="1" applyBorder="1" applyAlignment="1">
      <alignment horizontal="center" vertical="top" wrapText="1"/>
    </xf>
    <xf numFmtId="0" fontId="7" fillId="9" borderId="5" xfId="0" applyFont="1" applyFill="1" applyBorder="1" applyAlignment="1">
      <alignment horizontal="center" vertical="top" wrapText="1"/>
    </xf>
    <xf numFmtId="0" fontId="7" fillId="25" borderId="5" xfId="0" applyFont="1" applyFill="1" applyBorder="1" applyAlignment="1">
      <alignment horizontal="center" vertical="top" wrapText="1"/>
    </xf>
    <xf numFmtId="1" fontId="24" fillId="0" borderId="3" xfId="0" applyNumberFormat="1" applyFont="1" applyBorder="1" applyAlignment="1">
      <alignment horizontal="center" wrapText="1"/>
    </xf>
    <xf numFmtId="0" fontId="24" fillId="9" borderId="3" xfId="0" applyFont="1" applyFill="1" applyBorder="1" applyAlignment="1">
      <alignment horizontal="center" wrapText="1"/>
    </xf>
    <xf numFmtId="0" fontId="24" fillId="9" borderId="36" xfId="0" applyFont="1" applyFill="1" applyBorder="1" applyAlignment="1">
      <alignment horizontal="center" wrapText="1"/>
    </xf>
    <xf numFmtId="0" fontId="24" fillId="9" borderId="38" xfId="0" applyFont="1" applyFill="1" applyBorder="1" applyAlignment="1">
      <alignment horizontal="center" wrapText="1"/>
    </xf>
    <xf numFmtId="0" fontId="0" fillId="9" borderId="0" xfId="0" applyFill="1" applyAlignment="1">
      <alignment wrapText="1"/>
    </xf>
    <xf numFmtId="0" fontId="0" fillId="3" borderId="0" xfId="0" applyFill="1" applyAlignment="1">
      <alignment wrapText="1"/>
    </xf>
    <xf numFmtId="166" fontId="24" fillId="0" borderId="3" xfId="0" applyNumberFormat="1" applyFont="1" applyBorder="1" applyAlignment="1">
      <alignment horizontal="center" wrapText="1"/>
    </xf>
    <xf numFmtId="9" fontId="0" fillId="0" borderId="3" xfId="1" applyFont="1" applyFill="1" applyBorder="1" applyAlignment="1">
      <alignment horizontal="center"/>
    </xf>
    <xf numFmtId="0" fontId="0" fillId="0" borderId="3" xfId="0" applyBorder="1" applyAlignment="1">
      <alignment textRotation="90"/>
    </xf>
    <xf numFmtId="0" fontId="7" fillId="2" borderId="3" xfId="0" applyFont="1" applyFill="1" applyBorder="1" applyAlignment="1">
      <alignment textRotation="90"/>
    </xf>
    <xf numFmtId="0" fontId="0" fillId="0" borderId="3" xfId="0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6" fillId="2" borderId="3" xfId="0" applyFont="1" applyFill="1" applyBorder="1"/>
    <xf numFmtId="0" fontId="0" fillId="2" borderId="35" xfId="0" applyFill="1" applyBorder="1" applyAlignment="1">
      <alignment horizontal="left"/>
    </xf>
    <xf numFmtId="0" fontId="0" fillId="2" borderId="32" xfId="0" applyFill="1" applyBorder="1"/>
    <xf numFmtId="0" fontId="0" fillId="2" borderId="35" xfId="0" applyFill="1" applyBorder="1"/>
    <xf numFmtId="3" fontId="0" fillId="0" borderId="32" xfId="0" applyNumberFormat="1" applyBorder="1" applyAlignment="1">
      <alignment horizontal="center"/>
    </xf>
    <xf numFmtId="3" fontId="10" fillId="0" borderId="41" xfId="0" applyNumberFormat="1" applyFont="1" applyBorder="1" applyAlignment="1">
      <alignment horizontal="center"/>
    </xf>
    <xf numFmtId="9" fontId="0" fillId="0" borderId="3" xfId="1" applyFont="1" applyBorder="1"/>
    <xf numFmtId="0" fontId="3" fillId="16" borderId="8" xfId="0" applyFont="1" applyFill="1" applyBorder="1" applyAlignment="1">
      <alignment horizontal="center" vertical="center" wrapText="1"/>
    </xf>
    <xf numFmtId="0" fontId="3" fillId="17" borderId="8" xfId="0" applyFont="1" applyFill="1" applyBorder="1" applyAlignment="1">
      <alignment horizontal="center" vertical="center" wrapText="1"/>
    </xf>
    <xf numFmtId="0" fontId="0" fillId="18" borderId="8" xfId="0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30" fillId="0" borderId="0" xfId="0" applyFont="1" applyAlignment="1">
      <alignment vertical="center" wrapText="1"/>
    </xf>
    <xf numFmtId="0" fontId="31" fillId="2" borderId="17" xfId="0" applyFont="1" applyFill="1" applyBorder="1" applyAlignment="1">
      <alignment horizontal="center" vertical="center" wrapText="1"/>
    </xf>
    <xf numFmtId="0" fontId="31" fillId="2" borderId="21" xfId="0" applyFont="1" applyFill="1" applyBorder="1" applyAlignment="1">
      <alignment horizontal="center" vertical="center" wrapText="1"/>
    </xf>
    <xf numFmtId="0" fontId="15" fillId="2" borderId="33" xfId="0" applyFont="1" applyFill="1" applyBorder="1" applyAlignment="1">
      <alignment horizontal="center" vertical="center" wrapText="1"/>
    </xf>
    <xf numFmtId="1" fontId="0" fillId="0" borderId="3" xfId="1" applyNumberFormat="1" applyFont="1" applyFill="1" applyBorder="1" applyAlignment="1">
      <alignment horizontal="center"/>
    </xf>
    <xf numFmtId="166" fontId="0" fillId="0" borderId="3" xfId="1" applyNumberFormat="1" applyFont="1" applyFill="1" applyBorder="1" applyAlignment="1">
      <alignment horizontal="center"/>
    </xf>
    <xf numFmtId="166" fontId="0" fillId="0" borderId="3" xfId="0" applyNumberFormat="1" applyBorder="1"/>
    <xf numFmtId="164" fontId="0" fillId="0" borderId="32" xfId="1" applyNumberFormat="1" applyFont="1" applyBorder="1" applyAlignment="1">
      <alignment horizontal="center"/>
    </xf>
    <xf numFmtId="164" fontId="0" fillId="2" borderId="32" xfId="1" applyNumberFormat="1" applyFont="1" applyFill="1" applyBorder="1" applyAlignment="1">
      <alignment horizontal="center"/>
    </xf>
    <xf numFmtId="164" fontId="0" fillId="2" borderId="42" xfId="0" applyNumberFormat="1" applyFill="1" applyBorder="1" applyAlignment="1">
      <alignment horizontal="center"/>
    </xf>
    <xf numFmtId="0" fontId="29" fillId="0" borderId="0" xfId="0" applyFont="1"/>
    <xf numFmtId="0" fontId="18" fillId="0" borderId="0" xfId="0" applyFont="1" applyAlignment="1">
      <alignment horizontal="center"/>
    </xf>
    <xf numFmtId="0" fontId="35" fillId="0" borderId="0" xfId="0" applyFont="1" applyAlignment="1">
      <alignment horizontal="center"/>
    </xf>
    <xf numFmtId="0" fontId="36" fillId="0" borderId="0" xfId="0" applyFont="1" applyAlignment="1">
      <alignment horizontal="center"/>
    </xf>
    <xf numFmtId="0" fontId="33" fillId="0" borderId="3" xfId="0" applyFont="1" applyBorder="1" applyAlignment="1">
      <alignment horizontal="center"/>
    </xf>
    <xf numFmtId="0" fontId="32" fillId="0" borderId="3" xfId="0" applyFont="1" applyBorder="1"/>
    <xf numFmtId="0" fontId="34" fillId="0" borderId="3" xfId="0" applyFont="1" applyBorder="1" applyAlignment="1">
      <alignment horizontal="center"/>
    </xf>
    <xf numFmtId="0" fontId="35" fillId="0" borderId="3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0" fontId="20" fillId="0" borderId="3" xfId="0" applyFont="1" applyBorder="1"/>
    <xf numFmtId="164" fontId="0" fillId="0" borderId="32" xfId="1" applyNumberFormat="1" applyFont="1" applyFill="1" applyBorder="1" applyAlignment="1">
      <alignment horizontal="center"/>
    </xf>
    <xf numFmtId="164" fontId="0" fillId="0" borderId="42" xfId="0" applyNumberFormat="1" applyBorder="1" applyAlignment="1">
      <alignment horizontal="center"/>
    </xf>
    <xf numFmtId="0" fontId="31" fillId="2" borderId="42" xfId="0" applyFont="1" applyFill="1" applyBorder="1" applyAlignment="1">
      <alignment horizontal="center" vertical="center" wrapText="1"/>
    </xf>
    <xf numFmtId="0" fontId="31" fillId="2" borderId="47" xfId="0" applyFont="1" applyFill="1" applyBorder="1" applyAlignment="1">
      <alignment horizontal="center" vertical="center" wrapText="1"/>
    </xf>
    <xf numFmtId="0" fontId="31" fillId="2" borderId="3" xfId="0" applyFont="1" applyFill="1" applyBorder="1" applyAlignment="1">
      <alignment horizontal="center" vertical="center" wrapText="1"/>
    </xf>
    <xf numFmtId="0" fontId="18" fillId="0" borderId="3" xfId="0" applyFont="1" applyBorder="1" applyAlignment="1">
      <alignment horizontal="left"/>
    </xf>
    <xf numFmtId="0" fontId="0" fillId="0" borderId="3" xfId="0" pivotButton="1" applyBorder="1"/>
    <xf numFmtId="0" fontId="7" fillId="2" borderId="3" xfId="0" applyFont="1" applyFill="1" applyBorder="1"/>
    <xf numFmtId="3" fontId="24" fillId="0" borderId="3" xfId="0" applyNumberFormat="1" applyFont="1" applyBorder="1" applyAlignment="1">
      <alignment horizontal="center" wrapText="1"/>
    </xf>
    <xf numFmtId="9" fontId="24" fillId="0" borderId="3" xfId="1" applyFont="1" applyFill="1" applyBorder="1" applyAlignment="1">
      <alignment horizontal="center" wrapText="1"/>
    </xf>
    <xf numFmtId="0" fontId="8" fillId="0" borderId="25" xfId="0" applyFont="1" applyBorder="1" applyAlignment="1" applyProtection="1">
      <alignment horizontal="center" vertical="center" wrapText="1"/>
      <protection hidden="1"/>
    </xf>
    <xf numFmtId="0" fontId="8" fillId="0" borderId="26" xfId="0" applyFont="1" applyBorder="1" applyAlignment="1" applyProtection="1">
      <alignment horizontal="center" vertical="center" wrapText="1"/>
      <protection hidden="1"/>
    </xf>
    <xf numFmtId="1" fontId="8" fillId="0" borderId="8" xfId="0" applyNumberFormat="1" applyFont="1" applyBorder="1" applyAlignment="1" applyProtection="1">
      <alignment horizontal="center" vertical="center" wrapText="1"/>
      <protection hidden="1"/>
    </xf>
    <xf numFmtId="3" fontId="11" fillId="4" borderId="48" xfId="0" applyNumberFormat="1" applyFont="1" applyFill="1" applyBorder="1" applyAlignment="1">
      <alignment horizontal="center" vertical="center"/>
    </xf>
    <xf numFmtId="1" fontId="11" fillId="4" borderId="48" xfId="2" applyNumberFormat="1" applyFont="1" applyFill="1" applyBorder="1" applyAlignment="1">
      <alignment horizontal="center" vertical="center"/>
    </xf>
    <xf numFmtId="3" fontId="0" fillId="0" borderId="8" xfId="0" applyNumberFormat="1" applyBorder="1" applyAlignment="1">
      <alignment horizontal="center" vertical="center" wrapText="1"/>
    </xf>
    <xf numFmtId="0" fontId="11" fillId="5" borderId="28" xfId="0" applyFont="1" applyFill="1" applyBorder="1" applyAlignment="1">
      <alignment horizontal="left" vertical="center" wrapText="1"/>
    </xf>
    <xf numFmtId="9" fontId="11" fillId="5" borderId="28" xfId="1" applyFont="1" applyFill="1" applyBorder="1" applyAlignment="1">
      <alignment horizontal="center" vertical="center" wrapText="1"/>
    </xf>
    <xf numFmtId="0" fontId="11" fillId="0" borderId="8" xfId="0" applyFont="1" applyBorder="1" applyAlignment="1" applyProtection="1">
      <alignment horizontal="left" vertical="center" wrapText="1"/>
      <protection hidden="1"/>
    </xf>
    <xf numFmtId="3" fontId="8" fillId="0" borderId="8" xfId="0" applyNumberFormat="1" applyFont="1" applyBorder="1" applyAlignment="1" applyProtection="1">
      <alignment horizontal="center" vertical="center" wrapText="1"/>
      <protection hidden="1"/>
    </xf>
    <xf numFmtId="9" fontId="8" fillId="0" borderId="9" xfId="1" applyFont="1" applyFill="1" applyBorder="1" applyAlignment="1" applyProtection="1">
      <alignment horizontal="center" vertical="center" wrapText="1"/>
      <protection hidden="1"/>
    </xf>
    <xf numFmtId="1" fontId="11" fillId="6" borderId="29" xfId="2" applyNumberFormat="1" applyFont="1" applyFill="1" applyBorder="1" applyAlignment="1">
      <alignment horizontal="center"/>
    </xf>
    <xf numFmtId="9" fontId="11" fillId="6" borderId="29" xfId="1" applyFont="1" applyFill="1" applyBorder="1" applyAlignment="1">
      <alignment horizontal="center" vertical="center"/>
    </xf>
    <xf numFmtId="9" fontId="8" fillId="0" borderId="3" xfId="1" applyFont="1" applyFill="1" applyBorder="1" applyAlignment="1" applyProtection="1">
      <alignment horizontal="center" vertical="center" wrapText="1"/>
      <protection hidden="1"/>
    </xf>
    <xf numFmtId="10" fontId="8" fillId="0" borderId="8" xfId="1" applyNumberFormat="1" applyFont="1" applyFill="1" applyBorder="1" applyAlignment="1" applyProtection="1">
      <alignment horizontal="center" vertical="center" wrapText="1"/>
      <protection hidden="1"/>
    </xf>
    <xf numFmtId="10" fontId="8" fillId="0" borderId="11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>
      <alignment horizontal="center" vertical="center" wrapText="1"/>
    </xf>
    <xf numFmtId="0" fontId="0" fillId="0" borderId="26" xfId="0" applyBorder="1" applyAlignment="1">
      <alignment textRotation="90"/>
    </xf>
    <xf numFmtId="0" fontId="0" fillId="0" borderId="8" xfId="0" applyBorder="1" applyAlignment="1">
      <alignment textRotation="90"/>
    </xf>
    <xf numFmtId="0" fontId="0" fillId="0" borderId="9" xfId="0" applyBorder="1" applyAlignment="1">
      <alignment textRotation="90"/>
    </xf>
    <xf numFmtId="3" fontId="8" fillId="0" borderId="9" xfId="0" applyNumberFormat="1" applyFont="1" applyBorder="1" applyAlignment="1" applyProtection="1">
      <alignment horizontal="center" vertical="center" wrapText="1"/>
      <protection hidden="1"/>
    </xf>
    <xf numFmtId="0" fontId="8" fillId="0" borderId="18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26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11" xfId="0" applyFont="1" applyBorder="1" applyAlignment="1">
      <alignment horizontal="center" vertical="center" wrapText="1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center" vertical="center"/>
    </xf>
    <xf numFmtId="14" fontId="10" fillId="0" borderId="0" xfId="0" applyNumberFormat="1" applyFont="1" applyFill="1" applyAlignment="1">
      <alignment horizontal="center" vertical="center"/>
    </xf>
    <xf numFmtId="165" fontId="10" fillId="0" borderId="0" xfId="0" applyNumberFormat="1" applyFont="1" applyFill="1" applyAlignment="1">
      <alignment horizontal="center" vertical="center"/>
    </xf>
    <xf numFmtId="165" fontId="10" fillId="0" borderId="17" xfId="0" applyNumberFormat="1" applyFont="1" applyFill="1" applyBorder="1" applyAlignment="1">
      <alignment horizontal="center" vertical="center"/>
    </xf>
    <xf numFmtId="0" fontId="10" fillId="0" borderId="0" xfId="0" applyFont="1" applyFill="1"/>
    <xf numFmtId="0" fontId="10" fillId="0" borderId="0" xfId="0" applyFont="1" applyFill="1" applyAlignment="1">
      <alignment vertical="center"/>
    </xf>
    <xf numFmtId="0" fontId="10" fillId="0" borderId="0" xfId="0" applyFont="1" applyFill="1" applyAlignment="1">
      <alignment horizontal="center"/>
    </xf>
    <xf numFmtId="1" fontId="10" fillId="0" borderId="0" xfId="0" applyNumberFormat="1" applyFont="1" applyFill="1" applyAlignment="1">
      <alignment horizontal="center" vertical="center"/>
    </xf>
    <xf numFmtId="1" fontId="10" fillId="0" borderId="0" xfId="0" applyNumberFormat="1" applyFont="1" applyFill="1" applyAlignment="1">
      <alignment horizontal="center"/>
    </xf>
    <xf numFmtId="0" fontId="0" fillId="0" borderId="0" xfId="0" applyFill="1"/>
    <xf numFmtId="14" fontId="10" fillId="0" borderId="17" xfId="0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/>
    </xf>
    <xf numFmtId="14" fontId="28" fillId="0" borderId="0" xfId="0" applyNumberFormat="1" applyFont="1" applyFill="1" applyAlignment="1">
      <alignment horizontal="center" vertical="center"/>
    </xf>
    <xf numFmtId="49" fontId="10" fillId="0" borderId="0" xfId="0" applyNumberFormat="1" applyFont="1" applyFill="1" applyAlignment="1">
      <alignment horizontal="center" vertical="center"/>
    </xf>
    <xf numFmtId="14" fontId="10" fillId="0" borderId="46" xfId="0" applyNumberFormat="1" applyFont="1" applyFill="1" applyBorder="1" applyAlignment="1">
      <alignment horizontal="center" vertical="center"/>
    </xf>
    <xf numFmtId="14" fontId="10" fillId="0" borderId="3" xfId="0" applyNumberFormat="1" applyFont="1" applyFill="1" applyBorder="1" applyAlignment="1">
      <alignment horizontal="center" vertical="center"/>
    </xf>
    <xf numFmtId="165" fontId="0" fillId="0" borderId="0" xfId="0" applyNumberForma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0" fillId="0" borderId="0" xfId="0" applyNumberFormat="1" applyFont="1" applyFill="1" applyAlignment="1">
      <alignment horizontal="center"/>
    </xf>
    <xf numFmtId="0" fontId="6" fillId="0" borderId="0" xfId="0" applyFont="1" applyFill="1"/>
    <xf numFmtId="0" fontId="6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quotePrefix="1" applyFill="1" applyAlignment="1">
      <alignment horizontal="center" vertical="center"/>
    </xf>
    <xf numFmtId="0" fontId="3" fillId="0" borderId="19" xfId="0" applyFont="1" applyFill="1" applyBorder="1" applyAlignment="1">
      <alignment horizontal="left"/>
    </xf>
    <xf numFmtId="0" fontId="24" fillId="0" borderId="3" xfId="0" applyFont="1" applyFill="1" applyBorder="1" applyAlignment="1">
      <alignment horizontal="center" wrapText="1"/>
    </xf>
    <xf numFmtId="14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4" fontId="10" fillId="0" borderId="0" xfId="0" applyNumberFormat="1" applyFont="1" applyFill="1" applyBorder="1" applyAlignment="1">
      <alignment horizontal="center" vertical="center"/>
    </xf>
    <xf numFmtId="165" fontId="10" fillId="0" borderId="0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14" fontId="12" fillId="0" borderId="49" xfId="0" applyNumberFormat="1" applyFont="1" applyBorder="1" applyAlignment="1">
      <alignment horizontal="center" vertical="center" wrapText="1"/>
    </xf>
    <xf numFmtId="0" fontId="11" fillId="8" borderId="3" xfId="0" applyFont="1" applyFill="1" applyBorder="1" applyAlignment="1" applyProtection="1">
      <alignment horizontal="left" vertical="center" wrapText="1"/>
      <protection hidden="1"/>
    </xf>
    <xf numFmtId="0" fontId="8" fillId="11" borderId="9" xfId="0" applyFont="1" applyFill="1" applyBorder="1" applyAlignment="1" applyProtection="1">
      <alignment horizontal="center" vertical="center" wrapText="1"/>
      <protection hidden="1"/>
    </xf>
    <xf numFmtId="0" fontId="0" fillId="0" borderId="13" xfId="0" applyBorder="1" applyAlignment="1">
      <alignment textRotation="90"/>
    </xf>
    <xf numFmtId="0" fontId="0" fillId="2" borderId="26" xfId="0" applyFill="1" applyBorder="1"/>
    <xf numFmtId="0" fontId="0" fillId="0" borderId="3" xfId="0" applyFill="1" applyBorder="1" applyAlignment="1">
      <alignment horizontal="left"/>
    </xf>
    <xf numFmtId="0" fontId="3" fillId="0" borderId="3" xfId="0" applyFont="1" applyFill="1" applyBorder="1" applyAlignment="1">
      <alignment horizontal="left"/>
    </xf>
    <xf numFmtId="0" fontId="24" fillId="2" borderId="50" xfId="0" applyFont="1" applyFill="1" applyBorder="1" applyAlignment="1">
      <alignment horizontal="center" wrapText="1"/>
    </xf>
    <xf numFmtId="0" fontId="24" fillId="2" borderId="51" xfId="0" applyFont="1" applyFill="1" applyBorder="1" applyAlignment="1">
      <alignment horizontal="center" wrapText="1"/>
    </xf>
    <xf numFmtId="0" fontId="24" fillId="0" borderId="3" xfId="0" applyFont="1" applyBorder="1" applyAlignment="1">
      <alignment horizontal="left" vertical="top" wrapText="1"/>
    </xf>
    <xf numFmtId="0" fontId="24" fillId="13" borderId="3" xfId="0" applyFont="1" applyFill="1" applyBorder="1" applyAlignment="1">
      <alignment horizontal="center" wrapText="1"/>
    </xf>
    <xf numFmtId="14" fontId="28" fillId="0" borderId="0" xfId="0" applyNumberFormat="1" applyFont="1" applyFill="1" applyBorder="1" applyAlignment="1">
      <alignment horizontal="center" vertical="center"/>
    </xf>
    <xf numFmtId="0" fontId="0" fillId="0" borderId="3" xfId="0" applyNumberFormat="1" applyFill="1" applyBorder="1"/>
    <xf numFmtId="0" fontId="0" fillId="0" borderId="3" xfId="0" applyFill="1" applyBorder="1" applyAlignment="1">
      <alignment textRotation="90"/>
    </xf>
    <xf numFmtId="0" fontId="0" fillId="2" borderId="18" xfId="0" applyNumberFormat="1" applyFill="1" applyBorder="1"/>
    <xf numFmtId="0" fontId="0" fillId="2" borderId="26" xfId="0" applyNumberFormat="1" applyFill="1" applyBorder="1"/>
    <xf numFmtId="0" fontId="10" fillId="0" borderId="0" xfId="0" applyNumberFormat="1" applyFont="1" applyFill="1" applyAlignment="1">
      <alignment horizontal="center" vertical="center"/>
    </xf>
    <xf numFmtId="0" fontId="10" fillId="0" borderId="0" xfId="0" applyFont="1" applyFill="1" applyBorder="1" applyAlignment="1">
      <alignment horizontal="left" vertical="center"/>
    </xf>
    <xf numFmtId="0" fontId="11" fillId="0" borderId="3" xfId="0" applyFont="1" applyBorder="1" applyAlignment="1" applyProtection="1">
      <alignment horizontal="left" vertical="center" wrapText="1"/>
      <protection hidden="1"/>
    </xf>
    <xf numFmtId="9" fontId="24" fillId="0" borderId="3" xfId="1" applyNumberFormat="1" applyFont="1" applyFill="1" applyBorder="1" applyAlignment="1">
      <alignment horizontal="center" wrapText="1"/>
    </xf>
    <xf numFmtId="0" fontId="23" fillId="0" borderId="3" xfId="0" applyFont="1" applyBorder="1"/>
    <xf numFmtId="0" fontId="23" fillId="0" borderId="3" xfId="0" applyFont="1" applyBorder="1" applyAlignment="1">
      <alignment horizontal="center"/>
    </xf>
    <xf numFmtId="0" fontId="23" fillId="0" borderId="8" xfId="0" applyFont="1" applyBorder="1"/>
    <xf numFmtId="0" fontId="0" fillId="0" borderId="37" xfId="0" applyBorder="1" applyAlignment="1">
      <alignment horizontal="center"/>
    </xf>
    <xf numFmtId="0" fontId="0" fillId="0" borderId="36" xfId="0" applyBorder="1" applyAlignment="1">
      <alignment horizontal="center"/>
    </xf>
    <xf numFmtId="3" fontId="0" fillId="0" borderId="36" xfId="0" applyNumberFormat="1" applyBorder="1" applyAlignment="1">
      <alignment horizontal="center"/>
    </xf>
    <xf numFmtId="164" fontId="0" fillId="0" borderId="36" xfId="1" applyNumberFormat="1" applyFont="1" applyBorder="1" applyAlignment="1">
      <alignment horizontal="center"/>
    </xf>
    <xf numFmtId="9" fontId="0" fillId="0" borderId="36" xfId="1" applyFont="1" applyBorder="1" applyAlignment="1">
      <alignment horizontal="center"/>
    </xf>
    <xf numFmtId="164" fontId="0" fillId="2" borderId="36" xfId="1" applyNumberFormat="1" applyFont="1" applyFill="1" applyBorder="1" applyAlignment="1">
      <alignment horizontal="center"/>
    </xf>
    <xf numFmtId="9" fontId="0" fillId="0" borderId="8" xfId="1" applyFont="1" applyFill="1" applyBorder="1" applyAlignment="1">
      <alignment horizontal="center"/>
    </xf>
    <xf numFmtId="1" fontId="0" fillId="0" borderId="8" xfId="1" applyNumberFormat="1" applyFont="1" applyFill="1" applyBorder="1" applyAlignment="1">
      <alignment horizontal="center"/>
    </xf>
    <xf numFmtId="166" fontId="0" fillId="0" borderId="8" xfId="1" applyNumberFormat="1" applyFont="1" applyFill="1" applyBorder="1" applyAlignment="1">
      <alignment horizontal="center"/>
    </xf>
    <xf numFmtId="0" fontId="0" fillId="0" borderId="52" xfId="0" applyBorder="1" applyAlignment="1">
      <alignment horizontal="center"/>
    </xf>
    <xf numFmtId="0" fontId="10" fillId="0" borderId="53" xfId="0" applyFont="1" applyBorder="1" applyAlignment="1">
      <alignment horizontal="center"/>
    </xf>
    <xf numFmtId="3" fontId="10" fillId="0" borderId="53" xfId="0" applyNumberFormat="1" applyFont="1" applyBorder="1" applyAlignment="1">
      <alignment horizontal="center"/>
    </xf>
    <xf numFmtId="9" fontId="0" fillId="0" borderId="21" xfId="0" applyNumberFormat="1" applyBorder="1" applyAlignment="1">
      <alignment horizontal="center"/>
    </xf>
    <xf numFmtId="164" fontId="0" fillId="2" borderId="54" xfId="0" applyNumberFormat="1" applyFill="1" applyBorder="1" applyAlignment="1">
      <alignment horizontal="center"/>
    </xf>
    <xf numFmtId="9" fontId="0" fillId="0" borderId="8" xfId="1" applyFont="1" applyBorder="1"/>
    <xf numFmtId="0" fontId="0" fillId="0" borderId="8" xfId="0" applyBorder="1"/>
    <xf numFmtId="166" fontId="0" fillId="0" borderId="8" xfId="0" applyNumberFormat="1" applyBorder="1"/>
    <xf numFmtId="0" fontId="20" fillId="0" borderId="32" xfId="0" applyFont="1" applyBorder="1"/>
    <xf numFmtId="9" fontId="0" fillId="0" borderId="32" xfId="1" applyFont="1" applyFill="1" applyBorder="1" applyAlignment="1">
      <alignment horizontal="center"/>
    </xf>
    <xf numFmtId="1" fontId="0" fillId="0" borderId="32" xfId="1" applyNumberFormat="1" applyFont="1" applyFill="1" applyBorder="1" applyAlignment="1">
      <alignment horizontal="center"/>
    </xf>
    <xf numFmtId="166" fontId="0" fillId="0" borderId="32" xfId="1" applyNumberFormat="1" applyFont="1" applyFill="1" applyBorder="1" applyAlignment="1">
      <alignment horizontal="center"/>
    </xf>
    <xf numFmtId="9" fontId="0" fillId="0" borderId="22" xfId="0" applyNumberFormat="1" applyBorder="1" applyAlignment="1">
      <alignment horizontal="center"/>
    </xf>
    <xf numFmtId="164" fontId="0" fillId="2" borderId="41" xfId="0" applyNumberFormat="1" applyFill="1" applyBorder="1" applyAlignment="1">
      <alignment horizontal="center"/>
    </xf>
    <xf numFmtId="9" fontId="0" fillId="0" borderId="32" xfId="1" applyFont="1" applyBorder="1"/>
    <xf numFmtId="0" fontId="0" fillId="0" borderId="32" xfId="0" applyBorder="1"/>
    <xf numFmtId="166" fontId="0" fillId="0" borderId="32" xfId="0" applyNumberFormat="1" applyBorder="1"/>
    <xf numFmtId="164" fontId="0" fillId="0" borderId="3" xfId="1" applyNumberFormat="1" applyFont="1" applyBorder="1" applyAlignment="1">
      <alignment horizontal="center"/>
    </xf>
    <xf numFmtId="9" fontId="0" fillId="0" borderId="3" xfId="1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3" fontId="10" fillId="0" borderId="3" xfId="0" applyNumberFormat="1" applyFon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2" borderId="3" xfId="1" applyNumberFormat="1" applyFont="1" applyFill="1" applyBorder="1" applyAlignment="1">
      <alignment horizontal="center"/>
    </xf>
    <xf numFmtId="164" fontId="0" fillId="2" borderId="3" xfId="0" applyNumberFormat="1" applyFill="1" applyBorder="1" applyAlignment="1">
      <alignment horizontal="center"/>
    </xf>
    <xf numFmtId="0" fontId="10" fillId="0" borderId="19" xfId="0" applyFont="1" applyBorder="1" applyAlignment="1">
      <alignment horizontal="center" vertical="center"/>
    </xf>
    <xf numFmtId="165" fontId="10" fillId="0" borderId="19" xfId="0" applyNumberFormat="1" applyFont="1" applyBorder="1" applyAlignment="1">
      <alignment horizontal="center" vertical="center"/>
    </xf>
    <xf numFmtId="0" fontId="10" fillId="0" borderId="19" xfId="0" applyFont="1" applyBorder="1" applyAlignment="1"/>
    <xf numFmtId="0" fontId="10" fillId="0" borderId="19" xfId="0" applyFont="1" applyBorder="1" applyAlignment="1">
      <alignment vertical="center"/>
    </xf>
    <xf numFmtId="0" fontId="10" fillId="0" borderId="19" xfId="0" applyFont="1" applyBorder="1" applyAlignment="1">
      <alignment horizontal="center"/>
    </xf>
    <xf numFmtId="1" fontId="10" fillId="0" borderId="19" xfId="0" applyNumberFormat="1" applyFont="1" applyBorder="1" applyAlignment="1">
      <alignment horizontal="center" vertical="center"/>
    </xf>
    <xf numFmtId="1" fontId="10" fillId="0" borderId="19" xfId="0" applyNumberFormat="1" applyFont="1" applyBorder="1" applyAlignment="1">
      <alignment horizontal="center"/>
    </xf>
    <xf numFmtId="0" fontId="10" fillId="0" borderId="19" xfId="0" applyNumberFormat="1" applyFont="1" applyBorder="1" applyAlignment="1">
      <alignment horizontal="center" vertical="center"/>
    </xf>
    <xf numFmtId="0" fontId="10" fillId="0" borderId="19" xfId="0" applyNumberFormat="1" applyFont="1" applyBorder="1" applyAlignment="1">
      <alignment horizontal="center"/>
    </xf>
    <xf numFmtId="0" fontId="0" fillId="0" borderId="17" xfId="0" applyBorder="1" applyAlignment="1">
      <alignment horizontal="center"/>
    </xf>
    <xf numFmtId="14" fontId="10" fillId="27" borderId="19" xfId="0" applyNumberFormat="1" applyFont="1" applyFill="1" applyBorder="1" applyAlignment="1">
      <alignment horizontal="center" vertical="center"/>
    </xf>
    <xf numFmtId="14" fontId="10" fillId="0" borderId="19" xfId="0" applyNumberFormat="1" applyFont="1" applyFill="1" applyBorder="1" applyAlignment="1">
      <alignment horizontal="center" vertical="center"/>
    </xf>
    <xf numFmtId="16" fontId="12" fillId="0" borderId="1" xfId="0" applyNumberFormat="1" applyFont="1" applyBorder="1" applyAlignment="1">
      <alignment horizontal="center" vertical="center"/>
    </xf>
    <xf numFmtId="14" fontId="3" fillId="0" borderId="0" xfId="0" applyNumberFormat="1" applyFont="1" applyFill="1" applyBorder="1" applyAlignment="1">
      <alignment horizontal="center" vertical="center"/>
    </xf>
    <xf numFmtId="3" fontId="1" fillId="0" borderId="3" xfId="0" applyNumberFormat="1" applyFont="1" applyBorder="1" applyAlignment="1" applyProtection="1">
      <alignment horizontal="center" vertical="center" wrapText="1"/>
      <protection hidden="1"/>
    </xf>
    <xf numFmtId="3" fontId="1" fillId="0" borderId="8" xfId="0" applyNumberFormat="1" applyFont="1" applyBorder="1" applyAlignment="1" applyProtection="1">
      <alignment horizontal="center" vertical="center" wrapText="1"/>
      <protection hidden="1"/>
    </xf>
    <xf numFmtId="0" fontId="24" fillId="0" borderId="3" xfId="0" applyFont="1" applyFill="1" applyBorder="1" applyAlignment="1" applyProtection="1">
      <alignment horizontal="left" vertical="top" wrapText="1"/>
      <protection hidden="1"/>
    </xf>
    <xf numFmtId="165" fontId="38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46" xfId="0" applyFont="1" applyFill="1" applyBorder="1" applyAlignment="1">
      <alignment horizontal="center" vertical="center"/>
    </xf>
    <xf numFmtId="165" fontId="13" fillId="0" borderId="17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1" fontId="3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0" fontId="12" fillId="23" borderId="2" xfId="0" applyFont="1" applyFill="1" applyBorder="1" applyAlignment="1" applyProtection="1">
      <alignment horizontal="center" vertical="center"/>
      <protection locked="0"/>
    </xf>
    <xf numFmtId="0" fontId="0" fillId="0" borderId="0" xfId="0" applyFill="1" applyAlignment="1">
      <alignment vertical="center"/>
    </xf>
    <xf numFmtId="165" fontId="13" fillId="0" borderId="0" xfId="0" applyNumberFormat="1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left" vertical="center"/>
    </xf>
    <xf numFmtId="165" fontId="13" fillId="0" borderId="0" xfId="0" applyNumberFormat="1" applyFont="1" applyFill="1" applyAlignment="1">
      <alignment horizontal="center" vertical="center"/>
    </xf>
    <xf numFmtId="0" fontId="13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3" fillId="0" borderId="0" xfId="0" applyFont="1" applyFill="1" applyAlignment="1">
      <alignment vertical="center"/>
    </xf>
    <xf numFmtId="1" fontId="1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7" fillId="0" borderId="0" xfId="0" applyFont="1" applyFill="1" applyAlignment="1">
      <alignment vertical="center"/>
    </xf>
    <xf numFmtId="0" fontId="13" fillId="0" borderId="0" xfId="0" applyFont="1" applyFill="1" applyBorder="1" applyAlignment="1">
      <alignment vertical="center"/>
    </xf>
    <xf numFmtId="0" fontId="10" fillId="0" borderId="3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/>
    </xf>
    <xf numFmtId="0" fontId="10" fillId="0" borderId="0" xfId="0" applyFont="1" applyFill="1" applyAlignment="1">
      <alignment horizontal="left" vertical="center" wrapText="1"/>
    </xf>
    <xf numFmtId="0" fontId="10" fillId="0" borderId="0" xfId="0" applyFont="1" applyFill="1" applyAlignment="1" applyProtection="1">
      <alignment horizontal="center" vertical="center"/>
      <protection locked="0"/>
    </xf>
    <xf numFmtId="0" fontId="26" fillId="0" borderId="0" xfId="0" applyFont="1" applyFill="1" applyAlignment="1">
      <alignment vertical="center"/>
    </xf>
    <xf numFmtId="0" fontId="10" fillId="0" borderId="46" xfId="0" applyFont="1" applyFill="1" applyBorder="1" applyAlignment="1">
      <alignment horizontal="left" vertical="center"/>
    </xf>
    <xf numFmtId="0" fontId="10" fillId="0" borderId="19" xfId="0" applyFont="1" applyFill="1" applyBorder="1" applyAlignment="1">
      <alignment horizontal="left" vertical="center"/>
    </xf>
    <xf numFmtId="0" fontId="10" fillId="0" borderId="21" xfId="0" applyFont="1" applyFill="1" applyBorder="1" applyAlignment="1">
      <alignment horizontal="left" vertical="center"/>
    </xf>
    <xf numFmtId="0" fontId="0" fillId="11" borderId="0" xfId="0" applyFill="1"/>
    <xf numFmtId="0" fontId="38" fillId="0" borderId="0" xfId="0" applyFont="1" applyFill="1" applyAlignment="1">
      <alignment horizontal="left" vertical="center"/>
    </xf>
    <xf numFmtId="0" fontId="38" fillId="0" borderId="0" xfId="0" applyFont="1" applyFill="1" applyBorder="1" applyAlignment="1">
      <alignment horizontal="left" vertical="center"/>
    </xf>
    <xf numFmtId="0" fontId="38" fillId="0" borderId="0" xfId="0" applyFont="1" applyFill="1" applyAlignment="1">
      <alignment horizontal="center" vertical="center"/>
    </xf>
    <xf numFmtId="14" fontId="38" fillId="0" borderId="0" xfId="0" applyNumberFormat="1" applyFont="1" applyFill="1" applyBorder="1" applyAlignment="1">
      <alignment horizontal="center" vertical="center"/>
    </xf>
    <xf numFmtId="14" fontId="38" fillId="0" borderId="0" xfId="0" applyNumberFormat="1" applyFont="1" applyFill="1" applyAlignment="1">
      <alignment horizontal="center" vertical="center"/>
    </xf>
    <xf numFmtId="165" fontId="38" fillId="0" borderId="0" xfId="0" applyNumberFormat="1" applyFont="1" applyFill="1" applyAlignment="1">
      <alignment horizontal="center" vertical="center"/>
    </xf>
    <xf numFmtId="0" fontId="38" fillId="0" borderId="0" xfId="0" applyFont="1" applyFill="1" applyAlignment="1">
      <alignment vertical="center"/>
    </xf>
    <xf numFmtId="1" fontId="38" fillId="0" borderId="0" xfId="0" applyNumberFormat="1" applyFont="1" applyFill="1" applyAlignment="1">
      <alignment horizontal="center" vertical="center"/>
    </xf>
    <xf numFmtId="0" fontId="38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165" fontId="26" fillId="0" borderId="0" xfId="0" applyNumberFormat="1" applyFont="1" applyFill="1" applyBorder="1" applyAlignment="1">
      <alignment horizontal="center" vertical="center"/>
    </xf>
    <xf numFmtId="0" fontId="10" fillId="27" borderId="19" xfId="0" applyFont="1" applyFill="1" applyBorder="1" applyAlignment="1">
      <alignment vertical="center"/>
    </xf>
    <xf numFmtId="0" fontId="10" fillId="27" borderId="19" xfId="0" applyFont="1" applyFill="1" applyBorder="1" applyAlignment="1">
      <alignment horizontal="center" vertical="center"/>
    </xf>
    <xf numFmtId="1" fontId="10" fillId="27" borderId="19" xfId="0" applyNumberFormat="1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3" fillId="0" borderId="17" xfId="0" applyFont="1" applyFill="1" applyBorder="1" applyAlignment="1">
      <alignment horizontal="left"/>
    </xf>
    <xf numFmtId="0" fontId="10" fillId="0" borderId="17" xfId="0" applyFont="1" applyFill="1" applyBorder="1" applyAlignment="1">
      <alignment horizontal="center" vertical="center"/>
    </xf>
    <xf numFmtId="14" fontId="3" fillId="0" borderId="17" xfId="0" applyNumberFormat="1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left"/>
    </xf>
    <xf numFmtId="0" fontId="10" fillId="27" borderId="17" xfId="0" applyFont="1" applyFill="1" applyBorder="1" applyAlignment="1">
      <alignment horizontal="left" vertical="center"/>
    </xf>
    <xf numFmtId="14" fontId="10" fillId="27" borderId="17" xfId="0" applyNumberFormat="1" applyFont="1" applyFill="1" applyBorder="1" applyAlignment="1">
      <alignment horizontal="center" vertical="center"/>
    </xf>
    <xf numFmtId="14" fontId="3" fillId="0" borderId="55" xfId="0" applyNumberFormat="1" applyFont="1" applyBorder="1" applyAlignment="1">
      <alignment horizontal="center" vertical="center"/>
    </xf>
    <xf numFmtId="14" fontId="10" fillId="27" borderId="55" xfId="0" applyNumberFormat="1" applyFont="1" applyFill="1" applyBorder="1" applyAlignment="1">
      <alignment horizontal="center" vertical="center"/>
    </xf>
    <xf numFmtId="14" fontId="10" fillId="0" borderId="55" xfId="0" applyNumberFormat="1" applyFont="1" applyBorder="1" applyAlignment="1">
      <alignment horizontal="center" vertical="center"/>
    </xf>
    <xf numFmtId="0" fontId="0" fillId="0" borderId="56" xfId="0" applyBorder="1"/>
    <xf numFmtId="14" fontId="10" fillId="0" borderId="17" xfId="0" applyNumberFormat="1" applyFont="1" applyBorder="1" applyAlignment="1">
      <alignment horizontal="left" vertical="center"/>
    </xf>
    <xf numFmtId="14" fontId="10" fillId="27" borderId="17" xfId="0" applyNumberFormat="1" applyFont="1" applyFill="1" applyBorder="1" applyAlignment="1">
      <alignment horizontal="left" vertical="center"/>
    </xf>
    <xf numFmtId="0" fontId="5" fillId="0" borderId="0" xfId="0" applyFont="1" applyFill="1"/>
    <xf numFmtId="165" fontId="13" fillId="0" borderId="19" xfId="0" applyNumberFormat="1" applyFont="1" applyBorder="1" applyAlignment="1">
      <alignment horizontal="center" vertical="center"/>
    </xf>
    <xf numFmtId="165" fontId="13" fillId="27" borderId="55" xfId="0" applyNumberFormat="1" applyFont="1" applyFill="1" applyBorder="1" applyAlignment="1">
      <alignment horizontal="center" vertical="center"/>
    </xf>
    <xf numFmtId="165" fontId="13" fillId="27" borderId="19" xfId="0" applyNumberFormat="1" applyFont="1" applyFill="1" applyBorder="1" applyAlignment="1">
      <alignment horizontal="center" vertical="center"/>
    </xf>
    <xf numFmtId="0" fontId="10" fillId="27" borderId="19" xfId="0" applyFont="1" applyFill="1" applyBorder="1" applyAlignment="1">
      <alignment horizontal="left" vertical="center"/>
    </xf>
    <xf numFmtId="165" fontId="10" fillId="27" borderId="19" xfId="0" applyNumberFormat="1" applyFont="1" applyFill="1" applyBorder="1" applyAlignment="1">
      <alignment horizontal="center" vertical="center"/>
    </xf>
    <xf numFmtId="165" fontId="10" fillId="27" borderId="17" xfId="0" applyNumberFormat="1" applyFont="1" applyFill="1" applyBorder="1" applyAlignment="1">
      <alignment horizontal="center" vertical="center"/>
    </xf>
    <xf numFmtId="0" fontId="38" fillId="27" borderId="19" xfId="0" applyFont="1" applyFill="1" applyBorder="1" applyAlignment="1">
      <alignment horizontal="center" vertical="center"/>
    </xf>
    <xf numFmtId="49" fontId="10" fillId="27" borderId="19" xfId="0" applyNumberFormat="1" applyFont="1" applyFill="1" applyBorder="1" applyAlignment="1">
      <alignment horizontal="center" vertical="center"/>
    </xf>
    <xf numFmtId="0" fontId="24" fillId="11" borderId="3" xfId="0" applyFont="1" applyFill="1" applyBorder="1" applyAlignment="1">
      <alignment horizontal="center" wrapText="1"/>
    </xf>
    <xf numFmtId="0" fontId="24" fillId="0" borderId="3" xfId="0" applyFont="1" applyBorder="1" applyAlignment="1">
      <alignment horizontal="center" vertical="center" wrapText="1"/>
    </xf>
    <xf numFmtId="0" fontId="24" fillId="0" borderId="3" xfId="0" applyFont="1" applyFill="1" applyBorder="1" applyAlignment="1">
      <alignment horizontal="center" vertical="center" wrapText="1"/>
    </xf>
    <xf numFmtId="3" fontId="39" fillId="0" borderId="3" xfId="0" applyNumberFormat="1" applyFont="1" applyBorder="1" applyAlignment="1">
      <alignment horizontal="center" wrapText="1"/>
    </xf>
    <xf numFmtId="3" fontId="39" fillId="2" borderId="3" xfId="0" applyNumberFormat="1" applyFont="1" applyFill="1" applyBorder="1" applyAlignment="1">
      <alignment horizontal="center" vertical="center" wrapText="1"/>
    </xf>
    <xf numFmtId="0" fontId="39" fillId="2" borderId="3" xfId="0" applyFont="1" applyFill="1" applyBorder="1" applyAlignment="1">
      <alignment horizontal="center" vertical="center" wrapText="1"/>
    </xf>
    <xf numFmtId="0" fontId="40" fillId="0" borderId="12" xfId="0" applyFont="1" applyBorder="1" applyAlignment="1" applyProtection="1">
      <alignment horizontal="center" vertical="center" wrapText="1"/>
      <protection hidden="1"/>
    </xf>
    <xf numFmtId="0" fontId="39" fillId="0" borderId="0" xfId="0" applyFont="1" applyAlignment="1">
      <alignment horizontal="center" vertical="center"/>
    </xf>
    <xf numFmtId="0" fontId="39" fillId="0" borderId="3" xfId="0" applyFont="1" applyBorder="1" applyAlignment="1">
      <alignment horizontal="center" vertical="center" wrapText="1"/>
    </xf>
    <xf numFmtId="166" fontId="39" fillId="12" borderId="3" xfId="0" applyNumberFormat="1" applyFont="1" applyFill="1" applyBorder="1" applyAlignment="1">
      <alignment horizontal="center" vertical="center" wrapText="1"/>
    </xf>
    <xf numFmtId="3" fontId="39" fillId="0" borderId="3" xfId="0" applyNumberFormat="1" applyFont="1" applyBorder="1" applyAlignment="1">
      <alignment horizontal="center" vertical="center" wrapText="1"/>
    </xf>
    <xf numFmtId="9" fontId="39" fillId="0" borderId="3" xfId="3" applyFont="1" applyBorder="1" applyAlignment="1">
      <alignment horizontal="center" vertical="center" wrapText="1"/>
    </xf>
    <xf numFmtId="3" fontId="39" fillId="3" borderId="18" xfId="0" applyNumberFormat="1" applyFont="1" applyFill="1" applyBorder="1" applyAlignment="1">
      <alignment horizontal="center" wrapText="1"/>
    </xf>
    <xf numFmtId="166" fontId="39" fillId="3" borderId="33" xfId="0" applyNumberFormat="1" applyFont="1" applyFill="1" applyBorder="1" applyAlignment="1">
      <alignment horizontal="center" wrapText="1"/>
    </xf>
    <xf numFmtId="166" fontId="41" fillId="9" borderId="0" xfId="0" applyNumberFormat="1" applyFont="1" applyFill="1" applyAlignment="1">
      <alignment horizontal="center" wrapText="1"/>
    </xf>
    <xf numFmtId="1" fontId="42" fillId="2" borderId="3" xfId="0" applyNumberFormat="1" applyFont="1" applyFill="1" applyBorder="1" applyAlignment="1">
      <alignment horizontal="center" vertical="center" wrapText="1"/>
    </xf>
    <xf numFmtId="1" fontId="40" fillId="2" borderId="9" xfId="0" applyNumberFormat="1" applyFont="1" applyFill="1" applyBorder="1" applyAlignment="1" applyProtection="1">
      <alignment horizontal="center" vertical="center" wrapText="1"/>
      <protection hidden="1"/>
    </xf>
    <xf numFmtId="1" fontId="42" fillId="11" borderId="17" xfId="0" applyNumberFormat="1" applyFont="1" applyFill="1" applyBorder="1" applyAlignment="1">
      <alignment horizontal="center" vertical="center" wrapText="1"/>
    </xf>
    <xf numFmtId="1" fontId="42" fillId="11" borderId="18" xfId="0" applyNumberFormat="1" applyFont="1" applyFill="1" applyBorder="1" applyAlignment="1">
      <alignment horizontal="center" vertical="center" wrapText="1"/>
    </xf>
    <xf numFmtId="2" fontId="39" fillId="22" borderId="3" xfId="0" applyNumberFormat="1" applyFont="1" applyFill="1" applyBorder="1" applyAlignment="1">
      <alignment horizontal="center" vertical="center" wrapText="1"/>
    </xf>
    <xf numFmtId="0" fontId="40" fillId="0" borderId="9" xfId="0" applyFont="1" applyBorder="1" applyAlignment="1" applyProtection="1">
      <alignment horizontal="center" vertical="center" wrapText="1"/>
      <protection hidden="1"/>
    </xf>
    <xf numFmtId="10" fontId="39" fillId="0" borderId="3" xfId="0" applyNumberFormat="1" applyFont="1" applyBorder="1" applyAlignment="1">
      <alignment horizontal="center" vertical="center" wrapText="1"/>
    </xf>
    <xf numFmtId="0" fontId="40" fillId="2" borderId="9" xfId="0" applyFont="1" applyFill="1" applyBorder="1" applyAlignment="1" applyProtection="1">
      <alignment horizontal="center" vertical="center" wrapText="1"/>
      <protection hidden="1"/>
    </xf>
    <xf numFmtId="2" fontId="39" fillId="13" borderId="3" xfId="0" applyNumberFormat="1" applyFont="1" applyFill="1" applyBorder="1" applyAlignment="1">
      <alignment horizontal="center" vertical="center" wrapText="1"/>
    </xf>
    <xf numFmtId="1" fontId="39" fillId="0" borderId="9" xfId="0" applyNumberFormat="1" applyFont="1" applyBorder="1" applyAlignment="1">
      <alignment horizontal="center" vertical="center" wrapText="1"/>
    </xf>
    <xf numFmtId="166" fontId="42" fillId="9" borderId="0" xfId="0" applyNumberFormat="1" applyFont="1" applyFill="1" applyAlignment="1">
      <alignment horizontal="center" vertical="center" wrapText="1"/>
    </xf>
    <xf numFmtId="1" fontId="39" fillId="2" borderId="3" xfId="0" applyNumberFormat="1" applyFont="1" applyFill="1" applyBorder="1" applyAlignment="1">
      <alignment horizontal="center" vertical="center" wrapText="1"/>
    </xf>
    <xf numFmtId="1" fontId="39" fillId="11" borderId="3" xfId="0" applyNumberFormat="1" applyFont="1" applyFill="1" applyBorder="1" applyAlignment="1">
      <alignment horizontal="center" vertical="center" wrapText="1"/>
    </xf>
    <xf numFmtId="166" fontId="39" fillId="14" borderId="3" xfId="0" applyNumberFormat="1" applyFont="1" applyFill="1" applyBorder="1" applyAlignment="1">
      <alignment horizontal="center" vertical="center" wrapText="1"/>
    </xf>
    <xf numFmtId="1" fontId="39" fillId="11" borderId="33" xfId="0" applyNumberFormat="1" applyFont="1" applyFill="1" applyBorder="1" applyAlignment="1">
      <alignment horizontal="center" vertical="center" wrapText="1"/>
    </xf>
    <xf numFmtId="164" fontId="39" fillId="0" borderId="3" xfId="3" applyNumberFormat="1" applyFont="1" applyBorder="1" applyAlignment="1">
      <alignment horizontal="center" vertical="center" wrapText="1"/>
    </xf>
    <xf numFmtId="0" fontId="43" fillId="0" borderId="3" xfId="0" applyFont="1" applyFill="1" applyBorder="1"/>
    <xf numFmtId="0" fontId="39" fillId="0" borderId="3" xfId="0" applyFont="1" applyBorder="1" applyAlignment="1">
      <alignment horizontal="center"/>
    </xf>
    <xf numFmtId="1" fontId="40" fillId="0" borderId="17" xfId="0" applyNumberFormat="1" applyFont="1" applyBorder="1" applyAlignment="1">
      <alignment horizontal="center" vertical="center" wrapText="1"/>
    </xf>
    <xf numFmtId="1" fontId="39" fillId="0" borderId="18" xfId="0" applyNumberFormat="1" applyFont="1" applyBorder="1" applyAlignment="1">
      <alignment horizontal="center" vertical="center" wrapText="1"/>
    </xf>
    <xf numFmtId="1" fontId="40" fillId="0" borderId="9" xfId="0" applyNumberFormat="1" applyFont="1" applyBorder="1" applyAlignment="1" applyProtection="1">
      <alignment horizontal="center" vertical="center" wrapText="1"/>
      <protection hidden="1"/>
    </xf>
    <xf numFmtId="2" fontId="39" fillId="14" borderId="3" xfId="0" applyNumberFormat="1" applyFont="1" applyFill="1" applyBorder="1" applyAlignment="1">
      <alignment horizontal="center" vertical="center" wrapText="1"/>
    </xf>
    <xf numFmtId="167" fontId="39" fillId="0" borderId="3" xfId="0" applyNumberFormat="1" applyFont="1" applyBorder="1" applyAlignment="1">
      <alignment horizontal="center" wrapText="1"/>
    </xf>
    <xf numFmtId="0" fontId="40" fillId="8" borderId="3" xfId="0" applyFont="1" applyFill="1" applyBorder="1" applyAlignment="1" applyProtection="1">
      <alignment horizontal="left" vertical="center" wrapText="1"/>
      <protection hidden="1"/>
    </xf>
    <xf numFmtId="1" fontId="40" fillId="11" borderId="17" xfId="0" applyNumberFormat="1" applyFont="1" applyFill="1" applyBorder="1" applyAlignment="1">
      <alignment horizontal="center" vertical="center" wrapText="1"/>
    </xf>
    <xf numFmtId="0" fontId="39" fillId="0" borderId="3" xfId="0" applyFont="1" applyBorder="1" applyAlignment="1">
      <alignment horizontal="center" vertical="center"/>
    </xf>
    <xf numFmtId="1" fontId="39" fillId="0" borderId="3" xfId="0" applyNumberFormat="1" applyFont="1" applyBorder="1" applyAlignment="1">
      <alignment horizontal="center" vertical="center" wrapText="1"/>
    </xf>
    <xf numFmtId="0" fontId="39" fillId="11" borderId="12" xfId="0" applyFont="1" applyFill="1" applyBorder="1" applyAlignment="1">
      <alignment horizontal="center" vertical="center" wrapText="1"/>
    </xf>
    <xf numFmtId="0" fontId="39" fillId="3" borderId="18" xfId="0" applyFont="1" applyFill="1" applyBorder="1" applyAlignment="1">
      <alignment horizontal="center" wrapText="1"/>
    </xf>
    <xf numFmtId="0" fontId="39" fillId="3" borderId="33" xfId="0" applyFont="1" applyFill="1" applyBorder="1" applyAlignment="1">
      <alignment horizontal="center" wrapText="1"/>
    </xf>
    <xf numFmtId="0" fontId="39" fillId="2" borderId="9" xfId="0" applyFont="1" applyFill="1" applyBorder="1" applyAlignment="1">
      <alignment horizontal="center" vertical="center" wrapText="1"/>
    </xf>
    <xf numFmtId="3" fontId="39" fillId="0" borderId="12" xfId="0" applyNumberFormat="1" applyFont="1" applyBorder="1" applyAlignment="1">
      <alignment horizontal="center" vertical="center" wrapText="1"/>
    </xf>
    <xf numFmtId="3" fontId="39" fillId="3" borderId="33" xfId="0" applyNumberFormat="1" applyFont="1" applyFill="1" applyBorder="1" applyAlignment="1">
      <alignment horizontal="center" wrapText="1"/>
    </xf>
    <xf numFmtId="3" fontId="39" fillId="2" borderId="9" xfId="0" applyNumberFormat="1" applyFont="1" applyFill="1" applyBorder="1" applyAlignment="1">
      <alignment horizontal="center" vertical="center" wrapText="1"/>
    </xf>
    <xf numFmtId="0" fontId="40" fillId="0" borderId="3" xfId="0" applyFont="1" applyBorder="1" applyAlignment="1" applyProtection="1">
      <alignment horizontal="left" vertical="center" wrapText="1"/>
      <protection hidden="1"/>
    </xf>
    <xf numFmtId="164" fontId="39" fillId="0" borderId="3" xfId="0" applyNumberFormat="1" applyFont="1" applyBorder="1" applyAlignment="1">
      <alignment horizontal="center" vertical="center" wrapText="1"/>
    </xf>
    <xf numFmtId="164" fontId="39" fillId="0" borderId="3" xfId="0" applyNumberFormat="1" applyFont="1" applyBorder="1" applyAlignment="1">
      <alignment horizontal="center" vertical="center"/>
    </xf>
    <xf numFmtId="0" fontId="40" fillId="0" borderId="3" xfId="0" applyFont="1" applyBorder="1" applyAlignment="1" applyProtection="1">
      <alignment horizontal="center" vertical="center" wrapText="1"/>
      <protection hidden="1"/>
    </xf>
    <xf numFmtId="1" fontId="40" fillId="0" borderId="3" xfId="0" applyNumberFormat="1" applyFont="1" applyBorder="1" applyAlignment="1" applyProtection="1">
      <alignment horizontal="center" vertical="center" wrapText="1"/>
      <protection hidden="1"/>
    </xf>
    <xf numFmtId="1" fontId="40" fillId="0" borderId="32" xfId="0" applyNumberFormat="1" applyFont="1" applyBorder="1" applyAlignment="1">
      <alignment horizontal="center" vertical="center" wrapText="1"/>
    </xf>
    <xf numFmtId="0" fontId="40" fillId="2" borderId="3" xfId="0" applyFont="1" applyFill="1" applyBorder="1" applyAlignment="1" applyProtection="1">
      <alignment horizontal="center" vertical="center" wrapText="1"/>
      <protection hidden="1"/>
    </xf>
    <xf numFmtId="1" fontId="40" fillId="0" borderId="3" xfId="0" applyNumberFormat="1" applyFont="1" applyBorder="1" applyAlignment="1">
      <alignment horizontal="center" vertical="center" wrapText="1"/>
    </xf>
    <xf numFmtId="0" fontId="39" fillId="0" borderId="8" xfId="0" applyFont="1" applyBorder="1" applyAlignment="1">
      <alignment horizontal="center" vertical="center" wrapText="1"/>
    </xf>
    <xf numFmtId="166" fontId="39" fillId="12" borderId="8" xfId="0" applyNumberFormat="1" applyFont="1" applyFill="1" applyBorder="1" applyAlignment="1">
      <alignment horizontal="center" vertical="center" wrapText="1"/>
    </xf>
    <xf numFmtId="3" fontId="39" fillId="0" borderId="36" xfId="0" applyNumberFormat="1" applyFont="1" applyBorder="1" applyAlignment="1">
      <alignment horizontal="center" vertical="center" wrapText="1"/>
    </xf>
    <xf numFmtId="3" fontId="39" fillId="3" borderId="37" xfId="0" applyNumberFormat="1" applyFont="1" applyFill="1" applyBorder="1" applyAlignment="1">
      <alignment horizontal="center" wrapText="1"/>
    </xf>
    <xf numFmtId="166" fontId="39" fillId="3" borderId="10" xfId="0" applyNumberFormat="1" applyFont="1" applyFill="1" applyBorder="1" applyAlignment="1">
      <alignment horizontal="center" wrapText="1"/>
    </xf>
    <xf numFmtId="1" fontId="40" fillId="2" borderId="3" xfId="0" applyNumberFormat="1" applyFont="1" applyFill="1" applyBorder="1" applyAlignment="1" applyProtection="1">
      <alignment horizontal="center" vertical="center" wrapText="1"/>
      <protection hidden="1"/>
    </xf>
    <xf numFmtId="1" fontId="39" fillId="2" borderId="8" xfId="0" applyNumberFormat="1" applyFont="1" applyFill="1" applyBorder="1" applyAlignment="1">
      <alignment horizontal="center" vertical="center" wrapText="1"/>
    </xf>
    <xf numFmtId="1" fontId="39" fillId="11" borderId="8" xfId="0" applyNumberFormat="1" applyFont="1" applyFill="1" applyBorder="1" applyAlignment="1">
      <alignment horizontal="center" vertical="center" wrapText="1"/>
    </xf>
    <xf numFmtId="2" fontId="39" fillId="14" borderId="8" xfId="0" applyNumberFormat="1" applyFont="1" applyFill="1" applyBorder="1" applyAlignment="1">
      <alignment horizontal="center" vertical="center" wrapText="1"/>
    </xf>
    <xf numFmtId="1" fontId="39" fillId="11" borderId="9" xfId="0" applyNumberFormat="1" applyFont="1" applyFill="1" applyBorder="1" applyAlignment="1">
      <alignment horizontal="center" vertical="center" wrapText="1"/>
    </xf>
    <xf numFmtId="3" fontId="39" fillId="0" borderId="3" xfId="0" applyNumberFormat="1" applyFont="1" applyFill="1" applyBorder="1" applyAlignment="1">
      <alignment horizontal="center" wrapText="1"/>
    </xf>
    <xf numFmtId="3" fontId="39" fillId="4" borderId="3" xfId="0" applyNumberFormat="1" applyFont="1" applyFill="1" applyBorder="1" applyAlignment="1">
      <alignment horizontal="center" vertical="center" wrapText="1"/>
    </xf>
    <xf numFmtId="0" fontId="39" fillId="4" borderId="3" xfId="0" applyFont="1" applyFill="1" applyBorder="1" applyAlignment="1">
      <alignment horizontal="center" vertical="center" wrapText="1"/>
    </xf>
    <xf numFmtId="0" fontId="40" fillId="4" borderId="3" xfId="0" applyFont="1" applyFill="1" applyBorder="1" applyAlignment="1" applyProtection="1">
      <alignment horizontal="center" vertical="center" wrapText="1"/>
      <protection hidden="1"/>
    </xf>
    <xf numFmtId="0" fontId="39" fillId="4" borderId="3" xfId="0" applyFont="1" applyFill="1" applyBorder="1" applyAlignment="1">
      <alignment horizontal="center" vertical="center"/>
    </xf>
    <xf numFmtId="166" fontId="39" fillId="4" borderId="3" xfId="0" applyNumberFormat="1" applyFont="1" applyFill="1" applyBorder="1" applyAlignment="1">
      <alignment horizontal="center" vertical="center" wrapText="1"/>
    </xf>
    <xf numFmtId="9" fontId="39" fillId="4" borderId="3" xfId="3" applyFont="1" applyFill="1" applyBorder="1" applyAlignment="1">
      <alignment horizontal="center" vertical="center" wrapText="1"/>
    </xf>
    <xf numFmtId="3" fontId="39" fillId="3" borderId="10" xfId="0" applyNumberFormat="1" applyFont="1" applyFill="1" applyBorder="1" applyAlignment="1">
      <alignment horizontal="center" wrapText="1"/>
    </xf>
    <xf numFmtId="166" fontId="39" fillId="3" borderId="0" xfId="0" applyNumberFormat="1" applyFont="1" applyFill="1" applyBorder="1" applyAlignment="1">
      <alignment horizontal="center" wrapText="1"/>
    </xf>
    <xf numFmtId="1" fontId="41" fillId="28" borderId="18" xfId="0" applyNumberFormat="1" applyFont="1" applyFill="1" applyBorder="1" applyAlignment="1">
      <alignment horizontal="center" vertical="center" wrapText="1"/>
    </xf>
    <xf numFmtId="1" fontId="40" fillId="28" borderId="9" xfId="0" applyNumberFormat="1" applyFont="1" applyFill="1" applyBorder="1" applyAlignment="1" applyProtection="1">
      <alignment horizontal="center" vertical="center" wrapText="1"/>
      <protection hidden="1"/>
    </xf>
    <xf numFmtId="1" fontId="44" fillId="28" borderId="3" xfId="0" applyNumberFormat="1" applyFont="1" applyFill="1" applyBorder="1" applyAlignment="1">
      <alignment horizontal="center" vertical="center" wrapText="1"/>
    </xf>
    <xf numFmtId="1" fontId="41" fillId="28" borderId="3" xfId="0" applyNumberFormat="1" applyFont="1" applyFill="1" applyBorder="1" applyAlignment="1">
      <alignment horizontal="center" vertical="center" wrapText="1"/>
    </xf>
    <xf numFmtId="2" fontId="41" fillId="28" borderId="3" xfId="0" applyNumberFormat="1" applyFont="1" applyFill="1" applyBorder="1" applyAlignment="1">
      <alignment horizontal="center" vertical="center" wrapText="1"/>
    </xf>
    <xf numFmtId="166" fontId="44" fillId="28" borderId="3" xfId="0" applyNumberFormat="1" applyFont="1" applyFill="1" applyBorder="1" applyAlignment="1" applyProtection="1">
      <alignment horizontal="center" vertical="center" wrapText="1"/>
      <protection hidden="1"/>
    </xf>
    <xf numFmtId="10" fontId="41" fillId="28" borderId="3" xfId="0" applyNumberFormat="1" applyFont="1" applyFill="1" applyBorder="1" applyAlignment="1">
      <alignment horizontal="center" vertical="center" wrapText="1"/>
    </xf>
    <xf numFmtId="0" fontId="39" fillId="28" borderId="18" xfId="0" applyFont="1" applyFill="1" applyBorder="1" applyAlignment="1">
      <alignment horizontal="center" vertical="center" wrapText="1"/>
    </xf>
    <xf numFmtId="0" fontId="40" fillId="28" borderId="3" xfId="0" applyFont="1" applyFill="1" applyBorder="1" applyAlignment="1" applyProtection="1">
      <alignment horizontal="center" vertical="center" wrapText="1"/>
      <protection hidden="1"/>
    </xf>
    <xf numFmtId="0" fontId="39" fillId="28" borderId="3" xfId="0" applyFont="1" applyFill="1" applyBorder="1" applyAlignment="1">
      <alignment horizontal="center" vertical="center" wrapText="1"/>
    </xf>
    <xf numFmtId="2" fontId="39" fillId="28" borderId="3" xfId="0" applyNumberFormat="1" applyFont="1" applyFill="1" applyBorder="1" applyAlignment="1">
      <alignment horizontal="center" vertical="center" wrapText="1"/>
    </xf>
    <xf numFmtId="1" fontId="40" fillId="28" borderId="3" xfId="0" applyNumberFormat="1" applyFont="1" applyFill="1" applyBorder="1" applyAlignment="1" applyProtection="1">
      <alignment horizontal="center" vertical="center" wrapText="1"/>
      <protection hidden="1"/>
    </xf>
    <xf numFmtId="10" fontId="39" fillId="28" borderId="3" xfId="0" applyNumberFormat="1" applyFont="1" applyFill="1" applyBorder="1" applyAlignment="1">
      <alignment horizontal="center" vertical="center" wrapText="1"/>
    </xf>
    <xf numFmtId="1" fontId="39" fillId="28" borderId="18" xfId="0" applyNumberFormat="1" applyFont="1" applyFill="1" applyBorder="1" applyAlignment="1">
      <alignment horizontal="center" vertical="center" wrapText="1"/>
    </xf>
    <xf numFmtId="1" fontId="39" fillId="28" borderId="3" xfId="0" applyNumberFormat="1" applyFont="1" applyFill="1" applyBorder="1" applyAlignment="1">
      <alignment horizontal="center" vertical="center" wrapText="1"/>
    </xf>
    <xf numFmtId="166" fontId="39" fillId="28" borderId="3" xfId="0" applyNumberFormat="1" applyFont="1" applyFill="1" applyBorder="1" applyAlignment="1">
      <alignment horizontal="center" vertical="center" wrapText="1"/>
    </xf>
    <xf numFmtId="1" fontId="39" fillId="28" borderId="33" xfId="0" applyNumberFormat="1" applyFont="1" applyFill="1" applyBorder="1" applyAlignment="1">
      <alignment horizontal="center" vertical="center" wrapText="1"/>
    </xf>
    <xf numFmtId="3" fontId="39" fillId="3" borderId="0" xfId="0" applyNumberFormat="1" applyFont="1" applyFill="1" applyAlignment="1">
      <alignment horizontal="center" wrapText="1"/>
    </xf>
    <xf numFmtId="166" fontId="39" fillId="3" borderId="0" xfId="0" applyNumberFormat="1" applyFont="1" applyFill="1" applyAlignment="1">
      <alignment horizontal="center" wrapText="1"/>
    </xf>
    <xf numFmtId="166" fontId="41" fillId="9" borderId="37" xfId="0" applyNumberFormat="1" applyFont="1" applyFill="1" applyBorder="1" applyAlignment="1">
      <alignment horizontal="center" wrapText="1"/>
    </xf>
    <xf numFmtId="1" fontId="39" fillId="2" borderId="18" xfId="0" applyNumberFormat="1" applyFont="1" applyFill="1" applyBorder="1" applyAlignment="1">
      <alignment horizontal="center" vertical="center" wrapText="1"/>
    </xf>
    <xf numFmtId="166" fontId="41" fillId="9" borderId="3" xfId="0" applyNumberFormat="1" applyFont="1" applyFill="1" applyBorder="1" applyAlignment="1">
      <alignment horizontal="center" wrapText="1"/>
    </xf>
    <xf numFmtId="0" fontId="39" fillId="2" borderId="18" xfId="0" applyFont="1" applyFill="1" applyBorder="1" applyAlignment="1">
      <alignment horizontal="center" vertical="center" wrapText="1"/>
    </xf>
    <xf numFmtId="166" fontId="42" fillId="9" borderId="3" xfId="0" applyNumberFormat="1" applyFont="1" applyFill="1" applyBorder="1" applyAlignment="1">
      <alignment horizontal="center" vertical="center" wrapText="1"/>
    </xf>
    <xf numFmtId="1" fontId="40" fillId="26" borderId="9" xfId="0" applyNumberFormat="1" applyFont="1" applyFill="1" applyBorder="1" applyAlignment="1" applyProtection="1">
      <alignment horizontal="center" vertical="center" wrapText="1"/>
      <protection hidden="1"/>
    </xf>
    <xf numFmtId="1" fontId="42" fillId="2" borderId="18" xfId="0" applyNumberFormat="1" applyFont="1" applyFill="1" applyBorder="1" applyAlignment="1">
      <alignment horizontal="center" vertical="center" wrapText="1"/>
    </xf>
    <xf numFmtId="1" fontId="40" fillId="2" borderId="10" xfId="0" applyNumberFormat="1" applyFont="1" applyFill="1" applyBorder="1" applyAlignment="1" applyProtection="1">
      <alignment horizontal="center" vertical="center" wrapText="1"/>
      <protection hidden="1"/>
    </xf>
    <xf numFmtId="1" fontId="42" fillId="11" borderId="3" xfId="0" applyNumberFormat="1" applyFont="1" applyFill="1" applyBorder="1" applyAlignment="1">
      <alignment horizontal="center" vertical="center" wrapText="1"/>
    </xf>
    <xf numFmtId="3" fontId="39" fillId="2" borderId="18" xfId="0" applyNumberFormat="1" applyFont="1" applyFill="1" applyBorder="1" applyAlignment="1">
      <alignment horizontal="center" vertical="center" wrapText="1"/>
    </xf>
    <xf numFmtId="1" fontId="40" fillId="11" borderId="3" xfId="0" applyNumberFormat="1" applyFont="1" applyFill="1" applyBorder="1" applyAlignment="1">
      <alignment horizontal="center" vertical="center" wrapText="1"/>
    </xf>
    <xf numFmtId="9" fontId="39" fillId="0" borderId="3" xfId="0" applyNumberFormat="1" applyFont="1" applyBorder="1" applyAlignment="1">
      <alignment horizontal="center" vertical="center" wrapText="1"/>
    </xf>
    <xf numFmtId="0" fontId="39" fillId="0" borderId="3" xfId="0" applyFont="1" applyFill="1" applyBorder="1" applyAlignment="1">
      <alignment horizontal="center" vertical="center" wrapText="1"/>
    </xf>
    <xf numFmtId="1" fontId="42" fillId="26" borderId="18" xfId="0" applyNumberFormat="1" applyFont="1" applyFill="1" applyBorder="1" applyAlignment="1">
      <alignment horizontal="center" vertical="center" wrapText="1"/>
    </xf>
    <xf numFmtId="1" fontId="40" fillId="26" borderId="3" xfId="0" applyNumberFormat="1" applyFont="1" applyFill="1" applyBorder="1" applyAlignment="1">
      <alignment horizontal="center" vertical="center" wrapText="1"/>
    </xf>
    <xf numFmtId="1" fontId="42" fillId="26" borderId="3" xfId="0" applyNumberFormat="1" applyFont="1" applyFill="1" applyBorder="1" applyAlignment="1">
      <alignment horizontal="center" vertical="center" wrapText="1"/>
    </xf>
    <xf numFmtId="2" fontId="42" fillId="26" borderId="3" xfId="0" applyNumberFormat="1" applyFont="1" applyFill="1" applyBorder="1" applyAlignment="1">
      <alignment horizontal="center" vertical="center" wrapText="1"/>
    </xf>
    <xf numFmtId="166" fontId="40" fillId="26" borderId="3" xfId="0" applyNumberFormat="1" applyFont="1" applyFill="1" applyBorder="1" applyAlignment="1" applyProtection="1">
      <alignment horizontal="center" vertical="center" wrapText="1"/>
      <protection hidden="1"/>
    </xf>
    <xf numFmtId="10" fontId="42" fillId="26" borderId="3" xfId="0" applyNumberFormat="1" applyFont="1" applyFill="1" applyBorder="1" applyAlignment="1">
      <alignment horizontal="center" vertical="center" wrapText="1"/>
    </xf>
    <xf numFmtId="166" fontId="42" fillId="9" borderId="3" xfId="0" applyNumberFormat="1" applyFont="1" applyFill="1" applyBorder="1" applyAlignment="1">
      <alignment horizontal="center" wrapText="1"/>
    </xf>
    <xf numFmtId="0" fontId="42" fillId="26" borderId="18" xfId="0" applyFont="1" applyFill="1" applyBorder="1" applyAlignment="1">
      <alignment horizontal="center" vertical="center" wrapText="1"/>
    </xf>
    <xf numFmtId="0" fontId="40" fillId="26" borderId="3" xfId="0" applyFont="1" applyFill="1" applyBorder="1" applyAlignment="1" applyProtection="1">
      <alignment horizontal="center" vertical="center" wrapText="1"/>
      <protection hidden="1"/>
    </xf>
    <xf numFmtId="0" fontId="42" fillId="26" borderId="3" xfId="0" applyFont="1" applyFill="1" applyBorder="1" applyAlignment="1">
      <alignment horizontal="center" vertical="center" wrapText="1"/>
    </xf>
    <xf numFmtId="1" fontId="40" fillId="26" borderId="3" xfId="0" applyNumberFormat="1" applyFont="1" applyFill="1" applyBorder="1" applyAlignment="1" applyProtection="1">
      <alignment horizontal="center" vertical="center" wrapText="1"/>
      <protection hidden="1"/>
    </xf>
    <xf numFmtId="166" fontId="42" fillId="26" borderId="3" xfId="0" applyNumberFormat="1" applyFont="1" applyFill="1" applyBorder="1" applyAlignment="1">
      <alignment horizontal="center" vertical="center" wrapText="1"/>
    </xf>
    <xf numFmtId="1" fontId="42" fillId="26" borderId="33" xfId="0" applyNumberFormat="1" applyFont="1" applyFill="1" applyBorder="1" applyAlignment="1">
      <alignment horizontal="center" vertical="center" wrapText="1"/>
    </xf>
    <xf numFmtId="0" fontId="39" fillId="0" borderId="0" xfId="0" applyFont="1" applyAlignment="1">
      <alignment wrapText="1"/>
    </xf>
    <xf numFmtId="0" fontId="24" fillId="0" borderId="3" xfId="0" applyNumberFormat="1" applyFont="1" applyBorder="1" applyAlignment="1">
      <alignment horizontal="center" wrapText="1"/>
    </xf>
    <xf numFmtId="3" fontId="39" fillId="28" borderId="3" xfId="0" applyNumberFormat="1" applyFont="1" applyFill="1" applyBorder="1" applyAlignment="1">
      <alignment horizontal="center" vertical="center" wrapText="1"/>
    </xf>
    <xf numFmtId="0" fontId="40" fillId="28" borderId="33" xfId="0" applyFont="1" applyFill="1" applyBorder="1" applyAlignment="1" applyProtection="1">
      <alignment horizontal="center" vertical="center" wrapText="1"/>
      <protection hidden="1"/>
    </xf>
    <xf numFmtId="0" fontId="39" fillId="28" borderId="3" xfId="0" applyFont="1" applyFill="1" applyBorder="1" applyAlignment="1">
      <alignment horizontal="center" vertical="center"/>
    </xf>
    <xf numFmtId="9" fontId="39" fillId="28" borderId="3" xfId="3" applyFont="1" applyFill="1" applyBorder="1" applyAlignment="1">
      <alignment horizontal="center" vertical="center" wrapText="1"/>
    </xf>
    <xf numFmtId="0" fontId="39" fillId="28" borderId="9" xfId="0" applyFont="1" applyFill="1" applyBorder="1" applyAlignment="1">
      <alignment horizontal="center" vertical="center" wrapText="1"/>
    </xf>
    <xf numFmtId="1" fontId="41" fillId="2" borderId="18" xfId="0" applyNumberFormat="1" applyFont="1" applyFill="1" applyBorder="1" applyAlignment="1">
      <alignment horizontal="center" vertical="center" wrapText="1"/>
    </xf>
    <xf numFmtId="1" fontId="44" fillId="11" borderId="3" xfId="0" applyNumberFormat="1" applyFont="1" applyFill="1" applyBorder="1" applyAlignment="1">
      <alignment horizontal="center" vertical="center" wrapText="1"/>
    </xf>
    <xf numFmtId="1" fontId="41" fillId="11" borderId="3" xfId="0" applyNumberFormat="1" applyFont="1" applyFill="1" applyBorder="1" applyAlignment="1">
      <alignment horizontal="center" vertical="center" wrapText="1"/>
    </xf>
    <xf numFmtId="2" fontId="41" fillId="22" borderId="3" xfId="0" applyNumberFormat="1" applyFont="1" applyFill="1" applyBorder="1" applyAlignment="1">
      <alignment horizontal="center" vertical="center" wrapText="1"/>
    </xf>
    <xf numFmtId="166" fontId="44" fillId="11" borderId="3" xfId="0" applyNumberFormat="1" applyFont="1" applyFill="1" applyBorder="1" applyAlignment="1" applyProtection="1">
      <alignment horizontal="center" vertical="center" wrapText="1"/>
      <protection hidden="1"/>
    </xf>
    <xf numFmtId="10" fontId="41" fillId="11" borderId="3" xfId="0" applyNumberFormat="1" applyFont="1" applyFill="1" applyBorder="1" applyAlignment="1">
      <alignment horizontal="center" vertical="center" wrapText="1"/>
    </xf>
    <xf numFmtId="0" fontId="39" fillId="0" borderId="18" xfId="0" applyFont="1" applyFill="1" applyBorder="1" applyAlignment="1">
      <alignment horizontal="center" vertical="center" wrapText="1"/>
    </xf>
    <xf numFmtId="1" fontId="40" fillId="0" borderId="3" xfId="0" applyNumberFormat="1" applyFont="1" applyFill="1" applyBorder="1" applyAlignment="1" applyProtection="1">
      <alignment horizontal="center" vertical="center" wrapText="1"/>
      <protection hidden="1"/>
    </xf>
    <xf numFmtId="10" fontId="39" fillId="11" borderId="3" xfId="3" applyNumberFormat="1" applyFont="1" applyFill="1" applyBorder="1" applyAlignment="1">
      <alignment horizontal="center" vertical="center" wrapText="1"/>
    </xf>
    <xf numFmtId="3" fontId="39" fillId="2" borderId="38" xfId="0" applyNumberFormat="1" applyFont="1" applyFill="1" applyBorder="1" applyAlignment="1">
      <alignment horizontal="center" wrapText="1"/>
    </xf>
    <xf numFmtId="3" fontId="39" fillId="6" borderId="38" xfId="0" applyNumberFormat="1" applyFont="1" applyFill="1" applyBorder="1" applyAlignment="1">
      <alignment horizontal="center" wrapText="1"/>
    </xf>
    <xf numFmtId="3" fontId="41" fillId="9" borderId="39" xfId="0" applyNumberFormat="1" applyFont="1" applyFill="1" applyBorder="1" applyAlignment="1">
      <alignment horizontal="center" wrapText="1"/>
    </xf>
    <xf numFmtId="3" fontId="39" fillId="2" borderId="3" xfId="0" applyNumberFormat="1" applyFont="1" applyFill="1" applyBorder="1" applyAlignment="1">
      <alignment horizontal="center" wrapText="1"/>
    </xf>
    <xf numFmtId="3" fontId="42" fillId="9" borderId="39" xfId="0" applyNumberFormat="1" applyFont="1" applyFill="1" applyBorder="1" applyAlignment="1">
      <alignment horizontal="center" wrapText="1"/>
    </xf>
    <xf numFmtId="166" fontId="39" fillId="2" borderId="3" xfId="0" applyNumberFormat="1" applyFont="1" applyFill="1" applyBorder="1" applyAlignment="1">
      <alignment horizontal="center" wrapText="1"/>
    </xf>
    <xf numFmtId="0" fontId="39" fillId="2" borderId="40" xfId="0" applyFont="1" applyFill="1" applyBorder="1" applyAlignment="1">
      <alignment horizontal="center" wrapText="1"/>
    </xf>
    <xf numFmtId="3" fontId="39" fillId="29" borderId="3" xfId="0" applyNumberFormat="1" applyFont="1" applyFill="1" applyBorder="1" applyAlignment="1">
      <alignment horizontal="center" vertical="center" wrapText="1"/>
    </xf>
    <xf numFmtId="0" fontId="39" fillId="29" borderId="3" xfId="0" applyFont="1" applyFill="1" applyBorder="1" applyAlignment="1">
      <alignment horizontal="center" vertical="center" wrapText="1"/>
    </xf>
    <xf numFmtId="0" fontId="40" fillId="29" borderId="3" xfId="0" applyFont="1" applyFill="1" applyBorder="1" applyAlignment="1" applyProtection="1">
      <alignment horizontal="center" vertical="center" wrapText="1"/>
      <protection hidden="1"/>
    </xf>
    <xf numFmtId="0" fontId="39" fillId="29" borderId="3" xfId="0" applyFont="1" applyFill="1" applyBorder="1" applyAlignment="1">
      <alignment horizontal="center" vertical="center"/>
    </xf>
    <xf numFmtId="166" fontId="39" fillId="29" borderId="3" xfId="0" applyNumberFormat="1" applyFont="1" applyFill="1" applyBorder="1" applyAlignment="1">
      <alignment horizontal="center" vertical="center" wrapText="1"/>
    </xf>
    <xf numFmtId="9" fontId="39" fillId="29" borderId="3" xfId="3" applyFont="1" applyFill="1" applyBorder="1" applyAlignment="1">
      <alignment horizontal="center" vertical="center" wrapText="1"/>
    </xf>
    <xf numFmtId="166" fontId="24" fillId="2" borderId="51" xfId="0" applyNumberFormat="1" applyFont="1" applyFill="1" applyBorder="1" applyAlignment="1">
      <alignment horizontal="center" wrapText="1"/>
    </xf>
    <xf numFmtId="1" fontId="24" fillId="2" borderId="51" xfId="0" applyNumberFormat="1" applyFont="1" applyFill="1" applyBorder="1" applyAlignment="1">
      <alignment horizontal="center" wrapText="1"/>
    </xf>
    <xf numFmtId="0" fontId="10" fillId="2" borderId="0" xfId="0" applyNumberFormat="1" applyFont="1" applyFill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38" fillId="2" borderId="0" xfId="0" applyFont="1" applyFill="1" applyAlignment="1">
      <alignment horizontal="center" vertical="center"/>
    </xf>
    <xf numFmtId="0" fontId="45" fillId="23" borderId="2" xfId="0" applyFont="1" applyFill="1" applyBorder="1" applyAlignment="1">
      <alignment horizontal="center" vertical="center"/>
    </xf>
    <xf numFmtId="165" fontId="38" fillId="0" borderId="17" xfId="0" applyNumberFormat="1" applyFont="1" applyFill="1" applyBorder="1" applyAlignment="1">
      <alignment horizontal="center" vertical="center"/>
    </xf>
    <xf numFmtId="165" fontId="26" fillId="0" borderId="0" xfId="0" applyNumberFormat="1" applyFont="1" applyFill="1" applyAlignment="1">
      <alignment horizontal="center" vertical="center"/>
    </xf>
    <xf numFmtId="0" fontId="38" fillId="2" borderId="0" xfId="0" applyNumberFormat="1" applyFont="1" applyFill="1" applyAlignment="1">
      <alignment horizontal="center" vertical="center"/>
    </xf>
    <xf numFmtId="0" fontId="38" fillId="0" borderId="0" xfId="0" applyFont="1" applyFill="1" applyBorder="1" applyAlignment="1">
      <alignment horizontal="center" vertical="center"/>
    </xf>
    <xf numFmtId="0" fontId="13" fillId="27" borderId="19" xfId="0" applyFont="1" applyFill="1" applyBorder="1" applyAlignment="1">
      <alignment horizontal="left" vertical="center"/>
    </xf>
    <xf numFmtId="14" fontId="28" fillId="27" borderId="19" xfId="0" applyNumberFormat="1" applyFont="1" applyFill="1" applyBorder="1" applyAlignment="1">
      <alignment horizontal="center" vertical="center"/>
    </xf>
    <xf numFmtId="0" fontId="13" fillId="27" borderId="17" xfId="0" applyFont="1" applyFill="1" applyBorder="1" applyAlignment="1">
      <alignment horizontal="left" vertical="center"/>
    </xf>
    <xf numFmtId="0" fontId="26" fillId="0" borderId="0" xfId="0" applyFont="1" applyFill="1" applyAlignment="1">
      <alignment horizontal="left" vertical="center"/>
    </xf>
    <xf numFmtId="0" fontId="26" fillId="0" borderId="0" xfId="0" applyFont="1" applyFill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1" fontId="26" fillId="0" borderId="0" xfId="0" applyNumberFormat="1" applyFont="1" applyFill="1" applyAlignment="1">
      <alignment horizontal="center" vertical="center"/>
    </xf>
    <xf numFmtId="0" fontId="26" fillId="2" borderId="0" xfId="0" applyFont="1" applyFill="1" applyAlignment="1">
      <alignment horizontal="center" vertical="center"/>
    </xf>
    <xf numFmtId="14" fontId="0" fillId="0" borderId="0" xfId="0" applyNumberFormat="1" applyFill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left" vertical="center"/>
    </xf>
    <xf numFmtId="0" fontId="38" fillId="0" borderId="0" xfId="0" applyFont="1" applyAlignment="1">
      <alignment horizontal="center" vertical="center"/>
    </xf>
    <xf numFmtId="14" fontId="46" fillId="0" borderId="0" xfId="0" applyNumberFormat="1" applyFont="1" applyFill="1" applyBorder="1" applyAlignment="1">
      <alignment horizontal="center" vertical="center"/>
    </xf>
    <xf numFmtId="0" fontId="10" fillId="0" borderId="19" xfId="0" applyFont="1" applyBorder="1" applyAlignment="1">
      <alignment horizontal="left" vertical="center"/>
    </xf>
    <xf numFmtId="165" fontId="13" fillId="0" borderId="0" xfId="0" applyNumberFormat="1" applyFont="1" applyAlignment="1">
      <alignment horizontal="center" vertical="center"/>
    </xf>
    <xf numFmtId="0" fontId="0" fillId="0" borderId="0" xfId="0" applyNumberFormat="1"/>
    <xf numFmtId="0" fontId="0" fillId="3" borderId="0" xfId="0" applyNumberFormat="1" applyFill="1"/>
    <xf numFmtId="0" fontId="7" fillId="0" borderId="0" xfId="0" applyFont="1" applyFill="1" applyAlignment="1">
      <alignment vertical="center"/>
    </xf>
    <xf numFmtId="14" fontId="7" fillId="0" borderId="0" xfId="0" applyNumberFormat="1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vertical="center"/>
    </xf>
    <xf numFmtId="0" fontId="8" fillId="0" borderId="18" xfId="0" applyNumberFormat="1" applyFont="1" applyBorder="1" applyAlignment="1" applyProtection="1">
      <alignment horizontal="center" vertical="center" wrapText="1"/>
      <protection hidden="1"/>
    </xf>
    <xf numFmtId="0" fontId="8" fillId="0" borderId="8" xfId="0" applyFont="1" applyFill="1" applyBorder="1" applyAlignment="1" applyProtection="1">
      <alignment horizontal="center" vertical="center" wrapText="1"/>
      <protection hidden="1"/>
    </xf>
    <xf numFmtId="0" fontId="8" fillId="0" borderId="9" xfId="0" applyFont="1" applyFill="1" applyBorder="1" applyAlignment="1" applyProtection="1">
      <alignment horizontal="center" vertical="center" wrapText="1"/>
      <protection hidden="1"/>
    </xf>
    <xf numFmtId="0" fontId="8" fillId="0" borderId="26" xfId="0" applyNumberFormat="1" applyFont="1" applyBorder="1" applyAlignment="1" applyProtection="1">
      <alignment horizontal="center" vertical="center" wrapText="1"/>
      <protection hidden="1"/>
    </xf>
    <xf numFmtId="9" fontId="8" fillId="0" borderId="9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1" fontId="8" fillId="0" borderId="3" xfId="0" applyNumberFormat="1" applyFont="1" applyFill="1" applyBorder="1" applyAlignment="1" applyProtection="1">
      <alignment horizontal="center" vertical="center" wrapText="1"/>
      <protection hidden="1"/>
    </xf>
    <xf numFmtId="1" fontId="8" fillId="0" borderId="8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Font="1" applyFill="1" applyAlignment="1">
      <alignment vertical="center"/>
    </xf>
    <xf numFmtId="0" fontId="38" fillId="0" borderId="0" xfId="0" applyFont="1" applyFill="1" applyBorder="1" applyAlignment="1">
      <alignment horizontal="left" vertical="center" wrapText="1"/>
    </xf>
    <xf numFmtId="0" fontId="21" fillId="0" borderId="0" xfId="0" applyFont="1" applyBorder="1"/>
    <xf numFmtId="165" fontId="38" fillId="0" borderId="0" xfId="0" applyNumberFormat="1" applyFont="1" applyAlignment="1">
      <alignment horizontal="center" vertical="center"/>
    </xf>
    <xf numFmtId="165" fontId="26" fillId="0" borderId="0" xfId="0" applyNumberFormat="1" applyFont="1" applyAlignment="1">
      <alignment horizontal="center" vertical="center"/>
    </xf>
    <xf numFmtId="165" fontId="26" fillId="0" borderId="17" xfId="0" applyNumberFormat="1" applyFont="1" applyFill="1" applyBorder="1" applyAlignment="1">
      <alignment horizontal="center" vertical="center"/>
    </xf>
    <xf numFmtId="0" fontId="26" fillId="0" borderId="3" xfId="0" applyFont="1" applyFill="1" applyBorder="1" applyAlignment="1">
      <alignment vertical="center"/>
    </xf>
    <xf numFmtId="14" fontId="38" fillId="0" borderId="46" xfId="0" applyNumberFormat="1" applyFont="1" applyFill="1" applyBorder="1" applyAlignment="1">
      <alignment horizontal="center" vertical="center"/>
    </xf>
    <xf numFmtId="0" fontId="10" fillId="0" borderId="32" xfId="0" applyFont="1" applyFill="1" applyBorder="1" applyAlignment="1">
      <alignment horizontal="left" vertical="center"/>
    </xf>
    <xf numFmtId="0" fontId="38" fillId="0" borderId="17" xfId="0" applyFont="1" applyFill="1" applyBorder="1" applyAlignment="1">
      <alignment horizontal="left" vertical="center"/>
    </xf>
    <xf numFmtId="0" fontId="38" fillId="0" borderId="3" xfId="0" applyFont="1" applyFill="1" applyBorder="1" applyAlignment="1">
      <alignment horizontal="left" vertical="center"/>
    </xf>
    <xf numFmtId="0" fontId="10" fillId="0" borderId="0" xfId="0" applyNumberFormat="1" applyFont="1" applyFill="1" applyBorder="1" applyAlignment="1">
      <alignment horizontal="center" vertical="center"/>
    </xf>
    <xf numFmtId="14" fontId="26" fillId="0" borderId="0" xfId="0" applyNumberFormat="1" applyFont="1" applyFill="1" applyBorder="1" applyAlignment="1">
      <alignment horizontal="center" vertical="center"/>
    </xf>
    <xf numFmtId="165" fontId="26" fillId="0" borderId="46" xfId="0" applyNumberFormat="1" applyFont="1" applyFill="1" applyBorder="1" applyAlignment="1">
      <alignment horizontal="center" vertical="center"/>
    </xf>
    <xf numFmtId="165" fontId="38" fillId="0" borderId="46" xfId="0" applyNumberFormat="1" applyFont="1" applyFill="1" applyBorder="1" applyAlignment="1">
      <alignment horizontal="center" vertical="center"/>
    </xf>
    <xf numFmtId="14" fontId="38" fillId="0" borderId="17" xfId="0" applyNumberFormat="1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vertical="center"/>
    </xf>
    <xf numFmtId="0" fontId="26" fillId="0" borderId="17" xfId="0" applyFont="1" applyFill="1" applyBorder="1" applyAlignment="1">
      <alignment vertical="center"/>
    </xf>
    <xf numFmtId="0" fontId="13" fillId="0" borderId="21" xfId="0" applyFont="1" applyFill="1" applyBorder="1" applyAlignment="1">
      <alignment horizontal="left" vertical="center"/>
    </xf>
    <xf numFmtId="14" fontId="38" fillId="0" borderId="3" xfId="0" applyNumberFormat="1" applyFont="1" applyFill="1" applyBorder="1" applyAlignment="1">
      <alignment horizontal="center" vertical="center"/>
    </xf>
    <xf numFmtId="14" fontId="46" fillId="0" borderId="3" xfId="0" applyNumberFormat="1" applyFont="1" applyFill="1" applyBorder="1" applyAlignment="1">
      <alignment horizontal="center" vertical="center"/>
    </xf>
    <xf numFmtId="49" fontId="38" fillId="0" borderId="17" xfId="0" applyNumberFormat="1" applyFont="1" applyFill="1" applyBorder="1" applyAlignment="1">
      <alignment horizontal="center" vertical="center"/>
    </xf>
    <xf numFmtId="165" fontId="10" fillId="0" borderId="46" xfId="0" applyNumberFormat="1" applyFont="1" applyFill="1" applyBorder="1" applyAlignment="1">
      <alignment horizontal="center" vertical="center"/>
    </xf>
    <xf numFmtId="165" fontId="13" fillId="0" borderId="46" xfId="0" applyNumberFormat="1" applyFont="1" applyFill="1" applyBorder="1" applyAlignment="1">
      <alignment horizontal="center" vertical="center"/>
    </xf>
    <xf numFmtId="0" fontId="10" fillId="0" borderId="3" xfId="0" applyFont="1" applyBorder="1" applyAlignment="1">
      <alignment horizontal="left" vertical="center"/>
    </xf>
    <xf numFmtId="14" fontId="0" fillId="0" borderId="22" xfId="0" applyNumberFormat="1" applyBorder="1" applyAlignment="1">
      <alignment horizontal="center"/>
    </xf>
    <xf numFmtId="165" fontId="13" fillId="27" borderId="17" xfId="0" applyNumberFormat="1" applyFont="1" applyFill="1" applyBorder="1" applyAlignment="1">
      <alignment vertical="center"/>
    </xf>
    <xf numFmtId="14" fontId="0" fillId="0" borderId="22" xfId="0" applyNumberFormat="1" applyBorder="1" applyAlignment="1">
      <alignment horizontal="left"/>
    </xf>
    <xf numFmtId="0" fontId="7" fillId="0" borderId="3" xfId="0" applyFont="1" applyFill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14" fontId="10" fillId="0" borderId="0" xfId="0" applyNumberFormat="1" applyFont="1" applyBorder="1" applyAlignment="1">
      <alignment horizontal="center" vertical="center"/>
    </xf>
    <xf numFmtId="14" fontId="0" fillId="0" borderId="17" xfId="0" applyNumberFormat="1" applyBorder="1"/>
    <xf numFmtId="165" fontId="38" fillId="0" borderId="0" xfId="0" quotePrefix="1" applyNumberFormat="1" applyFont="1" applyFill="1" applyAlignment="1">
      <alignment horizontal="center" vertical="center"/>
    </xf>
    <xf numFmtId="0" fontId="6" fillId="0" borderId="3" xfId="0" applyFont="1" applyBorder="1"/>
    <xf numFmtId="14" fontId="3" fillId="2" borderId="0" xfId="0" applyNumberFormat="1" applyFont="1" applyFill="1" applyAlignment="1">
      <alignment horizontal="center" vertical="center"/>
    </xf>
    <xf numFmtId="0" fontId="13" fillId="0" borderId="46" xfId="0" applyFont="1" applyFill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6" fillId="0" borderId="0" xfId="0" applyFont="1" applyBorder="1"/>
    <xf numFmtId="0" fontId="3" fillId="0" borderId="19" xfId="0" applyFont="1" applyFill="1" applyBorder="1" applyAlignment="1">
      <alignment horizontal="left" vertical="center"/>
    </xf>
    <xf numFmtId="14" fontId="3" fillId="0" borderId="19" xfId="0" applyNumberFormat="1" applyFont="1" applyFill="1" applyBorder="1" applyAlignment="1">
      <alignment horizontal="center" vertical="center"/>
    </xf>
    <xf numFmtId="165" fontId="0" fillId="0" borderId="0" xfId="0" applyNumberFormat="1" applyFill="1" applyBorder="1" applyAlignment="1">
      <alignment horizontal="center" vertical="center"/>
    </xf>
    <xf numFmtId="0" fontId="11" fillId="6" borderId="5" xfId="0" applyFont="1" applyFill="1" applyBorder="1" applyAlignment="1">
      <alignment horizontal="left" vertical="center"/>
    </xf>
    <xf numFmtId="0" fontId="11" fillId="5" borderId="14" xfId="0" applyFont="1" applyFill="1" applyBorder="1" applyAlignment="1">
      <alignment horizontal="left" vertical="center" wrapText="1"/>
    </xf>
    <xf numFmtId="0" fontId="11" fillId="5" borderId="15" xfId="0" applyFont="1" applyFill="1" applyBorder="1" applyAlignment="1">
      <alignment horizontal="left" vertical="center" wrapText="1"/>
    </xf>
    <xf numFmtId="0" fontId="11" fillId="6" borderId="4" xfId="0" applyFont="1" applyFill="1" applyBorder="1" applyAlignment="1">
      <alignment horizontal="left" vertical="center"/>
    </xf>
    <xf numFmtId="0" fontId="11" fillId="6" borderId="27" xfId="0" applyFont="1" applyFill="1" applyBorder="1" applyAlignment="1">
      <alignment horizontal="left" vertical="center"/>
    </xf>
    <xf numFmtId="0" fontId="11" fillId="6" borderId="5" xfId="0" applyFont="1" applyFill="1" applyBorder="1" applyAlignment="1">
      <alignment horizontal="left" vertical="center"/>
    </xf>
    <xf numFmtId="0" fontId="11" fillId="4" borderId="15" xfId="0" applyFont="1" applyFill="1" applyBorder="1" applyAlignment="1">
      <alignment horizontal="left" vertical="center"/>
    </xf>
    <xf numFmtId="0" fontId="11" fillId="4" borderId="16" xfId="0" applyFont="1" applyFill="1" applyBorder="1" applyAlignment="1">
      <alignment horizontal="left" vertical="center"/>
    </xf>
  </cellXfs>
  <cellStyles count="4">
    <cellStyle name="Comma" xfId="2" builtinId="3"/>
    <cellStyle name="Normal" xfId="0" builtinId="0"/>
    <cellStyle name="Percent" xfId="1" builtinId="5"/>
    <cellStyle name="Percent 2" xfId="3" xr:uid="{BA84609B-28F4-44BD-BE70-5E17A3BB06D9}"/>
  </cellStyles>
  <dxfs count="2255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0"/>
        </patternFill>
      </fill>
    </dxf>
    <dxf>
      <fill>
        <patternFill patternType="solid">
          <bgColor rgb="FFFF0000"/>
        </patternFill>
      </fill>
    </dxf>
    <dxf>
      <font>
        <color auto="1"/>
      </font>
    </dxf>
    <dxf>
      <font>
        <color theme="0" tint="-0.14999847407452621"/>
      </font>
    </dxf>
    <dxf>
      <fill>
        <patternFill patternType="solid">
          <bgColor theme="7" tint="0.39997558519241921"/>
        </patternFill>
      </fill>
    </dxf>
    <dxf>
      <fill>
        <patternFill>
          <bgColor theme="0" tint="-0.149998474074526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>
          <bgColor theme="0" tint="-0.149998474074526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>
          <bgColor theme="8" tint="-0.249977111117893"/>
        </patternFill>
      </fill>
    </dxf>
    <dxf>
      <fill>
        <patternFill>
          <bgColor theme="0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>
          <bgColor theme="0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>
          <bgColor theme="7" tint="0.39997558519241921"/>
        </patternFill>
      </fill>
    </dxf>
    <dxf>
      <fill>
        <patternFill>
          <bgColor theme="8" tint="-0.249977111117893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rgb="FF0070C0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top style="thin">
          <color indexed="64"/>
        </top>
        <horizontal style="thin">
          <color indexed="64"/>
        </horizontal>
      </border>
    </dxf>
    <dxf>
      <border>
        <top style="thin">
          <color indexed="64"/>
        </top>
        <horizontal style="thin">
          <color indexed="64"/>
        </horizontal>
      </border>
    </dxf>
    <dxf>
      <border>
        <top style="thin">
          <color indexed="64"/>
        </top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alignment textRotation="9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/>
    </dxf>
    <dxf>
      <alignment textRotation="9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ont>
        <color auto="1"/>
      </font>
    </dxf>
    <dxf>
      <font>
        <color auto="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</font>
    </dxf>
    <dxf>
      <fill>
        <patternFill patternType="solid">
          <bgColor rgb="FFFFFF00"/>
        </patternFill>
      </fill>
    </dxf>
    <dxf>
      <alignment textRotation="9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0"/>
    </dxf>
    <dxf>
      <alignment wrapText="0"/>
    </dxf>
    <dxf>
      <alignment wrapText="0"/>
    </dxf>
    <dxf>
      <alignment textRotation="90"/>
    </dxf>
    <dxf>
      <alignment textRotation="90"/>
    </dxf>
    <dxf>
      <alignment textRotation="90"/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solid">
          <fgColor indexed="64"/>
          <bgColor theme="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66" formatCode="0.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6" formatCode="0.0"/>
      <fill>
        <patternFill patternType="solid">
          <fgColor indexed="64"/>
          <bgColor theme="4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6" formatCode="0.0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4" formatCode="0.00%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2" formatCode="0.0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3" formatCode="#,##0"/>
      <fill>
        <patternFill patternType="solid">
          <fgColor indexed="64"/>
          <bgColor theme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166" formatCode="0.0"/>
      <fill>
        <patternFill patternType="solid">
          <fgColor indexed="64"/>
          <bgColor theme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66" formatCode="0.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2" formatCode="0.00"/>
      <fill>
        <patternFill patternType="solid">
          <fgColor indexed="64"/>
          <bgColor theme="5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1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0"/>
        <name val="Arial"/>
        <family val="2"/>
        <scheme val="none"/>
      </font>
      <numFmt numFmtId="1" formatCode="0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3" formatCode="#,##0"/>
      <fill>
        <patternFill patternType="solid">
          <fgColor indexed="64"/>
          <bgColor theme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/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166" formatCode="0.0"/>
      <fill>
        <patternFill patternType="solid">
          <fgColor indexed="64"/>
          <bgColor theme="1"/>
        </patternFill>
      </fill>
      <alignment horizontal="center" vertical="bottom" textRotation="0" wrapText="1" indent="0" justifyLastLine="0" shrinkToFit="0" readingOrder="0"/>
      <border outline="0">
        <right style="thin">
          <color indexed="64"/>
        </right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>
          <fgColor indexed="64"/>
          <bgColor rgb="FFFF0000"/>
        </patternFill>
      </fill>
      <alignment horizontal="center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>
          <fgColor indexed="64"/>
          <bgColor rgb="FFFF0000"/>
        </patternFill>
      </fill>
      <alignment horizontal="center" vertical="bottom" textRotation="0" wrapText="1" indent="0" justifyLastLine="0" shrinkToFit="0" readingOrder="0"/>
      <border outline="0">
        <left style="thin">
          <color indexed="64"/>
        </left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66" formatCode="0.0"/>
      <fill>
        <patternFill patternType="solid">
          <fgColor indexed="64"/>
          <bgColor theme="7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>
          <fgColor indexed="64"/>
          <bgColor theme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6" formatCode="0.0"/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1" indent="0" justifyLastLine="0" shrinkToFit="0" readingOrder="0"/>
      <border diagonalUp="0" diagonalDown="0" outline="0">
        <left style="medium">
          <color rgb="FF000000"/>
        </left>
        <right style="thin">
          <color rgb="FF000000"/>
        </right>
        <top/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medium">
          <color rgb="FF000000"/>
        </top>
      </border>
    </dxf>
    <dxf>
      <alignment horizontal="center" vertical="bottom" textRotation="0" wrapText="1" indent="0" justifyLastLine="0" shrinkToFit="0" readingOrder="0"/>
      <border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border outline="0">
        <left style="thin">
          <color indexed="64"/>
        </left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4" formatCode="0.00%"/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numFmt numFmtId="13" formatCode="0%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border outline="0">
        <left style="thin">
          <color indexed="64"/>
        </left>
        <right style="thin">
          <color indexed="64"/>
        </right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>
          <fgColor indexed="64"/>
          <bgColor rgb="FFFFFF00"/>
        </patternFill>
      </fill>
      <alignment horizontal="center" vertical="center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indexed="64"/>
          <bgColor rgb="FF4472C4"/>
        </patternFill>
      </fill>
      <border outline="0">
        <right style="thin">
          <color indexed="64"/>
        </right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indexed="64"/>
          <bgColor rgb="FFFFFF00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3" formatCode="#,##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Calibri"/>
        <scheme val="minor"/>
      </font>
      <fill>
        <patternFill patternType="solid">
          <fgColor indexed="64"/>
          <bgColor rgb="FFFFFF00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1"/>
    </dxf>
    <dxf>
      <border>
        <top style="medium">
          <color indexed="64"/>
        </top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right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5" formatCode="hh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9" formatCode="m/d/yyyy"/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1"/>
        <color rgb="FFFFFFFF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ill>
        <patternFill patternType="solid">
          <bgColor rgb="FFFF0000"/>
        </patternFill>
      </fill>
    </dxf>
  </dxfs>
  <tableStyles count="0" defaultTableStyle="TableStyleMedium2" defaultPivotStyle="PivotStyleLight16"/>
  <colors>
    <mruColors>
      <color rgb="FFCD96D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38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pivotCacheDefinition" Target="pivotCache/pivotCacheDefinition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37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pivotCacheDefinition" Target="pivotCache/pivotCacheDefinition2.xml"/><Relationship Id="rId36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pivotCacheDefinition" Target="pivotCache/pivotCacheDefinition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pivotCacheDefinition" Target="pivotCache/pivotCacheDefinition1.xml"/><Relationship Id="rId30" Type="http://schemas.openxmlformats.org/officeDocument/2006/relationships/pivotCacheDefinition" Target="pivotCache/pivotCacheDefinition4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981075</xdr:colOff>
      <xdr:row>0</xdr:row>
      <xdr:rowOff>142875</xdr:rowOff>
    </xdr:from>
    <xdr:to>
      <xdr:col>9</xdr:col>
      <xdr:colOff>581025</xdr:colOff>
      <xdr:row>10</xdr:row>
      <xdr:rowOff>161925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397857F-B1E7-2662-4204-E4E5FD37DBE5}"/>
            </a:ext>
          </a:extLst>
        </xdr:cNvPr>
        <xdr:cNvSpPr txBox="1"/>
      </xdr:nvSpPr>
      <xdr:spPr>
        <a:xfrm>
          <a:off x="6543675" y="142875"/>
          <a:ext cx="5915025" cy="19240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Notes: </a:t>
          </a:r>
        </a:p>
        <a:p>
          <a:r>
            <a:rPr lang="en-US" sz="1100"/>
            <a:t>Resident</a:t>
          </a:r>
          <a:r>
            <a:rPr lang="en-US" sz="1100" baseline="0"/>
            <a:t> courses only</a:t>
          </a:r>
        </a:p>
        <a:p>
          <a:endParaRPr lang="en-US" sz="1100" baseline="0"/>
        </a:p>
        <a:p>
          <a:r>
            <a:rPr lang="en-US" sz="1100" baseline="0"/>
            <a:t>1. Sort: Select Course</a:t>
          </a:r>
        </a:p>
        <a:p>
          <a:r>
            <a:rPr lang="en-US" sz="1100" baseline="0"/>
            <a:t>2. B: Total quotas planned in FY26 in that location</a:t>
          </a:r>
        </a:p>
        <a:p>
          <a:r>
            <a:rPr lang="en-US" sz="1100" baseline="0"/>
            <a:t>3. C: Quotas need for that course in that location</a:t>
          </a:r>
          <a:endParaRPr lang="en-US" sz="1100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xlFile://Root/sites/TrainingSptDept/Shared%20Documents/General/N7%20TSD%20Share%20Drive/TSD%20Needs%20Assessment/FY26/FY26_SAF%20Needs%20Assessment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xlFile://Root/sites/TrainingSptDept/Shared%20Documents/General/N7%20TSD%20Share%20Drive/TSD%20Needs%20Assessment/FY26/FY26_SAF%20Needs%20Assessment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xlFile://Root/Users/amanda.carter/AppData/Local/Microsoft/Windows/INetCache/Content.Outlook/4EV23E55/FY26%20EEM_%20ECH%20II%20CRM%20v01%20Input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xlFile://Root/Users/amanda.carter/AppData/Local/Microsoft/Windows/INetCache/Content.Outlook/4EV23E55/FY26%20EEM_%20ECH%20II%20CRM%20v01%20Input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5726.448082407405" createdVersion="8" refreshedVersion="8" minRefreshableVersion="3" recordCount="2855" xr:uid="{90E6234A-8D51-49E3-BB77-8231F634D99C}">
  <cacheSource type="worksheet">
    <worksheetSource name="Table4" r:id="rId2"/>
  </cacheSource>
  <cacheFields count="19">
    <cacheField name="Command" numFmtId="0">
      <sharedItems count="56">
        <s v="BUMED"/>
        <s v="U.S. SEVENTH Fleet"/>
        <s v="Commander Fleet Readiness Centers"/>
        <s v="USNMRTC GUANTANAMO BAY"/>
        <s v="NMRTC Beaufort, Beaufort SC"/>
        <s v="U.S. Fleet Cyber Command (N00055)"/>
        <s v="NAVFAC MIDLANT "/>
        <s v="NAVMEDFORLANT"/>
        <s v="Naval Education and Training Command (NETC)"/>
        <s v="NIWC LANT"/>
        <s v="NMFP"/>
        <s v="Naval Medical Readiness Logistics Command"/>
        <s v="NMRTC Corpus Christi"/>
        <s v="NMRTC Patuxent River"/>
        <s v="NMRTC Portsmouth"/>
        <s v="NAVMEDREADTRNCMD NEW ENGLAND NEWPORT RI"/>
        <s v="Southeast"/>
        <s v="Navy Medicine Readiness and Training Command Charleston"/>
        <s v="Marine Corps"/>
        <s v="Naval Air Systems Command"/>
        <s v="NAVFAC PWD CLDJ"/>
        <s v="NAVFAC HI"/>
        <s v="NAVFAC Washington"/>
        <s v="NAVFAC Marianas"/>
        <s v="Naval Facilities Engineering Systems Command"/>
        <s v="Naval Sea Systems Command"/>
        <s v="Naval Information Warfare Systems (NAVWAR)"/>
        <s v="NAVFAC FE"/>
        <s v="Naval Hospital Rota, Spain"/>
        <s v="Naval Information Warfare Center (NIWC) Pacific"/>
        <s v="NAVY MEDICINE OPERATIONAL TRAINING COMMAND"/>
        <s v="NMRTC CL/NMC Camp Lejeune"/>
        <s v="NAWCAD "/>
        <s v="NMRTC Jacksonville (including NMRTU Kings Bay, Mayport and Albany)"/>
        <s v="MNRTC QUANTCO"/>
        <s v="NMRTC Naples"/>
        <s v="Officer In Charge of Construction, PNSY"/>
        <s v="OPTEVFOR "/>
        <s v="PACFLT"/>
        <s v="SSP"/>
        <s v="US Fleet Forces"/>
        <s v="USNMRTC Sigonella, Italy"/>
        <s v="Navy Munitions Command Pacific CONUS West Division"/>
        <s v="Navy Crane Center"/>
        <s v="Navy and Marine Corps Force Health Protection Command"/>
        <s v="Commander, Naval District Washington"/>
        <s v="COMSUBPAC"/>
        <s v="COMNAVSURFPAC"/>
        <s v="COMNAVSURFPAC N05"/>
        <s v="Commander, Navy Reserve Command"/>
        <s v="Commander, Naval Legal Service Command"/>
        <s v="CNIC"/>
        <s v="CNAP"/>
        <s v="C3F"/>
        <s v="Naval Supply Systems Command"/>
        <s v="NAWCWD"/>
      </sharedItems>
    </cacheField>
    <cacheField name="Location/Course Title" numFmtId="0">
      <sharedItems count="86">
        <s v="Annapolis, MD"/>
        <s v="Atsugi, Japan"/>
        <s v="Bahrain "/>
        <s v="Bangor, WA"/>
        <s v="Bremerton, WA"/>
        <s v="Camp Lejeune, NC"/>
        <s v="Chinhae, Korea"/>
        <s v="Colts Neck, NJ"/>
        <s v="Coronado, CA"/>
        <s v="Corpus Christi, TX"/>
        <s v="Crane, IN"/>
        <s v="Diego Garcia"/>
        <s v="Everett, WA"/>
        <s v="Fallon, NV "/>
        <s v="Great Lakes, IL"/>
        <s v="Guam"/>
        <s v="Guantanamo Bay, Cuba"/>
        <s v="Gulfport, MS"/>
        <s v="Indian Head, MD"/>
        <s v="Indian Island, WA"/>
        <s v="Jacksonville, FL"/>
        <s v="Kekaha, HI"/>
        <s v="Keyport, WA "/>
        <s v="Kingsbay, GA"/>
        <s v="Kingsville, TX"/>
        <s v="Lemoore, CA"/>
        <s v="Mayport, FL"/>
        <s v="Mid South, TN"/>
        <s v="Naples, Italy"/>
        <s v="New London, CT/Groton"/>
        <s v="Newport, RI"/>
        <s v="Norfolk, VA"/>
        <s v="Okinawa, Japan"/>
        <s v="Panama City, FL"/>
        <s v="Patuxent River, MD"/>
        <s v="Pearl Harbor, HI"/>
        <s v="Pensacola, FL"/>
        <s v="Point Loma, CA"/>
        <s v="Port Hueneme, CA"/>
        <s v="Portsmouth, NH"/>
        <s v="Rota, Spain"/>
        <s v="San Clemente Island, CA"/>
        <s v="San Diego, CA"/>
        <s v="Sasebo, Japan"/>
        <s v="Seal Beach, CA"/>
        <s v="Sigonella, Italy"/>
        <s v="Souda Bay, Greece"/>
        <s v="Ventura County, CA"/>
        <s v="Virginia Beach, VA "/>
        <s v="Washington, DC"/>
        <s v="Whidbey Island, WA"/>
        <s v="Yokosuka, Japan"/>
        <s v="Mechanicburg, PA"/>
        <s v="Philadelphia, PA"/>
        <s v="Quantico"/>
        <s v="Cherry Point, NC"/>
        <s v="Ft. Worth, TX"/>
        <s v="Key West, FL"/>
        <s v="Meridian, MS"/>
        <s v="New Orleans, LA"/>
        <s v="Whiting Field, FL"/>
        <s v="ROICC Sally, Pensacola, FL"/>
        <s v="Albany, GA"/>
        <s v="Camp Pendleton, CA"/>
        <s v="Quantico, VA"/>
        <s v="MCAS Miramar"/>
        <s v="MCB Hawaii"/>
        <s v="MCAS Iwakuni"/>
        <s v="MCAS Yuma"/>
        <s v="MCAS Cherry Point"/>
        <s v="MCAS New River"/>
        <s v="MCSF Blount Island"/>
        <s v="Camp Mujuk"/>
        <s v="Camp Lemonnier, Dijbouti"/>
        <s v="Singapore, SG"/>
        <s v="WNY0 Chlinic-Washington, DC"/>
        <s v="Groton, CT"/>
        <s v="Kingsvile, TX"/>
        <s v="New London, CT"/>
        <s v="Pax River, MD"/>
        <s v="Support Facility Diego Garcia"/>
        <s v="Mechanicsburg, PA"/>
        <s v="Dalhgren, VA"/>
        <s v="China Lake, CA"/>
        <s v="Monterey, CA"/>
        <s v="El Centro, CA"/>
      </sharedItems>
    </cacheField>
    <cacheField name="Asbestos Inspector" numFmtId="0">
      <sharedItems containsString="0" containsBlank="1" containsNumber="1" containsInteger="1" minValue="0" maxValue="44"/>
    </cacheField>
    <cacheField name="Asbestos Inspector Refresher" numFmtId="0">
      <sharedItems containsString="0" containsBlank="1" containsNumber="1" containsInteger="1" minValue="0" maxValue="30"/>
    </cacheField>
    <cacheField name="Asbestos Management Planner" numFmtId="0">
      <sharedItems containsString="0" containsBlank="1" containsNumber="1" containsInteger="1" minValue="0" maxValue="15"/>
    </cacheField>
    <cacheField name="Asbestos Management Planner Refresher" numFmtId="0">
      <sharedItems containsString="0" containsBlank="1" containsNumber="1" containsInteger="1" minValue="0" maxValue="15"/>
    </cacheField>
    <cacheField name="Asbestos Supervisor Initial" numFmtId="0">
      <sharedItems containsString="0" containsBlank="1" containsNumber="1" containsInteger="1" minValue="0" maxValue="30"/>
    </cacheField>
    <cacheField name="Asbestos Supervisor Refresher" numFmtId="0">
      <sharedItems containsString="0" containsBlank="1" containsNumber="1" containsInteger="1" minValue="0" maxValue="15"/>
    </cacheField>
    <cacheField name="Competent Person for Fall Protection Course" numFmtId="0">
      <sharedItems containsString="0" containsBlank="1" containsNumber="1" containsInteger="1" minValue="0" maxValue="220"/>
    </cacheField>
    <cacheField name="Confined Space Safety " numFmtId="0">
      <sharedItems containsString="0" containsBlank="1" containsNumber="1" containsInteger="1" minValue="0" maxValue="44"/>
    </cacheField>
    <cacheField name="Construction Safety Standards" numFmtId="0">
      <sharedItems containsString="0" containsBlank="1" containsNumber="1" containsInteger="1" minValue="0" maxValue="42"/>
    </cacheField>
    <cacheField name="Emergency Asbestos Response Team" numFmtId="0">
      <sharedItems containsString="0" containsBlank="1" containsNumber="1" containsInteger="1" minValue="0" maxValue="30"/>
    </cacheField>
    <cacheField name="Fire Protection &amp; Life Safety" numFmtId="0">
      <sharedItems containsString="0" containsBlank="1" containsNumber="1" containsInteger="1" minValue="0" maxValue="31"/>
    </cacheField>
    <cacheField name="Industrial Noise and Hearing Conservation Program" numFmtId="0">
      <sharedItems containsString="0" containsBlank="1" containsNumber="1" containsInteger="1" minValue="0" maxValue="39"/>
    </cacheField>
    <cacheField name="Occupational Health Program Manager (In development)" numFmtId="0">
      <sharedItems containsString="0" containsBlank="1" containsNumber="1" containsInteger="1" minValue="0" maxValue="31"/>
    </cacheField>
    <cacheField name="Respiratory Protection Program Management" numFmtId="0">
      <sharedItems containsString="0" containsBlank="1" containsNumber="1" containsInteger="1" minValue="0" maxValue="100"/>
    </cacheField>
    <cacheField name="Safety Managers Course " numFmtId="0">
      <sharedItems containsString="0" containsBlank="1" containsNumber="1" containsInteger="1" minValue="0" maxValue="38"/>
    </cacheField>
    <cacheField name="Workplace Inspection Course (In Development)" numFmtId="0">
      <sharedItems containsString="0" containsBlank="1" containsNumber="1" containsInteger="1" minValue="0" maxValue="65"/>
    </cacheField>
    <cacheField name="Totals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5785.582854513887" createdVersion="8" refreshedVersion="8" minRefreshableVersion="3" recordCount="715" xr:uid="{CE85A03C-F016-4DDC-B46D-977D508B8338}">
  <cacheSource type="worksheet">
    <worksheetSource name="Table14" r:id="rId2"/>
  </cacheSource>
  <cacheFields count="9">
    <cacheField name="Command" numFmtId="0">
      <sharedItems count="56">
        <s v="BUMED"/>
        <s v="U.S. SEVENTH Fleet"/>
        <s v="Commander Fleet Readiness Centers"/>
        <s v="USNMRTC GUANTANAMO BAY"/>
        <s v="NMRTC Beaufort, Beaufort SC"/>
        <s v="U.S. Fleet Cyber Command (N00055)"/>
        <s v="NAVFAC MIDLANT "/>
        <s v="NAVMEDFORLANT"/>
        <s v="Naval Education and Training Command (NETC)"/>
        <s v="NIWC LANT"/>
        <s v="NMFP"/>
        <s v="Naval Medical Readiness Logistics Command"/>
        <s v="NMRTC Corpus Christi"/>
        <s v="NMRTC Patuxent River"/>
        <s v="NMRTC Portsmouth"/>
        <s v="NAVMEDREADTRNCMD NEW ENGLAND NEWPORT RI"/>
        <s v="Southeast"/>
        <s v="Navy Medicine Readiness and Training Command Charleston"/>
        <s v="Marine Corps"/>
        <s v="Naval Air Systems Command"/>
        <s v="NAVFAC PWD CLDJ"/>
        <s v="NAVFAC HI"/>
        <s v="NAVFAC Washington"/>
        <s v="NAVFAC Marianas"/>
        <s v="Naval Facilities Engineering Systems Command"/>
        <s v="Naval Sea Systems Command"/>
        <s v="Naval Information Warfare Systems (NAVWAR)"/>
        <s v="NAVFAC FE"/>
        <s v="Naval Hospital Rota, Spain"/>
        <s v="Naval Information Warfare Center (NIWC) Pacific"/>
        <s v="NAVY MEDICINE OPERATIONAL TRAINING COMMAND"/>
        <s v="NMRTC CL/NMC Camp Lejeune"/>
        <s v="NAWCAD "/>
        <s v="NMRTC Jacksonville (including NMRTU Kings Bay, Mayport and Albany)"/>
        <s v="MNRTC QUANTCO"/>
        <s v="NMRTC Naples"/>
        <s v="Officer In Charge of Construction, PNSY"/>
        <s v="OPTEVFOR "/>
        <s v="PACFLT"/>
        <s v="SSP"/>
        <s v="US Fleet Forces"/>
        <s v="USNMRTC Sigonella, Italy"/>
        <s v="Navy Munitions Command Pacific CONUS West Division"/>
        <s v="Navy and Marine Corps Force Health Protection Command"/>
        <s v="Commander, Naval District Washington"/>
        <s v="COMSUBPAC"/>
        <s v="COMNAVSURFPAC"/>
        <s v="COMNAVSURFPAC N54"/>
        <s v="Commander, Navy Reserve Command"/>
        <s v="Commander, Naval Legal Service Command"/>
        <s v="CNIC"/>
        <s v="CNAP"/>
        <s v="C3F"/>
        <s v="Naval Supply Systems Command"/>
        <s v="NAWCWD"/>
        <s v="Navy Crane Center" u="1"/>
      </sharedItems>
    </cacheField>
    <cacheField name="Course Title/Preferred Time Zone" numFmtId="0">
      <sharedItems count="24">
        <s v="Aviation Safety Specialist  (Global Online)"/>
        <s v="Fall Protection Program Manager (Global Online)"/>
        <s v="General Industry Safety Standards  (Global Online)"/>
        <s v="Hazardous Material Control and Management (HMC&amp;M) Technician  (Global Online)"/>
        <s v="Introduction to Hazardous Materials Ashore  (Global Online)"/>
        <s v="Introduction to Industrial Hygiene for Safety Professionals  (Global Online)"/>
        <s v="Introduction to Naval Safety and Occupational Health (Global Online)"/>
        <s v="Machinery &amp; Machine Guarding Standards  (Global Online)"/>
        <s v="Mishap Investigation  (Global Online)"/>
        <s v="Navy Ergonomics Program (Global Online)"/>
        <s v="Operational Risk Management Application &amp; Integration Course  (Global Online)"/>
        <s v="Safety Programs Afloat  (Global Online)"/>
        <s v="Submarine Safety Officer  (Global Online)"/>
        <s v="Safety Programs Afloat  (Global Online) " u="1"/>
        <s v="Afloat Environmental Protection Coordinator (Global Online)" u="1"/>
        <s v="Occupational Health Program Manager (In Development)" u="1"/>
        <s v="Safety Programs Afloat  (Global Online) (A-493-2098)" u="1"/>
        <s v="Safety Managers Course (In Development)" u="1"/>
        <s v="Workplace Inspectors Course (In Development)" u="1"/>
        <s v="Introduction to Naval Safety and Occupational Health Ashore  (Global Online)" u="1"/>
        <s v="Electrical Standards (297)" u="1"/>
        <s v="General Industry Safety Standards [511] (68)" u="1"/>
        <s v="Machinery and Machine Guarding Standards (1041)" u="1"/>
        <s v="Navy Ergonomics Program Course (248)" u="1"/>
      </sharedItems>
    </cacheField>
    <cacheField name="AST" numFmtId="0">
      <sharedItems containsString="0" containsBlank="1" containsNumber="1" containsInteger="1" minValue="0" maxValue="70"/>
    </cacheField>
    <cacheField name="CET/CEST" numFmtId="0">
      <sharedItems containsString="0" containsBlank="1" containsNumber="1" containsInteger="1" minValue="0" maxValue="28"/>
    </cacheField>
    <cacheField name="EST/EDT" numFmtId="0">
      <sharedItems containsString="0" containsBlank="1" containsNumber="1" containsInteger="1" minValue="0" maxValue="776"/>
    </cacheField>
    <cacheField name="HST" numFmtId="0">
      <sharedItems containsString="0" containsBlank="1" containsNumber="1" containsInteger="1" minValue="0" maxValue="60"/>
    </cacheField>
    <cacheField name="JST" numFmtId="0">
      <sharedItems containsString="0" containsBlank="1" containsNumber="1" containsInteger="1" minValue="0" maxValue="112"/>
    </cacheField>
    <cacheField name="PST/PDT " numFmtId="0">
      <sharedItems containsString="0" containsBlank="1" containsNumber="1" containsInteger="1" minValue="0" maxValue="440"/>
    </cacheField>
    <cacheField name="Totals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5772.378382060182" createdVersion="8" refreshedVersion="8" minRefreshableVersion="3" recordCount="696" xr:uid="{631826D1-503F-4928-8D48-E800DE58B41F}">
  <cacheSource type="worksheet">
    <worksheetSource name="Table4" r:id="rId2"/>
  </cacheSource>
  <cacheFields count="12">
    <cacheField name="Command Name" numFmtId="0">
      <sharedItems containsBlank="1" count="11">
        <s v="USFF"/>
        <s v="PACFLT"/>
        <s v="Naval History and Heritage Command"/>
        <s v="NAVSEA"/>
        <s v="Naval Air Systems Command"/>
        <s v="USMC-SAF"/>
        <s v="NAVSUPSYSCOM HQ"/>
        <s v="All BSOs - Roll Up"/>
        <s v="USMC- EEM "/>
        <m/>
        <s v="Marine Corps" u="1"/>
      </sharedItems>
    </cacheField>
    <cacheField name="Location/Course Title" numFmtId="0">
      <sharedItems containsBlank="1" count="97">
        <s v="Annapolis, MD"/>
        <s v="Atsugi, Japan"/>
        <s v="Bahrain "/>
        <s v="Bangor, WA"/>
        <s v="Bremerton, WA"/>
        <s v="Camp Lejeune, NC"/>
        <s v="Chinhae, Korea"/>
        <s v="Colts Neck, NJ"/>
        <s v="Coronado, CA"/>
        <s v="Corpus Christi, TX"/>
        <s v="Crane, IN"/>
        <s v="Diego Garcia"/>
        <s v="Everett, WA"/>
        <s v="Fallon, NV "/>
        <s v="Great Lakes, IL"/>
        <s v="Guam"/>
        <s v="Guantanamo Bay, Cuba"/>
        <s v="Gulfport, MS"/>
        <s v="Indian Head, MD"/>
        <s v="Indian Island, WA"/>
        <s v="Jacksonville, FL"/>
        <s v="Kekaha, HI"/>
        <s v="Keyport, WA "/>
        <s v="Kingsbay, GA"/>
        <s v="Kingsville, TX"/>
        <s v="Lemoore, CA"/>
        <s v="Mayport, FL"/>
        <s v="Mid South, TN"/>
        <s v="Naples, Italy"/>
        <s v="New London, CT/Groton"/>
        <s v="Newport, RI"/>
        <s v="Norfolk, VA"/>
        <s v="Okinawa, Japan"/>
        <s v="Panama City, FL"/>
        <s v="Patuxent River, MD"/>
        <s v="Pearl Harbor, HI"/>
        <s v="Pensacola, FL"/>
        <s v="Point Loma, CA"/>
        <s v="Port Hueneme, CA"/>
        <s v="Portsmouth, NH"/>
        <s v="Rota, Spain"/>
        <s v="San Clemente Island, CA"/>
        <s v="San Diego, CA"/>
        <s v="Sasebo, Japan"/>
        <s v="Seal Beach, CA"/>
        <s v="Sigonella, Italy"/>
        <s v="Souda Bay, Greece"/>
        <s v="Ventura County, CA"/>
        <s v="Virginia Beach, VA "/>
        <s v="Washington, DC"/>
        <s v="Whidbey Island, WA"/>
        <s v="Yokosuka, Japan"/>
        <s v="Camp Mujuk"/>
        <s v="MCAS New River"/>
        <s v="MCB Camp Lejeune"/>
        <s v="MCLB Albany"/>
        <s v="MCAGCC Twentynine Palms"/>
        <s v="MCAS Beaufort"/>
        <s v="MCAS Iwakuni"/>
        <s v="MCAS Cherry Point"/>
        <s v="MCB Okinawa"/>
        <s v="MCB Camp Pendleton"/>
        <s v="MCRD Parris Island"/>
        <s v="MCSF Blount Island"/>
        <s v="MCB Hawaii"/>
        <s v="MCAS Miramar"/>
        <s v="MCRD San Diego"/>
        <s v="China Lake (Ridgecrest), CA"/>
        <s v="CLDJ, Djibouti"/>
        <s v="Deveselu, Romania"/>
        <s v="El Centro, CA"/>
        <s v="Fort Worth, TX"/>
        <s v="Key West, FL"/>
        <s v="Mechanicsburg, PA"/>
        <s v="Monterey, CA"/>
        <s v="New Orleans, LA"/>
        <s v="Redzikowo, Poland"/>
        <s v="Singapore, SG"/>
        <s v="Andros, Bahamas"/>
        <s v="Whiting Field, FL"/>
        <s v="Singapore Area Coordinator"/>
        <s v="Misawa, Japan"/>
        <s v="Hachinohe, Japan (NAVSUP FLCY)"/>
        <s v="Hakozaki, Japan (NAVSUP FLCY)"/>
        <s v="Tsurumi, Japan (NAVSUP FLCY)"/>
        <s v="Support Facilit Diego Garcia"/>
        <s v="Yorktown, Va"/>
        <s v="Manchester, WA"/>
        <s v="Camp Lemonnier, Djibouti"/>
        <s v="MCB Quantico"/>
        <s v="MCB Butler"/>
        <s v="MCB Mujuk"/>
        <s v="MCLB 29 Palms"/>
        <s v="MCAS Yuma"/>
        <s v="MCAB Fuji"/>
        <m/>
        <s v="Sasebo, Japan (NAVSUP FLCS)" u="1"/>
      </sharedItems>
    </cacheField>
    <cacheField name="Facility Response Team Five Day" numFmtId="0">
      <sharedItems containsString="0" containsBlank="1" containsNumber="1" containsInteger="1" minValue="1" maxValue="40"/>
    </cacheField>
    <cacheField name="Facility Response Team Three Day" numFmtId="0">
      <sharedItems containsString="0" containsBlank="1" containsNumber="1" containsInteger="1" minValue="0" maxValue="40"/>
    </cacheField>
    <cacheField name="Hazardous Substance Incident Response Management" numFmtId="0">
      <sharedItems containsString="0" containsBlank="1" containsNumber="1" containsInteger="1" minValue="0" maxValue="50"/>
    </cacheField>
    <cacheField name="Hazardous Substance Incident Response Management  Refresher" numFmtId="0">
      <sharedItems containsString="0" containsBlank="1" containsNumber="1" containsInteger="1" minValue="0" maxValue="60"/>
    </cacheField>
    <cacheField name="Incident Command System 300 " numFmtId="0">
      <sharedItems containsString="0" containsBlank="1" containsNumber="1" containsInteger="1" minValue="1" maxValue="30"/>
    </cacheField>
    <cacheField name="Incident Command System 300 Refresher" numFmtId="0">
      <sharedItems containsString="0" containsBlank="1" containsNumber="1" containsInteger="1" minValue="0" maxValue="30"/>
    </cacheField>
    <cacheField name="Incident Command System 400 " numFmtId="0">
      <sharedItems containsString="0" containsBlank="1" containsNumber="1" containsInteger="1" minValue="1" maxValue="30"/>
    </cacheField>
    <cacheField name="Oil Hazardous Substance Spill Response Tabletop Exercise " numFmtId="0">
      <sharedItems containsString="0" containsBlank="1" containsNumber="1" containsInteger="1" minValue="1" maxValue="40"/>
    </cacheField>
    <cacheField name="Tank Managers Course" numFmtId="0">
      <sharedItems containsString="0" containsBlank="1" containsNumber="1" containsInteger="1" minValue="1" maxValue="30"/>
    </cacheField>
    <cacheField name="Totals" numFmtId="0">
      <sharedItems containsSemiMixedTypes="0" containsString="0" containsNumber="1" containsInteger="1" minValue="0" maxValue="27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5737.37752800926" createdVersion="8" refreshedVersion="8" minRefreshableVersion="3" recordCount="696" xr:uid="{051614A4-5EA4-4B17-A59A-4768A2FAE1A0}">
  <cacheSource type="worksheet">
    <worksheetSource name="Table14" r:id="rId2"/>
  </cacheSource>
  <cacheFields count="9">
    <cacheField name="Command Name" numFmtId="0">
      <sharedItems containsBlank="1" count="9">
        <s v="USFF"/>
        <s v="PACFLT"/>
        <s v="Naval History and Heritage Command"/>
        <s v="NAVSEA"/>
        <s v="Naval Air Systems Command"/>
        <s v="Marine Corps"/>
        <s v="NAVSUPSYSCOM HQ"/>
        <s v="All BSOs - Roll Up"/>
        <m/>
      </sharedItems>
    </cacheField>
    <cacheField name="Course Title/Preferred Time Zone" numFmtId="0">
      <sharedItems containsBlank="1" count="4">
        <s v="Afloat Environmental Protection Coordinator (Global Online)"/>
        <s v="Hazardous Substance Incident Response Management (HSIRM) Refresher"/>
        <m/>
        <s v="Hazardous Substance Incident Response Management (HSIRM)" u="1"/>
      </sharedItems>
    </cacheField>
    <cacheField name="AST" numFmtId="0">
      <sharedItems containsString="0" containsBlank="1" containsNumber="1" containsInteger="1" minValue="0" maxValue="20"/>
    </cacheField>
    <cacheField name="CET/CEST" numFmtId="0">
      <sharedItems containsString="0" containsBlank="1" containsNumber="1" containsInteger="1" minValue="0" maxValue="18"/>
    </cacheField>
    <cacheField name="EST/EDT" numFmtId="0">
      <sharedItems containsString="0" containsBlank="1" containsNumber="1" containsInteger="1" minValue="1" maxValue="69"/>
    </cacheField>
    <cacheField name="HST" numFmtId="0">
      <sharedItems containsString="0" containsBlank="1" containsNumber="1" containsInteger="1" minValue="1" maxValue="38"/>
    </cacheField>
    <cacheField name="JST" numFmtId="0">
      <sharedItems containsString="0" containsBlank="1" containsNumber="1" containsInteger="1" minValue="0" maxValue="22"/>
    </cacheField>
    <cacheField name="PST/PDT " numFmtId="0">
      <sharedItems containsString="0" containsBlank="1" containsNumber="1" containsInteger="1" minValue="1" maxValue="42"/>
    </cacheField>
    <cacheField name="Totals" numFmtId="0">
      <sharedItems containsSemiMixedTypes="0" containsString="0" containsNumber="1" containsInteger="1" minValue="0" maxValue="15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ter, Amanda R CIV USN NAVSAFENVTRACEN NOR (USA)" refreshedDate="46006.429639120368" createdVersion="6" refreshedVersion="8" minRefreshableVersion="3" recordCount="606" xr:uid="{00000000-000A-0000-FFFF-FFFF00000000}">
  <cacheSource type="worksheet">
    <worksheetSource name="Table2"/>
  </cacheSource>
  <cacheFields count="39">
    <cacheField name="Comments" numFmtId="0">
      <sharedItems containsBlank="1"/>
    </cacheField>
    <cacheField name="Course Title" numFmtId="0">
      <sharedItems count="58">
        <s v="Introduction to Naval Safety and Occupational Health (Global Online) "/>
        <s v="Fall Protection Program Manager Course (Global Online)"/>
        <s v="Oil Hazardous Substance Spill Response Tabletop Exercise (OHS TTX)"/>
        <s v="Competent Person for Fall Protection Course (Resident)"/>
        <s v="General Industry Safety Standards (Global Online) "/>
        <s v="Hazardous Material Control and Management [HMC&amp;M] Technician (Global Online)"/>
        <s v="Mishap Investigation (Global Online) "/>
        <s v="Respiratory Protection Program Management"/>
        <s v="Safety Programs Afloat (Global Online) "/>
        <s v="Safety Programs Afloat (Resident)"/>
        <s v="Hazardous Substance Incident Response Management (HSIRM) Refresher"/>
        <s v="Holiday"/>
        <s v="Introduction to Hazardous Materials [Ashore] (Global Online) "/>
        <s v="Asbestos Supervisor Initial"/>
        <s v="Confined Space Safety"/>
        <s v="Facility Response Team (FRT) Five Day"/>
        <s v="Risk Management Information: Investigations Module in RMI"/>
        <s v="Risk Management Information: Memorandum of Final Evaluation (MOFE) in RMI"/>
        <s v="Risk Management Information: Quality Assurance"/>
        <s v="Risk Management Information: User Administrator"/>
        <s v="Fire Protection and Life Safety"/>
        <s v="Safety Managers Course"/>
        <s v="Risk Management Information: Inspections- Program Assessment"/>
        <s v="Risk Management Information: Inspections- Workplace Inspection"/>
        <s v="Risk Management Information: Confined Space (non-maritime)"/>
        <s v="Risk Management Information: Hazard Management Module in RMI"/>
        <s v="Risk Management Information: OSHA Events Module in RMI"/>
        <s v="Risk Management Information: Manage Personnel (Core Plus Creator)"/>
        <s v="Risk Management Information: Manage Personnel (License Issuing Official)"/>
        <s v="Risk Management Information: Manage Personnel (Supervisor)"/>
        <s v="Risk Management Information: Medical Surveillance Coordinator"/>
        <s v="Risk Management Information: Supervisors Reporting"/>
        <s v="Risk Management Information: Data Analytics"/>
        <s v="Risk Management Information: Job Hazard Analysis"/>
        <s v="Risk Management Information: Motorcycle Unit Safety Tracking Tool (MUSTT)"/>
        <s v="Risk Management Information: Training"/>
        <s v="Asbestos Inspector Initial"/>
        <s v="Aviation Safety Specialist (Global Online) "/>
        <s v="Operational Risk Management Application &amp; Integration (Global Online)"/>
        <s v="Asbestos Management Planner Initial"/>
        <s v="Introduction to Industrial Hygiene for Safety Professionals (Global Online) "/>
        <s v="Submarine Safety Officer (Global Online) "/>
        <s v="Navy Ergonomics Program (Global Online)"/>
        <s v="Afloat Environmental Protection Coordinator (Global Online) "/>
        <s v="Command Function"/>
        <s v="Asbestos Supervisor Refresher"/>
        <s v="Asbestos Inspector Refresher"/>
        <s v="Asbestos Management Planner Refresher"/>
        <s v="Hazardous Substance Incident Response Management (HSIRM)"/>
        <s v="Classroom Reserved"/>
        <s v="Facility Response Team (FRT) Three Day"/>
        <s v="Industrial Noise"/>
        <s v="Emergency Asbestos Response Team"/>
        <s v="Tank Managers "/>
        <s v="Mishap Investigation (Resident) "/>
        <s v="Construction Safety Standards"/>
        <s v="Professional Development Symposium"/>
        <s v="Workplace Inspection "/>
      </sharedItems>
    </cacheField>
    <cacheField name="CIN" numFmtId="0">
      <sharedItems/>
    </cacheField>
    <cacheField name="CDP " numFmtId="0">
      <sharedItems containsMixedTypes="1" containsNumber="1" containsInteger="1" minValue="1228" maxValue="5891"/>
    </cacheField>
    <cacheField name="Location" numFmtId="0">
      <sharedItems containsBlank="1" count="84">
        <s v="Global Online"/>
        <s v="Beaufort, SC"/>
        <s v="Rota, Spain"/>
        <s v="Norfolk, VA Classroom 1"/>
        <s v="Norfolk, VA Classroom 2"/>
        <s v="Holiday"/>
        <s v="Mayport, FL"/>
        <s v="Norfolk, VA Other"/>
        <s v="San Diego, CA"/>
        <s v="Norfolk, VA Safety Command"/>
        <s v="Port Hueneme, CA"/>
        <s v="Kings Bay, GA"/>
        <s v="Gulfport, MS"/>
        <s v="Bremerton, WA"/>
        <s v="Pearl Harbor, HI"/>
        <s v="Pensacola, FL"/>
        <s v="Jacksonville, FL"/>
        <s v="Guam"/>
        <s v="Bahrain"/>
        <s v="Pax River, MD"/>
        <s v="PMRF Barking Sands"/>
        <s v="Andros, Bahamas"/>
        <s v="Sasebo, Japan"/>
        <s v="Diego Garcia"/>
        <s v="Colts Neck, NJ"/>
        <s v="Bangor, WA"/>
        <s v="Okinawa, Japan"/>
        <s v="Yokosuka, Japan"/>
        <s v="Manchester, WA"/>
        <s v="Crane, IN"/>
        <s v="Everett, WA"/>
        <s v="New London, CT"/>
        <s v="Portsmouth, NH"/>
        <s v="Coronado, CA"/>
        <s v="Guantanamo Bay, Cuba"/>
        <s v="Lemoore, CA"/>
        <s v="Atsugi, Japan"/>
        <s v="Panama City, FL"/>
        <s v="Norfolk, VA"/>
        <s v="Camp Lejeune, NC"/>
        <s v="Sigonella, Italy"/>
        <s v="Cherry Point, NC"/>
        <s v="Naples, Italy"/>
        <m/>
        <s v="Chinhae, Korea"/>
        <s v="Spangdahlem Air Base (SAB), Germany"/>
        <s v="Key West, FL"/>
        <s v="Hakozaki, Japan"/>
        <s v="MCAS Miramar"/>
        <s v="Tsurumi, Japan"/>
        <s v="Newport, RI"/>
        <s v="Great Lakes, IL"/>
        <s v="MCAS Yuma, AZ"/>
        <s v="Hachinohe, Japan"/>
        <s v="Virginia Beach, VA "/>
        <s v="Redzikowo, Poland"/>
        <s v="Yorktown, VA"/>
        <s v="Little Creek, VA"/>
        <s v="Annapolis, MD"/>
        <s v="Deveselu, Romania"/>
        <s v="Seal Beach, CA"/>
        <s v="Souda Bay, Greece"/>
        <s v="Fallon, NV"/>
        <s v="Camp Pendleton, CA"/>
        <s v="Indian Head, MD"/>
        <s v="Whidbey Island, WA"/>
        <s v="Singapore"/>
        <s v="Camp Butler, Japan"/>
        <s v="Point Loma, CA"/>
        <s v="Baltimore, MD"/>
        <s v="Indian Island, WA"/>
        <s v="Iwakuni, Japan"/>
        <s v="Marine Corps Base Hawaii"/>
        <s v="Washington, DC" u="1"/>
        <s v="Corpus Christi, TX" u="1"/>
        <s v="Quantico, VA" u="1"/>
        <s v="Twenty-nine Palms, CA" u="1"/>
        <s v="Groton, CT" u="1"/>
        <s v="Ownings Mills, MD" u="1"/>
        <s v="Norfolk Naval Shipyard" u="1"/>
        <s v=" Atsugi, Japan" u="1"/>
        <s v="Sasebo, Japan " u="1"/>
        <s v="Oceana, VA" u="1"/>
        <s v="New Orleans, LA" u="1"/>
      </sharedItems>
    </cacheField>
    <cacheField name="Start Date" numFmtId="14">
      <sharedItems containsSemiMixedTypes="0" containsNonDate="0" containsDate="1" containsString="0" minDate="2025-09-29T00:00:00" maxDate="2026-09-29T00:00:00"/>
    </cacheField>
    <cacheField name="End Date" numFmtId="14">
      <sharedItems containsSemiMixedTypes="0" containsNonDate="0" containsDate="1" containsString="0" minDate="2025-04-24T00:00:00" maxDate="2026-10-03T00:00:00"/>
    </cacheField>
    <cacheField name="Funding Status" numFmtId="14">
      <sharedItems/>
    </cacheField>
    <cacheField name="Resident Local Start Time of location" numFmtId="0">
      <sharedItems containsDate="1" containsBlank="1" containsMixedTypes="1" minDate="1899-12-30T07:30:00" maxDate="1903-07-23T12:00:00"/>
    </cacheField>
    <cacheField name="EST/EDT Local Live Session Start Time " numFmtId="0">
      <sharedItems containsNonDate="0" containsDate="1" containsString="0" containsBlank="1" minDate="1899-12-30T00:01:00" maxDate="1905-03-14T19:00:00"/>
    </cacheField>
    <cacheField name="PST/PDT Local Live Session Start Time " numFmtId="0">
      <sharedItems containsNonDate="0" containsDate="1" containsString="0" containsBlank="1" minDate="1899-12-30T05:00:00" maxDate="1899-12-30T23:00:00"/>
    </cacheField>
    <cacheField name="AST Local Live Session Start Time " numFmtId="0">
      <sharedItems containsDate="1" containsString="0" containsBlank="1" containsMixedTypes="1" minDate="1899-12-30T00:30:00" maxDate="1899-12-30T23:30:00"/>
    </cacheField>
    <cacheField name="CET/CEST Local Live Session Start Time " numFmtId="0">
      <sharedItems containsDate="1" containsString="0" containsBlank="1" containsMixedTypes="1" minDate="1899-12-30T00:00:00" maxDate="1899-12-30T23:30:00"/>
    </cacheField>
    <cacheField name="HST Local Live Session Start Time " numFmtId="0">
      <sharedItems containsNonDate="0" containsDate="1" containsString="0" containsBlank="1" minDate="1899-12-30T01:00:00" maxDate="1899-12-30T21:00:00"/>
    </cacheField>
    <cacheField name="JST Local Live Session Start Time " numFmtId="0">
      <sharedItems containsDate="1" containsString="0" containsBlank="1" containsMixedTypes="1" minDate="1899-12-30T00:30:00" maxDate="1899-12-30T21:00:00"/>
    </cacheField>
    <cacheField name="Primary Instructor" numFmtId="0">
      <sharedItems containsBlank="1"/>
    </cacheField>
    <cacheField name="Instructor 2" numFmtId="0">
      <sharedItems containsBlank="1"/>
    </cacheField>
    <cacheField name=" Support" numFmtId="0">
      <sharedItems containsBlank="1"/>
    </cacheField>
    <cacheField name="Quotas" numFmtId="0">
      <sharedItems containsSemiMixedTypes="0" containsString="0" containsNumber="1" containsInteger="1" minValue="0" maxValue="1000"/>
    </cacheField>
    <cacheField name="Course Length (Hours)" numFmtId="0">
      <sharedItems containsSemiMixedTypes="0" containsString="0" containsNumber="1" minValue="0" maxValue="40"/>
    </cacheField>
    <cacheField name="Course Length (Days)" numFmtId="1">
      <sharedItems containsSemiMixedTypes="0" containsString="0" containsNumber="1" minValue="0" maxValue="5"/>
    </cacheField>
    <cacheField name="FY26 Need" numFmtId="0">
      <sharedItems containsString="0" containsBlank="1" containsNumber="1" containsInteger="1" minValue="0" maxValue="1882"/>
    </cacheField>
    <cacheField name="Registered" numFmtId="0">
      <sharedItems containsString="0" containsBlank="1" containsNumber="1" containsInteger="1" minValue="0" maxValue="100"/>
    </cacheField>
    <cacheField name="Waitlisted" numFmtId="0">
      <sharedItems containsString="0" containsBlank="1" containsNumber="1" containsInteger="1" minValue="0" maxValue="30"/>
    </cacheField>
    <cacheField name="Graduates" numFmtId="0">
      <sharedItems containsString="0" containsBlank="1" containsNumber="1" containsInteger="1" minValue="0" maxValue="84"/>
    </cacheField>
    <cacheField name="Fail" numFmtId="0">
      <sharedItems containsString="0" containsBlank="1" containsNumber="1" containsInteger="1" minValue="0" maxValue="7"/>
    </cacheField>
    <cacheField name="No Shows" numFmtId="0">
      <sharedItems containsString="0" containsBlank="1" containsNumber="1" containsInteger="1" minValue="0" maxValue="16"/>
    </cacheField>
    <cacheField name="Walk-ins" numFmtId="0">
      <sharedItems containsString="0" containsBlank="1" containsNumber="1" containsInteger="1" minValue="0" maxValue="6"/>
    </cacheField>
    <cacheField name="Foreign Grads" numFmtId="0">
      <sharedItems containsString="0" containsBlank="1" containsNumber="1" containsInteger="1" minValue="0" maxValue="6"/>
    </cacheField>
    <cacheField name="Roster Received by" numFmtId="0">
      <sharedItems containsBlank="1"/>
    </cacheField>
    <cacheField name="Roster Due" numFmtId="1">
      <sharedItems containsSemiMixedTypes="0" containsString="0" containsNumber="1" containsInteger="1" minValue="-233" maxValue="293"/>
    </cacheField>
    <cacheField name="Roster Status" numFmtId="0">
      <sharedItems containsSemiMixedTypes="0" containsString="0" containsNumber="1" containsInteger="1" minValue="0" maxValue="1"/>
    </cacheField>
    <cacheField name="Remaining Courses" numFmtId="0">
      <sharedItems containsSemiMixedTypes="0" containsString="0" containsNumber="1" containsInteger="1" minValue="0" maxValue="1"/>
    </cacheField>
    <cacheField name="1" numFmtId="0">
      <sharedItems containsSemiMixedTypes="0" containsString="0" containsNumber="1" containsInteger="1" minValue="0" maxValue="1"/>
    </cacheField>
    <cacheField name="2" numFmtId="0">
      <sharedItems containsSemiMixedTypes="0" containsString="0" containsNumber="1" containsInteger="1" minValue="0" maxValue="1"/>
    </cacheField>
    <cacheField name="Total" numFmtId="0">
      <sharedItems containsMixedTypes="1" containsNumber="1" minValue="0" maxValue="40"/>
    </cacheField>
    <cacheField name="Open Quotas" numFmtId="0">
      <sharedItems containsString="0" containsBlank="1" containsNumber="1" containsInteger="1" minValue="0" maxValue="999"/>
    </cacheField>
    <cacheField name="QTR" numFmtId="0">
      <sharedItems containsString="0" containsBlank="1" containsNumber="1" containsInteger="1" minValue="1" maxValue="4"/>
    </cacheField>
    <cacheField name="Department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55">
  <r>
    <x v="0"/>
    <x v="0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"/>
    <n v="1"/>
    <n v="0"/>
    <n v="1"/>
    <n v="0"/>
    <n v="1"/>
    <n v="0"/>
    <n v="0"/>
    <n v="0"/>
    <n v="0"/>
    <n v="0"/>
    <n v="0"/>
    <n v="3"/>
    <n v="0"/>
    <n v="1"/>
    <n v="0"/>
    <n v="0"/>
    <m/>
  </r>
  <r>
    <x v="0"/>
    <x v="2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3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"/>
    <n v="0"/>
    <n v="0"/>
    <n v="0"/>
    <n v="0"/>
    <n v="0"/>
    <n v="0"/>
    <n v="0"/>
    <n v="0"/>
    <n v="0"/>
    <n v="0"/>
    <n v="0"/>
    <n v="2"/>
    <n v="0"/>
    <n v="3"/>
    <n v="0"/>
    <n v="0"/>
    <m/>
  </r>
  <r>
    <x v="0"/>
    <x v="5"/>
    <n v="0"/>
    <n v="0"/>
    <n v="0"/>
    <n v="0"/>
    <n v="0"/>
    <n v="0"/>
    <n v="2"/>
    <n v="4"/>
    <n v="2"/>
    <n v="0"/>
    <n v="4"/>
    <n v="2"/>
    <n v="2"/>
    <n v="0"/>
    <n v="1"/>
    <n v="0"/>
    <m/>
  </r>
  <r>
    <x v="0"/>
    <x v="6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8"/>
    <n v="0"/>
    <n v="0"/>
    <n v="0"/>
    <n v="0"/>
    <n v="0"/>
    <n v="0"/>
    <n v="0"/>
    <n v="2"/>
    <n v="0"/>
    <n v="0"/>
    <n v="0"/>
    <n v="6"/>
    <n v="0"/>
    <n v="6"/>
    <n v="0"/>
    <n v="0"/>
    <m/>
  </r>
  <r>
    <x v="0"/>
    <x v="9"/>
    <n v="0"/>
    <n v="0"/>
    <n v="0"/>
    <n v="0"/>
    <n v="0"/>
    <n v="0"/>
    <n v="1"/>
    <n v="0"/>
    <n v="0"/>
    <n v="0"/>
    <n v="1"/>
    <n v="0"/>
    <n v="1"/>
    <n v="1"/>
    <n v="1"/>
    <n v="1"/>
    <m/>
  </r>
  <r>
    <x v="0"/>
    <x v="10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1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2"/>
    <n v="0"/>
    <n v="0"/>
    <n v="0"/>
    <n v="0"/>
    <n v="0"/>
    <n v="0"/>
    <n v="0"/>
    <n v="0"/>
    <n v="0"/>
    <n v="0"/>
    <n v="0"/>
    <n v="2"/>
    <n v="0"/>
    <n v="2"/>
    <n v="0"/>
    <n v="0"/>
    <m/>
  </r>
  <r>
    <x v="0"/>
    <x v="13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4"/>
    <n v="0"/>
    <n v="0"/>
    <n v="0"/>
    <n v="0"/>
    <n v="0"/>
    <n v="0"/>
    <n v="0"/>
    <n v="0"/>
    <n v="0"/>
    <n v="0"/>
    <n v="0"/>
    <n v="1"/>
    <n v="0"/>
    <n v="1"/>
    <n v="0"/>
    <n v="0"/>
    <m/>
  </r>
  <r>
    <x v="0"/>
    <x v="15"/>
    <n v="7"/>
    <n v="0"/>
    <n v="5"/>
    <n v="0"/>
    <n v="5"/>
    <n v="0"/>
    <n v="0"/>
    <n v="0"/>
    <n v="0"/>
    <n v="0"/>
    <n v="0"/>
    <n v="7"/>
    <n v="0"/>
    <n v="4"/>
    <n v="0"/>
    <n v="0"/>
    <m/>
  </r>
  <r>
    <x v="0"/>
    <x v="16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18"/>
    <n v="5"/>
    <n v="0"/>
    <n v="0"/>
    <n v="0"/>
    <n v="0"/>
    <n v="0"/>
    <n v="0"/>
    <n v="0"/>
    <n v="0"/>
    <n v="0"/>
    <n v="0"/>
    <n v="1"/>
    <n v="0"/>
    <n v="0"/>
    <n v="0"/>
    <n v="0"/>
    <m/>
  </r>
  <r>
    <x v="0"/>
    <x v="19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0"/>
    <n v="0"/>
    <n v="0"/>
    <n v="0"/>
    <n v="0"/>
    <n v="0"/>
    <n v="0"/>
    <n v="0"/>
    <n v="4"/>
    <n v="1"/>
    <n v="4"/>
    <n v="5"/>
    <n v="8"/>
    <n v="1"/>
    <n v="9"/>
    <n v="3"/>
    <n v="2"/>
    <m/>
  </r>
  <r>
    <x v="0"/>
    <x v="21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2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3"/>
    <n v="0"/>
    <n v="0"/>
    <n v="0"/>
    <n v="0"/>
    <n v="0"/>
    <n v="0"/>
    <n v="0"/>
    <n v="4"/>
    <n v="0"/>
    <n v="4"/>
    <n v="0"/>
    <n v="8"/>
    <n v="0"/>
    <n v="4"/>
    <n v="0"/>
    <n v="0"/>
    <m/>
  </r>
  <r>
    <x v="0"/>
    <x v="24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5"/>
    <n v="0"/>
    <n v="0"/>
    <n v="0"/>
    <n v="0"/>
    <n v="0"/>
    <n v="0"/>
    <n v="0"/>
    <n v="0"/>
    <n v="0"/>
    <n v="0"/>
    <n v="0"/>
    <n v="1"/>
    <n v="1"/>
    <n v="1"/>
    <n v="1"/>
    <n v="0"/>
    <m/>
  </r>
  <r>
    <x v="0"/>
    <x v="26"/>
    <n v="0"/>
    <n v="0"/>
    <n v="0"/>
    <n v="0"/>
    <n v="0"/>
    <n v="0"/>
    <n v="0"/>
    <n v="4"/>
    <n v="0"/>
    <n v="4"/>
    <n v="0"/>
    <n v="8"/>
    <n v="0"/>
    <n v="4"/>
    <n v="0"/>
    <n v="0"/>
    <m/>
  </r>
  <r>
    <x v="0"/>
    <x v="2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28"/>
    <n v="0"/>
    <n v="0"/>
    <n v="0"/>
    <n v="0"/>
    <n v="0"/>
    <n v="0"/>
    <n v="0"/>
    <n v="0"/>
    <n v="0"/>
    <n v="0"/>
    <n v="3"/>
    <n v="2"/>
    <n v="3"/>
    <n v="2"/>
    <n v="2"/>
    <n v="3"/>
    <m/>
  </r>
  <r>
    <x v="0"/>
    <x v="29"/>
    <n v="0"/>
    <n v="0"/>
    <n v="0"/>
    <n v="0"/>
    <n v="0"/>
    <n v="0"/>
    <n v="3"/>
    <n v="0"/>
    <n v="5"/>
    <n v="0"/>
    <n v="3"/>
    <n v="5"/>
    <n v="1"/>
    <n v="3"/>
    <n v="0"/>
    <n v="8"/>
    <m/>
  </r>
  <r>
    <x v="0"/>
    <x v="30"/>
    <n v="0"/>
    <n v="0"/>
    <n v="0"/>
    <n v="0"/>
    <n v="0"/>
    <n v="0"/>
    <n v="4"/>
    <n v="0"/>
    <n v="5"/>
    <n v="0"/>
    <n v="4"/>
    <n v="5"/>
    <n v="0"/>
    <n v="4"/>
    <n v="0"/>
    <n v="4"/>
    <m/>
  </r>
  <r>
    <x v="0"/>
    <x v="31"/>
    <n v="44"/>
    <n v="0"/>
    <n v="1"/>
    <n v="0"/>
    <n v="0"/>
    <n v="0"/>
    <n v="38"/>
    <n v="37"/>
    <n v="1"/>
    <n v="0"/>
    <n v="6"/>
    <n v="21"/>
    <n v="6"/>
    <n v="16"/>
    <n v="6"/>
    <n v="12"/>
    <m/>
  </r>
  <r>
    <x v="0"/>
    <x v="32"/>
    <n v="11"/>
    <n v="11"/>
    <n v="11"/>
    <n v="11"/>
    <n v="4"/>
    <n v="4"/>
    <n v="0"/>
    <n v="0"/>
    <n v="0"/>
    <n v="2"/>
    <n v="0"/>
    <n v="11"/>
    <n v="12"/>
    <n v="2"/>
    <n v="0"/>
    <n v="12"/>
    <m/>
  </r>
  <r>
    <x v="0"/>
    <x v="33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34"/>
    <n v="4"/>
    <n v="0"/>
    <n v="0"/>
    <n v="0"/>
    <n v="0"/>
    <n v="0"/>
    <n v="0"/>
    <n v="0"/>
    <n v="0"/>
    <n v="0"/>
    <n v="0"/>
    <n v="1"/>
    <n v="1"/>
    <n v="0"/>
    <n v="0"/>
    <n v="0"/>
    <m/>
  </r>
  <r>
    <x v="0"/>
    <x v="35"/>
    <n v="7"/>
    <n v="11"/>
    <n v="2"/>
    <n v="10"/>
    <n v="2"/>
    <n v="0"/>
    <n v="2"/>
    <n v="3"/>
    <n v="2"/>
    <n v="2"/>
    <n v="5"/>
    <n v="8"/>
    <n v="2"/>
    <n v="8"/>
    <n v="2"/>
    <n v="8"/>
    <m/>
  </r>
  <r>
    <x v="0"/>
    <x v="36"/>
    <n v="0"/>
    <n v="0"/>
    <n v="0"/>
    <n v="0"/>
    <n v="0"/>
    <n v="0"/>
    <n v="4"/>
    <n v="2"/>
    <n v="1"/>
    <n v="0"/>
    <n v="2"/>
    <n v="6"/>
    <n v="1"/>
    <n v="6"/>
    <n v="1"/>
    <n v="1"/>
    <m/>
  </r>
  <r>
    <x v="0"/>
    <x v="3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38"/>
    <n v="0"/>
    <n v="0"/>
    <n v="0"/>
    <n v="0"/>
    <n v="0"/>
    <n v="0"/>
    <n v="0"/>
    <n v="1"/>
    <n v="3"/>
    <n v="0"/>
    <n v="0"/>
    <n v="2"/>
    <n v="0"/>
    <n v="2"/>
    <n v="0"/>
    <n v="0"/>
    <m/>
  </r>
  <r>
    <x v="0"/>
    <x v="39"/>
    <n v="0"/>
    <n v="0"/>
    <n v="0"/>
    <n v="0"/>
    <n v="0"/>
    <n v="0"/>
    <n v="3"/>
    <n v="0"/>
    <n v="5"/>
    <n v="0"/>
    <n v="2"/>
    <n v="5"/>
    <n v="1"/>
    <n v="2"/>
    <n v="0"/>
    <n v="7"/>
    <m/>
  </r>
  <r>
    <x v="0"/>
    <x v="40"/>
    <n v="0"/>
    <n v="0"/>
    <n v="0"/>
    <n v="0"/>
    <n v="0"/>
    <n v="0"/>
    <n v="0"/>
    <n v="0"/>
    <n v="0"/>
    <n v="0"/>
    <n v="2"/>
    <n v="0"/>
    <n v="0"/>
    <n v="2"/>
    <n v="1"/>
    <n v="0"/>
    <m/>
  </r>
  <r>
    <x v="0"/>
    <x v="41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2"/>
    <n v="0"/>
    <n v="0"/>
    <n v="0"/>
    <n v="0"/>
    <n v="0"/>
    <n v="0"/>
    <n v="1"/>
    <n v="2"/>
    <n v="0"/>
    <n v="0"/>
    <n v="0"/>
    <n v="10"/>
    <n v="0"/>
    <n v="10"/>
    <n v="1"/>
    <n v="0"/>
    <m/>
  </r>
  <r>
    <x v="0"/>
    <x v="43"/>
    <n v="2"/>
    <n v="0"/>
    <n v="2"/>
    <n v="0"/>
    <n v="2"/>
    <n v="0"/>
    <n v="2"/>
    <n v="0"/>
    <n v="0"/>
    <n v="0"/>
    <n v="0"/>
    <n v="3"/>
    <n v="0"/>
    <n v="1"/>
    <n v="0"/>
    <n v="0"/>
    <m/>
  </r>
  <r>
    <x v="0"/>
    <x v="44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5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6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7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8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49"/>
    <n v="0"/>
    <n v="0"/>
    <n v="0"/>
    <n v="0"/>
    <n v="0"/>
    <n v="0"/>
    <n v="0"/>
    <n v="0"/>
    <n v="0"/>
    <n v="0"/>
    <n v="0"/>
    <n v="2"/>
    <n v="1"/>
    <n v="2"/>
    <n v="1"/>
    <n v="1"/>
    <m/>
  </r>
  <r>
    <x v="0"/>
    <x v="50"/>
    <n v="0"/>
    <n v="0"/>
    <n v="0"/>
    <n v="0"/>
    <n v="0"/>
    <n v="0"/>
    <n v="0"/>
    <n v="0"/>
    <n v="0"/>
    <n v="0"/>
    <n v="0"/>
    <n v="0"/>
    <n v="0"/>
    <n v="0"/>
    <n v="0"/>
    <n v="0"/>
    <m/>
  </r>
  <r>
    <x v="0"/>
    <x v="51"/>
    <n v="3"/>
    <n v="0"/>
    <n v="3"/>
    <n v="0"/>
    <n v="3"/>
    <n v="0"/>
    <n v="3"/>
    <n v="0"/>
    <n v="0"/>
    <n v="0"/>
    <n v="0"/>
    <n v="7"/>
    <n v="0"/>
    <n v="2"/>
    <n v="0"/>
    <n v="0"/>
    <m/>
  </r>
  <r>
    <x v="1"/>
    <x v="0"/>
    <m/>
    <m/>
    <m/>
    <m/>
    <m/>
    <m/>
    <m/>
    <m/>
    <m/>
    <m/>
    <m/>
    <m/>
    <m/>
    <m/>
    <m/>
    <m/>
    <m/>
  </r>
  <r>
    <x v="1"/>
    <x v="1"/>
    <m/>
    <m/>
    <m/>
    <m/>
    <m/>
    <m/>
    <m/>
    <m/>
    <m/>
    <m/>
    <m/>
    <m/>
    <m/>
    <m/>
    <m/>
    <m/>
    <m/>
  </r>
  <r>
    <x v="1"/>
    <x v="2"/>
    <m/>
    <m/>
    <m/>
    <m/>
    <m/>
    <m/>
    <m/>
    <m/>
    <m/>
    <m/>
    <m/>
    <m/>
    <m/>
    <m/>
    <m/>
    <m/>
    <m/>
  </r>
  <r>
    <x v="1"/>
    <x v="3"/>
    <m/>
    <m/>
    <m/>
    <m/>
    <m/>
    <m/>
    <m/>
    <m/>
    <m/>
    <m/>
    <m/>
    <m/>
    <m/>
    <m/>
    <m/>
    <m/>
    <m/>
  </r>
  <r>
    <x v="1"/>
    <x v="4"/>
    <m/>
    <m/>
    <m/>
    <m/>
    <m/>
    <m/>
    <m/>
    <m/>
    <m/>
    <m/>
    <m/>
    <m/>
    <m/>
    <m/>
    <m/>
    <m/>
    <m/>
  </r>
  <r>
    <x v="1"/>
    <x v="5"/>
    <m/>
    <m/>
    <m/>
    <m/>
    <m/>
    <m/>
    <m/>
    <m/>
    <m/>
    <m/>
    <m/>
    <m/>
    <m/>
    <m/>
    <m/>
    <m/>
    <m/>
  </r>
  <r>
    <x v="1"/>
    <x v="6"/>
    <m/>
    <m/>
    <m/>
    <m/>
    <m/>
    <m/>
    <m/>
    <m/>
    <m/>
    <m/>
    <m/>
    <m/>
    <m/>
    <m/>
    <m/>
    <m/>
    <m/>
  </r>
  <r>
    <x v="1"/>
    <x v="7"/>
    <m/>
    <m/>
    <m/>
    <m/>
    <m/>
    <m/>
    <m/>
    <m/>
    <m/>
    <m/>
    <m/>
    <m/>
    <m/>
    <m/>
    <m/>
    <m/>
    <m/>
  </r>
  <r>
    <x v="1"/>
    <x v="8"/>
    <m/>
    <m/>
    <m/>
    <m/>
    <m/>
    <m/>
    <m/>
    <m/>
    <m/>
    <m/>
    <m/>
    <m/>
    <m/>
    <m/>
    <m/>
    <m/>
    <m/>
  </r>
  <r>
    <x v="1"/>
    <x v="9"/>
    <m/>
    <m/>
    <m/>
    <m/>
    <m/>
    <m/>
    <m/>
    <m/>
    <m/>
    <m/>
    <m/>
    <m/>
    <m/>
    <m/>
    <m/>
    <m/>
    <m/>
  </r>
  <r>
    <x v="1"/>
    <x v="10"/>
    <m/>
    <m/>
    <m/>
    <m/>
    <m/>
    <m/>
    <m/>
    <m/>
    <m/>
    <m/>
    <m/>
    <m/>
    <m/>
    <m/>
    <m/>
    <m/>
    <m/>
  </r>
  <r>
    <x v="1"/>
    <x v="11"/>
    <m/>
    <m/>
    <m/>
    <m/>
    <m/>
    <m/>
    <m/>
    <m/>
    <m/>
    <m/>
    <m/>
    <m/>
    <m/>
    <m/>
    <m/>
    <m/>
    <m/>
  </r>
  <r>
    <x v="1"/>
    <x v="12"/>
    <m/>
    <m/>
    <m/>
    <m/>
    <m/>
    <m/>
    <m/>
    <m/>
    <m/>
    <m/>
    <m/>
    <m/>
    <m/>
    <m/>
    <m/>
    <m/>
    <m/>
  </r>
  <r>
    <x v="1"/>
    <x v="13"/>
    <m/>
    <m/>
    <m/>
    <m/>
    <m/>
    <m/>
    <m/>
    <m/>
    <m/>
    <m/>
    <m/>
    <m/>
    <m/>
    <m/>
    <m/>
    <m/>
    <m/>
  </r>
  <r>
    <x v="1"/>
    <x v="14"/>
    <m/>
    <m/>
    <m/>
    <m/>
    <m/>
    <m/>
    <m/>
    <m/>
    <m/>
    <m/>
    <m/>
    <m/>
    <m/>
    <m/>
    <m/>
    <m/>
    <m/>
  </r>
  <r>
    <x v="1"/>
    <x v="15"/>
    <m/>
    <m/>
    <m/>
    <m/>
    <m/>
    <m/>
    <m/>
    <m/>
    <m/>
    <m/>
    <m/>
    <m/>
    <m/>
    <m/>
    <m/>
    <m/>
    <m/>
  </r>
  <r>
    <x v="1"/>
    <x v="16"/>
    <m/>
    <m/>
    <m/>
    <m/>
    <m/>
    <m/>
    <m/>
    <m/>
    <m/>
    <m/>
    <m/>
    <m/>
    <m/>
    <m/>
    <m/>
    <m/>
    <m/>
  </r>
  <r>
    <x v="1"/>
    <x v="17"/>
    <m/>
    <m/>
    <m/>
    <m/>
    <m/>
    <m/>
    <m/>
    <m/>
    <m/>
    <m/>
    <m/>
    <m/>
    <m/>
    <m/>
    <m/>
    <m/>
    <m/>
  </r>
  <r>
    <x v="1"/>
    <x v="18"/>
    <m/>
    <m/>
    <m/>
    <m/>
    <m/>
    <m/>
    <m/>
    <m/>
    <m/>
    <m/>
    <m/>
    <m/>
    <m/>
    <m/>
    <m/>
    <m/>
    <m/>
  </r>
  <r>
    <x v="1"/>
    <x v="19"/>
    <m/>
    <m/>
    <m/>
    <m/>
    <m/>
    <m/>
    <m/>
    <m/>
    <m/>
    <m/>
    <m/>
    <m/>
    <m/>
    <m/>
    <m/>
    <m/>
    <m/>
  </r>
  <r>
    <x v="1"/>
    <x v="20"/>
    <m/>
    <m/>
    <m/>
    <m/>
    <m/>
    <m/>
    <m/>
    <m/>
    <m/>
    <m/>
    <m/>
    <m/>
    <m/>
    <m/>
    <m/>
    <m/>
    <m/>
  </r>
  <r>
    <x v="1"/>
    <x v="21"/>
    <m/>
    <m/>
    <m/>
    <m/>
    <m/>
    <m/>
    <m/>
    <m/>
    <m/>
    <m/>
    <m/>
    <m/>
    <m/>
    <m/>
    <m/>
    <m/>
    <m/>
  </r>
  <r>
    <x v="1"/>
    <x v="22"/>
    <m/>
    <m/>
    <m/>
    <m/>
    <m/>
    <m/>
    <m/>
    <m/>
    <m/>
    <m/>
    <m/>
    <m/>
    <m/>
    <m/>
    <m/>
    <m/>
    <m/>
  </r>
  <r>
    <x v="1"/>
    <x v="23"/>
    <m/>
    <m/>
    <m/>
    <m/>
    <m/>
    <m/>
    <m/>
    <m/>
    <m/>
    <m/>
    <m/>
    <m/>
    <m/>
    <m/>
    <m/>
    <m/>
    <m/>
  </r>
  <r>
    <x v="1"/>
    <x v="24"/>
    <m/>
    <m/>
    <m/>
    <m/>
    <m/>
    <m/>
    <m/>
    <m/>
    <m/>
    <m/>
    <m/>
    <m/>
    <m/>
    <m/>
    <m/>
    <m/>
    <m/>
  </r>
  <r>
    <x v="1"/>
    <x v="25"/>
    <m/>
    <m/>
    <m/>
    <m/>
    <m/>
    <m/>
    <m/>
    <m/>
    <m/>
    <m/>
    <m/>
    <m/>
    <m/>
    <m/>
    <m/>
    <m/>
    <m/>
  </r>
  <r>
    <x v="1"/>
    <x v="26"/>
    <m/>
    <m/>
    <m/>
    <m/>
    <m/>
    <m/>
    <m/>
    <m/>
    <m/>
    <m/>
    <m/>
    <m/>
    <m/>
    <m/>
    <m/>
    <m/>
    <m/>
  </r>
  <r>
    <x v="1"/>
    <x v="27"/>
    <m/>
    <m/>
    <m/>
    <m/>
    <m/>
    <m/>
    <m/>
    <m/>
    <m/>
    <m/>
    <m/>
    <m/>
    <m/>
    <m/>
    <m/>
    <m/>
    <m/>
  </r>
  <r>
    <x v="1"/>
    <x v="28"/>
    <m/>
    <m/>
    <m/>
    <m/>
    <m/>
    <m/>
    <m/>
    <m/>
    <m/>
    <m/>
    <m/>
    <m/>
    <m/>
    <m/>
    <m/>
    <m/>
    <m/>
  </r>
  <r>
    <x v="1"/>
    <x v="29"/>
    <m/>
    <m/>
    <m/>
    <m/>
    <m/>
    <m/>
    <m/>
    <m/>
    <m/>
    <m/>
    <m/>
    <m/>
    <m/>
    <m/>
    <m/>
    <m/>
    <m/>
  </r>
  <r>
    <x v="1"/>
    <x v="30"/>
    <m/>
    <m/>
    <m/>
    <m/>
    <m/>
    <m/>
    <m/>
    <m/>
    <m/>
    <m/>
    <m/>
    <m/>
    <m/>
    <m/>
    <m/>
    <m/>
    <m/>
  </r>
  <r>
    <x v="1"/>
    <x v="31"/>
    <m/>
    <m/>
    <m/>
    <m/>
    <m/>
    <m/>
    <m/>
    <m/>
    <m/>
    <m/>
    <m/>
    <m/>
    <m/>
    <m/>
    <m/>
    <m/>
    <m/>
  </r>
  <r>
    <x v="1"/>
    <x v="32"/>
    <m/>
    <m/>
    <m/>
    <m/>
    <m/>
    <m/>
    <m/>
    <m/>
    <m/>
    <m/>
    <m/>
    <m/>
    <m/>
    <m/>
    <m/>
    <m/>
    <m/>
  </r>
  <r>
    <x v="1"/>
    <x v="33"/>
    <m/>
    <m/>
    <m/>
    <m/>
    <m/>
    <m/>
    <m/>
    <m/>
    <m/>
    <m/>
    <m/>
    <m/>
    <m/>
    <m/>
    <m/>
    <m/>
    <m/>
  </r>
  <r>
    <x v="1"/>
    <x v="34"/>
    <m/>
    <m/>
    <m/>
    <m/>
    <m/>
    <m/>
    <m/>
    <m/>
    <m/>
    <m/>
    <m/>
    <m/>
    <m/>
    <m/>
    <m/>
    <m/>
    <m/>
  </r>
  <r>
    <x v="1"/>
    <x v="35"/>
    <m/>
    <m/>
    <m/>
    <m/>
    <m/>
    <m/>
    <m/>
    <m/>
    <m/>
    <m/>
    <m/>
    <m/>
    <m/>
    <m/>
    <m/>
    <m/>
    <m/>
  </r>
  <r>
    <x v="1"/>
    <x v="36"/>
    <m/>
    <m/>
    <m/>
    <m/>
    <m/>
    <m/>
    <m/>
    <m/>
    <m/>
    <m/>
    <m/>
    <m/>
    <m/>
    <m/>
    <m/>
    <m/>
    <m/>
  </r>
  <r>
    <x v="1"/>
    <x v="37"/>
    <m/>
    <m/>
    <m/>
    <m/>
    <m/>
    <m/>
    <m/>
    <m/>
    <m/>
    <m/>
    <m/>
    <m/>
    <m/>
    <m/>
    <m/>
    <m/>
    <m/>
  </r>
  <r>
    <x v="1"/>
    <x v="38"/>
    <m/>
    <m/>
    <m/>
    <m/>
    <m/>
    <m/>
    <m/>
    <m/>
    <m/>
    <m/>
    <m/>
    <m/>
    <m/>
    <m/>
    <m/>
    <m/>
    <m/>
  </r>
  <r>
    <x v="1"/>
    <x v="39"/>
    <m/>
    <m/>
    <m/>
    <m/>
    <m/>
    <m/>
    <m/>
    <m/>
    <m/>
    <m/>
    <m/>
    <m/>
    <m/>
    <m/>
    <m/>
    <m/>
    <m/>
  </r>
  <r>
    <x v="1"/>
    <x v="40"/>
    <m/>
    <m/>
    <m/>
    <m/>
    <m/>
    <m/>
    <m/>
    <m/>
    <m/>
    <m/>
    <m/>
    <m/>
    <m/>
    <m/>
    <m/>
    <m/>
    <m/>
  </r>
  <r>
    <x v="1"/>
    <x v="41"/>
    <m/>
    <m/>
    <m/>
    <m/>
    <m/>
    <m/>
    <m/>
    <m/>
    <m/>
    <m/>
    <m/>
    <m/>
    <m/>
    <m/>
    <m/>
    <m/>
    <m/>
  </r>
  <r>
    <x v="1"/>
    <x v="42"/>
    <m/>
    <m/>
    <m/>
    <m/>
    <m/>
    <m/>
    <m/>
    <m/>
    <m/>
    <m/>
    <m/>
    <m/>
    <m/>
    <m/>
    <m/>
    <m/>
    <m/>
  </r>
  <r>
    <x v="1"/>
    <x v="43"/>
    <m/>
    <m/>
    <m/>
    <m/>
    <m/>
    <m/>
    <m/>
    <m/>
    <m/>
    <m/>
    <m/>
    <m/>
    <m/>
    <m/>
    <m/>
    <m/>
    <m/>
  </r>
  <r>
    <x v="1"/>
    <x v="44"/>
    <m/>
    <m/>
    <m/>
    <m/>
    <m/>
    <m/>
    <m/>
    <m/>
    <m/>
    <m/>
    <m/>
    <m/>
    <m/>
    <m/>
    <m/>
    <m/>
    <m/>
  </r>
  <r>
    <x v="1"/>
    <x v="45"/>
    <m/>
    <m/>
    <m/>
    <m/>
    <m/>
    <m/>
    <m/>
    <m/>
    <m/>
    <m/>
    <m/>
    <m/>
    <m/>
    <m/>
    <m/>
    <m/>
    <m/>
  </r>
  <r>
    <x v="1"/>
    <x v="46"/>
    <m/>
    <m/>
    <m/>
    <m/>
    <m/>
    <m/>
    <m/>
    <m/>
    <m/>
    <m/>
    <m/>
    <m/>
    <m/>
    <m/>
    <m/>
    <m/>
    <m/>
  </r>
  <r>
    <x v="1"/>
    <x v="47"/>
    <m/>
    <m/>
    <m/>
    <m/>
    <m/>
    <m/>
    <m/>
    <m/>
    <m/>
    <m/>
    <m/>
    <m/>
    <m/>
    <m/>
    <m/>
    <m/>
    <m/>
  </r>
  <r>
    <x v="1"/>
    <x v="48"/>
    <m/>
    <m/>
    <m/>
    <m/>
    <m/>
    <m/>
    <m/>
    <m/>
    <m/>
    <m/>
    <m/>
    <m/>
    <m/>
    <m/>
    <m/>
    <m/>
    <m/>
  </r>
  <r>
    <x v="1"/>
    <x v="49"/>
    <m/>
    <m/>
    <m/>
    <m/>
    <m/>
    <m/>
    <m/>
    <m/>
    <m/>
    <m/>
    <m/>
    <m/>
    <m/>
    <m/>
    <m/>
    <m/>
    <m/>
  </r>
  <r>
    <x v="1"/>
    <x v="50"/>
    <m/>
    <m/>
    <m/>
    <m/>
    <m/>
    <m/>
    <m/>
    <m/>
    <m/>
    <m/>
    <m/>
    <m/>
    <m/>
    <m/>
    <m/>
    <m/>
    <m/>
  </r>
  <r>
    <x v="1"/>
    <x v="51"/>
    <m/>
    <m/>
    <m/>
    <m/>
    <m/>
    <m/>
    <m/>
    <m/>
    <m/>
    <m/>
    <m/>
    <m/>
    <m/>
    <m/>
    <m/>
    <m/>
    <m/>
  </r>
  <r>
    <x v="2"/>
    <x v="0"/>
    <m/>
    <m/>
    <m/>
    <m/>
    <m/>
    <m/>
    <m/>
    <m/>
    <m/>
    <m/>
    <m/>
    <m/>
    <m/>
    <m/>
    <m/>
    <m/>
    <m/>
  </r>
  <r>
    <x v="2"/>
    <x v="1"/>
    <m/>
    <m/>
    <m/>
    <m/>
    <m/>
    <m/>
    <m/>
    <m/>
    <m/>
    <m/>
    <m/>
    <m/>
    <m/>
    <m/>
    <m/>
    <m/>
    <m/>
  </r>
  <r>
    <x v="2"/>
    <x v="2"/>
    <m/>
    <m/>
    <m/>
    <m/>
    <m/>
    <m/>
    <m/>
    <m/>
    <m/>
    <m/>
    <m/>
    <m/>
    <m/>
    <m/>
    <m/>
    <m/>
    <m/>
  </r>
  <r>
    <x v="2"/>
    <x v="3"/>
    <m/>
    <m/>
    <m/>
    <m/>
    <m/>
    <m/>
    <m/>
    <m/>
    <m/>
    <m/>
    <m/>
    <m/>
    <m/>
    <m/>
    <m/>
    <m/>
    <m/>
  </r>
  <r>
    <x v="2"/>
    <x v="4"/>
    <m/>
    <m/>
    <m/>
    <m/>
    <m/>
    <m/>
    <m/>
    <m/>
    <m/>
    <m/>
    <m/>
    <m/>
    <m/>
    <m/>
    <m/>
    <m/>
    <m/>
  </r>
  <r>
    <x v="2"/>
    <x v="5"/>
    <m/>
    <m/>
    <m/>
    <m/>
    <m/>
    <m/>
    <m/>
    <m/>
    <m/>
    <m/>
    <m/>
    <m/>
    <m/>
    <m/>
    <m/>
    <m/>
    <m/>
  </r>
  <r>
    <x v="2"/>
    <x v="6"/>
    <m/>
    <m/>
    <m/>
    <m/>
    <m/>
    <m/>
    <m/>
    <m/>
    <m/>
    <m/>
    <m/>
    <m/>
    <m/>
    <m/>
    <m/>
    <m/>
    <m/>
  </r>
  <r>
    <x v="2"/>
    <x v="7"/>
    <m/>
    <m/>
    <m/>
    <m/>
    <m/>
    <m/>
    <m/>
    <m/>
    <m/>
    <m/>
    <m/>
    <m/>
    <m/>
    <m/>
    <m/>
    <m/>
    <m/>
  </r>
  <r>
    <x v="2"/>
    <x v="8"/>
    <m/>
    <m/>
    <m/>
    <m/>
    <m/>
    <m/>
    <m/>
    <m/>
    <m/>
    <m/>
    <m/>
    <m/>
    <m/>
    <m/>
    <m/>
    <m/>
    <m/>
  </r>
  <r>
    <x v="2"/>
    <x v="9"/>
    <m/>
    <m/>
    <m/>
    <m/>
    <m/>
    <m/>
    <m/>
    <m/>
    <m/>
    <m/>
    <m/>
    <m/>
    <m/>
    <m/>
    <m/>
    <m/>
    <m/>
  </r>
  <r>
    <x v="2"/>
    <x v="10"/>
    <m/>
    <m/>
    <m/>
    <m/>
    <m/>
    <m/>
    <m/>
    <m/>
    <m/>
    <m/>
    <m/>
    <m/>
    <m/>
    <m/>
    <m/>
    <m/>
    <m/>
  </r>
  <r>
    <x v="2"/>
    <x v="11"/>
    <m/>
    <m/>
    <m/>
    <m/>
    <m/>
    <m/>
    <m/>
    <m/>
    <m/>
    <m/>
    <m/>
    <m/>
    <m/>
    <m/>
    <m/>
    <m/>
    <m/>
  </r>
  <r>
    <x v="2"/>
    <x v="12"/>
    <m/>
    <m/>
    <m/>
    <m/>
    <m/>
    <m/>
    <m/>
    <m/>
    <m/>
    <m/>
    <m/>
    <m/>
    <m/>
    <m/>
    <m/>
    <m/>
    <m/>
  </r>
  <r>
    <x v="2"/>
    <x v="13"/>
    <m/>
    <m/>
    <m/>
    <m/>
    <m/>
    <m/>
    <m/>
    <m/>
    <m/>
    <m/>
    <m/>
    <m/>
    <m/>
    <m/>
    <m/>
    <m/>
    <m/>
  </r>
  <r>
    <x v="2"/>
    <x v="14"/>
    <m/>
    <m/>
    <m/>
    <m/>
    <m/>
    <m/>
    <m/>
    <m/>
    <m/>
    <m/>
    <m/>
    <m/>
    <m/>
    <m/>
    <m/>
    <m/>
    <m/>
  </r>
  <r>
    <x v="2"/>
    <x v="15"/>
    <m/>
    <m/>
    <m/>
    <m/>
    <m/>
    <m/>
    <m/>
    <m/>
    <m/>
    <m/>
    <m/>
    <m/>
    <m/>
    <m/>
    <m/>
    <m/>
    <m/>
  </r>
  <r>
    <x v="2"/>
    <x v="16"/>
    <m/>
    <m/>
    <m/>
    <m/>
    <m/>
    <m/>
    <m/>
    <m/>
    <m/>
    <m/>
    <m/>
    <m/>
    <m/>
    <m/>
    <m/>
    <m/>
    <m/>
  </r>
  <r>
    <x v="2"/>
    <x v="17"/>
    <m/>
    <m/>
    <m/>
    <m/>
    <m/>
    <m/>
    <m/>
    <m/>
    <m/>
    <m/>
    <m/>
    <m/>
    <m/>
    <m/>
    <m/>
    <m/>
    <m/>
  </r>
  <r>
    <x v="2"/>
    <x v="18"/>
    <m/>
    <m/>
    <m/>
    <m/>
    <m/>
    <m/>
    <m/>
    <m/>
    <m/>
    <m/>
    <m/>
    <m/>
    <m/>
    <m/>
    <m/>
    <m/>
    <m/>
  </r>
  <r>
    <x v="2"/>
    <x v="19"/>
    <m/>
    <m/>
    <m/>
    <m/>
    <m/>
    <m/>
    <m/>
    <m/>
    <m/>
    <m/>
    <m/>
    <m/>
    <m/>
    <m/>
    <m/>
    <m/>
    <m/>
  </r>
  <r>
    <x v="2"/>
    <x v="20"/>
    <m/>
    <m/>
    <m/>
    <m/>
    <m/>
    <m/>
    <n v="2"/>
    <m/>
    <m/>
    <m/>
    <n v="2"/>
    <n v="2"/>
    <n v="2"/>
    <n v="1"/>
    <n v="2"/>
    <n v="2"/>
    <m/>
  </r>
  <r>
    <x v="2"/>
    <x v="21"/>
    <m/>
    <m/>
    <m/>
    <m/>
    <m/>
    <m/>
    <m/>
    <m/>
    <m/>
    <m/>
    <m/>
    <m/>
    <m/>
    <m/>
    <m/>
    <m/>
    <m/>
  </r>
  <r>
    <x v="2"/>
    <x v="22"/>
    <m/>
    <m/>
    <m/>
    <m/>
    <m/>
    <m/>
    <m/>
    <m/>
    <m/>
    <m/>
    <m/>
    <m/>
    <m/>
    <m/>
    <m/>
    <m/>
    <m/>
  </r>
  <r>
    <x v="2"/>
    <x v="23"/>
    <m/>
    <m/>
    <m/>
    <m/>
    <m/>
    <m/>
    <m/>
    <m/>
    <m/>
    <m/>
    <m/>
    <m/>
    <m/>
    <m/>
    <m/>
    <m/>
    <m/>
  </r>
  <r>
    <x v="2"/>
    <x v="24"/>
    <m/>
    <m/>
    <m/>
    <m/>
    <m/>
    <m/>
    <m/>
    <m/>
    <m/>
    <m/>
    <m/>
    <m/>
    <m/>
    <m/>
    <m/>
    <m/>
    <m/>
  </r>
  <r>
    <x v="2"/>
    <x v="25"/>
    <m/>
    <m/>
    <m/>
    <m/>
    <m/>
    <m/>
    <m/>
    <m/>
    <m/>
    <m/>
    <m/>
    <m/>
    <m/>
    <m/>
    <m/>
    <m/>
    <m/>
  </r>
  <r>
    <x v="2"/>
    <x v="26"/>
    <m/>
    <m/>
    <m/>
    <m/>
    <m/>
    <m/>
    <m/>
    <m/>
    <m/>
    <m/>
    <m/>
    <m/>
    <m/>
    <m/>
    <m/>
    <m/>
    <m/>
  </r>
  <r>
    <x v="2"/>
    <x v="27"/>
    <m/>
    <m/>
    <m/>
    <m/>
    <m/>
    <m/>
    <m/>
    <m/>
    <m/>
    <m/>
    <m/>
    <m/>
    <m/>
    <m/>
    <m/>
    <m/>
    <m/>
  </r>
  <r>
    <x v="2"/>
    <x v="28"/>
    <m/>
    <m/>
    <m/>
    <m/>
    <m/>
    <m/>
    <m/>
    <m/>
    <m/>
    <m/>
    <m/>
    <m/>
    <m/>
    <m/>
    <m/>
    <m/>
    <m/>
  </r>
  <r>
    <x v="2"/>
    <x v="29"/>
    <m/>
    <m/>
    <m/>
    <m/>
    <m/>
    <m/>
    <m/>
    <m/>
    <m/>
    <m/>
    <m/>
    <m/>
    <m/>
    <m/>
    <m/>
    <m/>
    <m/>
  </r>
  <r>
    <x v="2"/>
    <x v="30"/>
    <m/>
    <m/>
    <m/>
    <m/>
    <m/>
    <m/>
    <m/>
    <m/>
    <m/>
    <m/>
    <m/>
    <m/>
    <m/>
    <m/>
    <m/>
    <m/>
    <m/>
  </r>
  <r>
    <x v="2"/>
    <x v="31"/>
    <m/>
    <m/>
    <m/>
    <m/>
    <m/>
    <m/>
    <n v="2"/>
    <m/>
    <m/>
    <m/>
    <n v="3"/>
    <n v="2"/>
    <n v="3"/>
    <n v="3"/>
    <n v="3"/>
    <n v="5"/>
    <m/>
  </r>
  <r>
    <x v="2"/>
    <x v="32"/>
    <m/>
    <m/>
    <m/>
    <m/>
    <m/>
    <m/>
    <m/>
    <m/>
    <m/>
    <m/>
    <m/>
    <m/>
    <m/>
    <m/>
    <m/>
    <m/>
    <m/>
  </r>
  <r>
    <x v="2"/>
    <x v="33"/>
    <m/>
    <m/>
    <m/>
    <m/>
    <m/>
    <m/>
    <m/>
    <m/>
    <m/>
    <m/>
    <m/>
    <m/>
    <m/>
    <m/>
    <m/>
    <m/>
    <m/>
  </r>
  <r>
    <x v="2"/>
    <x v="34"/>
    <m/>
    <m/>
    <m/>
    <m/>
    <m/>
    <m/>
    <n v="1"/>
    <m/>
    <m/>
    <m/>
    <m/>
    <n v="1"/>
    <m/>
    <n v="1"/>
    <n v="1"/>
    <m/>
    <m/>
  </r>
  <r>
    <x v="2"/>
    <x v="35"/>
    <m/>
    <m/>
    <m/>
    <m/>
    <m/>
    <m/>
    <m/>
    <m/>
    <m/>
    <m/>
    <m/>
    <m/>
    <m/>
    <m/>
    <m/>
    <m/>
    <m/>
  </r>
  <r>
    <x v="2"/>
    <x v="36"/>
    <m/>
    <m/>
    <m/>
    <m/>
    <m/>
    <m/>
    <m/>
    <m/>
    <m/>
    <m/>
    <m/>
    <m/>
    <m/>
    <m/>
    <m/>
    <m/>
    <m/>
  </r>
  <r>
    <x v="2"/>
    <x v="37"/>
    <m/>
    <m/>
    <m/>
    <m/>
    <m/>
    <m/>
    <m/>
    <m/>
    <m/>
    <m/>
    <m/>
    <m/>
    <m/>
    <m/>
    <m/>
    <m/>
    <m/>
  </r>
  <r>
    <x v="2"/>
    <x v="38"/>
    <m/>
    <m/>
    <m/>
    <m/>
    <m/>
    <m/>
    <m/>
    <m/>
    <m/>
    <m/>
    <m/>
    <m/>
    <m/>
    <m/>
    <m/>
    <m/>
    <m/>
  </r>
  <r>
    <x v="2"/>
    <x v="39"/>
    <m/>
    <m/>
    <m/>
    <m/>
    <m/>
    <m/>
    <m/>
    <m/>
    <m/>
    <m/>
    <m/>
    <m/>
    <m/>
    <m/>
    <m/>
    <m/>
    <m/>
  </r>
  <r>
    <x v="2"/>
    <x v="40"/>
    <m/>
    <m/>
    <m/>
    <m/>
    <m/>
    <m/>
    <m/>
    <m/>
    <m/>
    <m/>
    <m/>
    <m/>
    <m/>
    <m/>
    <m/>
    <m/>
    <m/>
  </r>
  <r>
    <x v="2"/>
    <x v="41"/>
    <m/>
    <m/>
    <m/>
    <m/>
    <m/>
    <m/>
    <m/>
    <m/>
    <m/>
    <m/>
    <m/>
    <m/>
    <m/>
    <m/>
    <m/>
    <m/>
    <m/>
  </r>
  <r>
    <x v="2"/>
    <x v="42"/>
    <m/>
    <m/>
    <m/>
    <m/>
    <m/>
    <m/>
    <n v="3"/>
    <n v="10"/>
    <m/>
    <m/>
    <n v="10"/>
    <n v="5"/>
    <n v="5"/>
    <n v="5"/>
    <n v="2"/>
    <n v="10"/>
    <m/>
  </r>
  <r>
    <x v="2"/>
    <x v="43"/>
    <m/>
    <m/>
    <m/>
    <m/>
    <m/>
    <m/>
    <m/>
    <m/>
    <m/>
    <m/>
    <m/>
    <m/>
    <m/>
    <m/>
    <m/>
    <m/>
    <m/>
  </r>
  <r>
    <x v="2"/>
    <x v="44"/>
    <m/>
    <m/>
    <m/>
    <m/>
    <m/>
    <m/>
    <m/>
    <m/>
    <m/>
    <m/>
    <m/>
    <m/>
    <m/>
    <m/>
    <m/>
    <m/>
    <m/>
  </r>
  <r>
    <x v="2"/>
    <x v="45"/>
    <m/>
    <m/>
    <m/>
    <m/>
    <m/>
    <m/>
    <m/>
    <m/>
    <m/>
    <m/>
    <m/>
    <m/>
    <m/>
    <m/>
    <m/>
    <m/>
    <m/>
  </r>
  <r>
    <x v="2"/>
    <x v="46"/>
    <m/>
    <m/>
    <m/>
    <m/>
    <m/>
    <m/>
    <m/>
    <m/>
    <m/>
    <m/>
    <m/>
    <m/>
    <m/>
    <m/>
    <m/>
    <m/>
    <m/>
  </r>
  <r>
    <x v="2"/>
    <x v="47"/>
    <m/>
    <m/>
    <m/>
    <m/>
    <m/>
    <m/>
    <m/>
    <m/>
    <m/>
    <m/>
    <m/>
    <m/>
    <m/>
    <m/>
    <m/>
    <m/>
    <m/>
  </r>
  <r>
    <x v="2"/>
    <x v="48"/>
    <m/>
    <m/>
    <m/>
    <m/>
    <m/>
    <m/>
    <m/>
    <m/>
    <m/>
    <m/>
    <m/>
    <m/>
    <m/>
    <m/>
    <m/>
    <m/>
    <m/>
  </r>
  <r>
    <x v="2"/>
    <x v="49"/>
    <m/>
    <m/>
    <m/>
    <m/>
    <m/>
    <m/>
    <m/>
    <m/>
    <m/>
    <m/>
    <m/>
    <m/>
    <m/>
    <m/>
    <m/>
    <m/>
    <m/>
  </r>
  <r>
    <x v="2"/>
    <x v="50"/>
    <m/>
    <m/>
    <m/>
    <m/>
    <m/>
    <m/>
    <n v="6"/>
    <m/>
    <m/>
    <m/>
    <n v="2"/>
    <n v="2"/>
    <n v="2"/>
    <n v="2"/>
    <n v="2"/>
    <n v="2"/>
    <m/>
  </r>
  <r>
    <x v="2"/>
    <x v="51"/>
    <m/>
    <m/>
    <m/>
    <m/>
    <m/>
    <m/>
    <m/>
    <m/>
    <m/>
    <m/>
    <m/>
    <m/>
    <m/>
    <m/>
    <m/>
    <m/>
    <m/>
  </r>
  <r>
    <x v="3"/>
    <x v="0"/>
    <m/>
    <m/>
    <m/>
    <m/>
    <m/>
    <m/>
    <m/>
    <m/>
    <m/>
    <m/>
    <m/>
    <m/>
    <m/>
    <m/>
    <m/>
    <m/>
    <m/>
  </r>
  <r>
    <x v="3"/>
    <x v="1"/>
    <m/>
    <m/>
    <m/>
    <m/>
    <m/>
    <m/>
    <m/>
    <m/>
    <m/>
    <m/>
    <m/>
    <m/>
    <m/>
    <m/>
    <m/>
    <m/>
    <m/>
  </r>
  <r>
    <x v="3"/>
    <x v="2"/>
    <m/>
    <m/>
    <m/>
    <m/>
    <m/>
    <m/>
    <m/>
    <m/>
    <m/>
    <m/>
    <m/>
    <m/>
    <m/>
    <m/>
    <m/>
    <m/>
    <m/>
  </r>
  <r>
    <x v="3"/>
    <x v="3"/>
    <m/>
    <m/>
    <m/>
    <m/>
    <m/>
    <m/>
    <m/>
    <m/>
    <m/>
    <m/>
    <m/>
    <m/>
    <m/>
    <m/>
    <m/>
    <m/>
    <m/>
  </r>
  <r>
    <x v="3"/>
    <x v="4"/>
    <m/>
    <m/>
    <m/>
    <m/>
    <m/>
    <m/>
    <m/>
    <m/>
    <m/>
    <m/>
    <m/>
    <m/>
    <m/>
    <m/>
    <m/>
    <m/>
    <m/>
  </r>
  <r>
    <x v="3"/>
    <x v="5"/>
    <m/>
    <m/>
    <m/>
    <m/>
    <m/>
    <m/>
    <m/>
    <m/>
    <m/>
    <m/>
    <m/>
    <m/>
    <m/>
    <m/>
    <m/>
    <m/>
    <m/>
  </r>
  <r>
    <x v="3"/>
    <x v="6"/>
    <m/>
    <m/>
    <m/>
    <m/>
    <m/>
    <m/>
    <m/>
    <m/>
    <m/>
    <m/>
    <m/>
    <m/>
    <m/>
    <m/>
    <m/>
    <m/>
    <m/>
  </r>
  <r>
    <x v="3"/>
    <x v="7"/>
    <m/>
    <m/>
    <m/>
    <m/>
    <m/>
    <m/>
    <m/>
    <m/>
    <m/>
    <m/>
    <m/>
    <m/>
    <m/>
    <m/>
    <m/>
    <m/>
    <m/>
  </r>
  <r>
    <x v="3"/>
    <x v="8"/>
    <m/>
    <m/>
    <m/>
    <m/>
    <m/>
    <m/>
    <m/>
    <m/>
    <m/>
    <m/>
    <m/>
    <m/>
    <m/>
    <m/>
    <m/>
    <m/>
    <m/>
  </r>
  <r>
    <x v="3"/>
    <x v="9"/>
    <m/>
    <m/>
    <m/>
    <m/>
    <m/>
    <m/>
    <m/>
    <m/>
    <m/>
    <m/>
    <m/>
    <m/>
    <m/>
    <m/>
    <m/>
    <m/>
    <m/>
  </r>
  <r>
    <x v="3"/>
    <x v="10"/>
    <m/>
    <m/>
    <m/>
    <m/>
    <m/>
    <m/>
    <m/>
    <m/>
    <m/>
    <m/>
    <m/>
    <m/>
    <m/>
    <m/>
    <m/>
    <m/>
    <m/>
  </r>
  <r>
    <x v="3"/>
    <x v="11"/>
    <m/>
    <m/>
    <m/>
    <m/>
    <m/>
    <m/>
    <m/>
    <m/>
    <m/>
    <m/>
    <m/>
    <m/>
    <m/>
    <m/>
    <m/>
    <m/>
    <m/>
  </r>
  <r>
    <x v="3"/>
    <x v="12"/>
    <m/>
    <m/>
    <m/>
    <m/>
    <m/>
    <m/>
    <m/>
    <m/>
    <m/>
    <m/>
    <m/>
    <m/>
    <m/>
    <m/>
    <m/>
    <m/>
    <m/>
  </r>
  <r>
    <x v="3"/>
    <x v="13"/>
    <m/>
    <m/>
    <m/>
    <m/>
    <m/>
    <m/>
    <m/>
    <m/>
    <m/>
    <m/>
    <m/>
    <m/>
    <m/>
    <m/>
    <m/>
    <m/>
    <m/>
  </r>
  <r>
    <x v="3"/>
    <x v="14"/>
    <m/>
    <m/>
    <m/>
    <m/>
    <m/>
    <m/>
    <m/>
    <m/>
    <m/>
    <m/>
    <m/>
    <m/>
    <m/>
    <m/>
    <m/>
    <m/>
    <m/>
  </r>
  <r>
    <x v="3"/>
    <x v="15"/>
    <m/>
    <m/>
    <m/>
    <m/>
    <m/>
    <m/>
    <m/>
    <m/>
    <m/>
    <m/>
    <m/>
    <m/>
    <m/>
    <m/>
    <m/>
    <m/>
    <m/>
  </r>
  <r>
    <x v="3"/>
    <x v="16"/>
    <m/>
    <m/>
    <m/>
    <m/>
    <m/>
    <m/>
    <m/>
    <m/>
    <m/>
    <m/>
    <m/>
    <m/>
    <m/>
    <m/>
    <m/>
    <m/>
    <m/>
  </r>
  <r>
    <x v="3"/>
    <x v="17"/>
    <m/>
    <m/>
    <m/>
    <m/>
    <m/>
    <m/>
    <m/>
    <m/>
    <m/>
    <m/>
    <m/>
    <m/>
    <m/>
    <m/>
    <m/>
    <m/>
    <m/>
  </r>
  <r>
    <x v="3"/>
    <x v="18"/>
    <m/>
    <m/>
    <m/>
    <m/>
    <m/>
    <m/>
    <m/>
    <m/>
    <m/>
    <m/>
    <m/>
    <m/>
    <m/>
    <m/>
    <m/>
    <m/>
    <m/>
  </r>
  <r>
    <x v="3"/>
    <x v="19"/>
    <m/>
    <m/>
    <m/>
    <m/>
    <m/>
    <m/>
    <m/>
    <m/>
    <m/>
    <m/>
    <m/>
    <m/>
    <m/>
    <m/>
    <m/>
    <m/>
    <m/>
  </r>
  <r>
    <x v="3"/>
    <x v="20"/>
    <m/>
    <m/>
    <m/>
    <m/>
    <m/>
    <m/>
    <m/>
    <m/>
    <n v="1"/>
    <m/>
    <n v="1"/>
    <m/>
    <n v="1"/>
    <n v="1"/>
    <n v="1"/>
    <n v="1"/>
    <m/>
  </r>
  <r>
    <x v="3"/>
    <x v="21"/>
    <m/>
    <m/>
    <m/>
    <m/>
    <m/>
    <m/>
    <m/>
    <m/>
    <m/>
    <m/>
    <m/>
    <m/>
    <m/>
    <m/>
    <m/>
    <m/>
    <m/>
  </r>
  <r>
    <x v="3"/>
    <x v="22"/>
    <m/>
    <m/>
    <m/>
    <m/>
    <m/>
    <m/>
    <m/>
    <m/>
    <m/>
    <m/>
    <m/>
    <m/>
    <m/>
    <m/>
    <m/>
    <m/>
    <m/>
  </r>
  <r>
    <x v="3"/>
    <x v="23"/>
    <m/>
    <m/>
    <m/>
    <m/>
    <m/>
    <m/>
    <m/>
    <m/>
    <m/>
    <m/>
    <m/>
    <m/>
    <m/>
    <m/>
    <m/>
    <m/>
    <m/>
  </r>
  <r>
    <x v="3"/>
    <x v="24"/>
    <m/>
    <m/>
    <m/>
    <m/>
    <m/>
    <m/>
    <m/>
    <m/>
    <m/>
    <m/>
    <m/>
    <m/>
    <m/>
    <m/>
    <m/>
    <m/>
    <m/>
  </r>
  <r>
    <x v="3"/>
    <x v="25"/>
    <m/>
    <m/>
    <m/>
    <m/>
    <m/>
    <m/>
    <m/>
    <m/>
    <m/>
    <m/>
    <m/>
    <m/>
    <m/>
    <m/>
    <m/>
    <m/>
    <m/>
  </r>
  <r>
    <x v="3"/>
    <x v="26"/>
    <m/>
    <m/>
    <m/>
    <m/>
    <m/>
    <m/>
    <m/>
    <m/>
    <m/>
    <m/>
    <m/>
    <m/>
    <m/>
    <m/>
    <m/>
    <m/>
    <m/>
  </r>
  <r>
    <x v="3"/>
    <x v="27"/>
    <m/>
    <m/>
    <m/>
    <m/>
    <m/>
    <m/>
    <m/>
    <m/>
    <m/>
    <m/>
    <m/>
    <m/>
    <m/>
    <m/>
    <m/>
    <m/>
    <m/>
  </r>
  <r>
    <x v="3"/>
    <x v="28"/>
    <m/>
    <m/>
    <m/>
    <m/>
    <m/>
    <m/>
    <m/>
    <m/>
    <m/>
    <m/>
    <m/>
    <m/>
    <m/>
    <m/>
    <m/>
    <m/>
    <m/>
  </r>
  <r>
    <x v="3"/>
    <x v="29"/>
    <m/>
    <m/>
    <m/>
    <m/>
    <m/>
    <m/>
    <m/>
    <m/>
    <m/>
    <m/>
    <m/>
    <m/>
    <m/>
    <m/>
    <m/>
    <m/>
    <m/>
  </r>
  <r>
    <x v="3"/>
    <x v="30"/>
    <m/>
    <m/>
    <m/>
    <m/>
    <m/>
    <m/>
    <m/>
    <m/>
    <m/>
    <m/>
    <m/>
    <m/>
    <m/>
    <m/>
    <m/>
    <m/>
    <m/>
  </r>
  <r>
    <x v="3"/>
    <x v="31"/>
    <m/>
    <m/>
    <m/>
    <m/>
    <m/>
    <m/>
    <m/>
    <m/>
    <m/>
    <m/>
    <m/>
    <m/>
    <m/>
    <m/>
    <m/>
    <m/>
    <m/>
  </r>
  <r>
    <x v="3"/>
    <x v="32"/>
    <m/>
    <m/>
    <m/>
    <m/>
    <m/>
    <m/>
    <m/>
    <m/>
    <m/>
    <m/>
    <m/>
    <m/>
    <m/>
    <m/>
    <m/>
    <m/>
    <m/>
  </r>
  <r>
    <x v="3"/>
    <x v="33"/>
    <m/>
    <m/>
    <m/>
    <m/>
    <m/>
    <m/>
    <m/>
    <m/>
    <m/>
    <m/>
    <m/>
    <m/>
    <m/>
    <m/>
    <m/>
    <m/>
    <m/>
  </r>
  <r>
    <x v="3"/>
    <x v="34"/>
    <m/>
    <m/>
    <m/>
    <m/>
    <m/>
    <m/>
    <m/>
    <m/>
    <m/>
    <m/>
    <m/>
    <m/>
    <m/>
    <m/>
    <m/>
    <m/>
    <m/>
  </r>
  <r>
    <x v="3"/>
    <x v="35"/>
    <m/>
    <m/>
    <m/>
    <m/>
    <m/>
    <m/>
    <m/>
    <m/>
    <m/>
    <m/>
    <m/>
    <m/>
    <m/>
    <m/>
    <m/>
    <m/>
    <m/>
  </r>
  <r>
    <x v="3"/>
    <x v="36"/>
    <m/>
    <m/>
    <m/>
    <m/>
    <m/>
    <m/>
    <m/>
    <m/>
    <m/>
    <m/>
    <m/>
    <m/>
    <m/>
    <m/>
    <m/>
    <m/>
    <m/>
  </r>
  <r>
    <x v="3"/>
    <x v="37"/>
    <m/>
    <m/>
    <m/>
    <m/>
    <m/>
    <m/>
    <m/>
    <m/>
    <m/>
    <m/>
    <m/>
    <m/>
    <m/>
    <m/>
    <m/>
    <m/>
    <m/>
  </r>
  <r>
    <x v="3"/>
    <x v="38"/>
    <m/>
    <m/>
    <m/>
    <m/>
    <m/>
    <m/>
    <m/>
    <m/>
    <m/>
    <m/>
    <m/>
    <m/>
    <m/>
    <m/>
    <m/>
    <m/>
    <m/>
  </r>
  <r>
    <x v="3"/>
    <x v="39"/>
    <m/>
    <m/>
    <m/>
    <m/>
    <m/>
    <m/>
    <m/>
    <m/>
    <m/>
    <m/>
    <m/>
    <m/>
    <m/>
    <m/>
    <m/>
    <m/>
    <m/>
  </r>
  <r>
    <x v="3"/>
    <x v="40"/>
    <m/>
    <m/>
    <m/>
    <m/>
    <m/>
    <m/>
    <m/>
    <m/>
    <m/>
    <m/>
    <m/>
    <m/>
    <m/>
    <m/>
    <m/>
    <m/>
    <m/>
  </r>
  <r>
    <x v="3"/>
    <x v="41"/>
    <m/>
    <m/>
    <m/>
    <m/>
    <m/>
    <m/>
    <m/>
    <m/>
    <m/>
    <m/>
    <m/>
    <m/>
    <m/>
    <m/>
    <m/>
    <m/>
    <m/>
  </r>
  <r>
    <x v="3"/>
    <x v="42"/>
    <m/>
    <m/>
    <m/>
    <m/>
    <m/>
    <m/>
    <m/>
    <m/>
    <m/>
    <m/>
    <m/>
    <m/>
    <m/>
    <m/>
    <m/>
    <m/>
    <m/>
  </r>
  <r>
    <x v="3"/>
    <x v="43"/>
    <m/>
    <m/>
    <m/>
    <m/>
    <m/>
    <m/>
    <m/>
    <m/>
    <m/>
    <m/>
    <m/>
    <m/>
    <m/>
    <m/>
    <m/>
    <m/>
    <m/>
  </r>
  <r>
    <x v="3"/>
    <x v="44"/>
    <m/>
    <m/>
    <m/>
    <m/>
    <m/>
    <m/>
    <m/>
    <m/>
    <m/>
    <m/>
    <m/>
    <m/>
    <m/>
    <m/>
    <m/>
    <m/>
    <m/>
  </r>
  <r>
    <x v="3"/>
    <x v="45"/>
    <m/>
    <m/>
    <m/>
    <m/>
    <m/>
    <m/>
    <m/>
    <m/>
    <m/>
    <m/>
    <m/>
    <m/>
    <m/>
    <m/>
    <m/>
    <m/>
    <m/>
  </r>
  <r>
    <x v="3"/>
    <x v="46"/>
    <m/>
    <m/>
    <m/>
    <m/>
    <m/>
    <m/>
    <m/>
    <m/>
    <m/>
    <m/>
    <m/>
    <m/>
    <m/>
    <m/>
    <m/>
    <m/>
    <m/>
  </r>
  <r>
    <x v="3"/>
    <x v="47"/>
    <m/>
    <m/>
    <m/>
    <m/>
    <m/>
    <m/>
    <m/>
    <m/>
    <m/>
    <m/>
    <m/>
    <m/>
    <m/>
    <m/>
    <m/>
    <m/>
    <m/>
  </r>
  <r>
    <x v="3"/>
    <x v="48"/>
    <m/>
    <m/>
    <m/>
    <m/>
    <m/>
    <m/>
    <m/>
    <m/>
    <m/>
    <m/>
    <m/>
    <m/>
    <m/>
    <m/>
    <m/>
    <m/>
    <m/>
  </r>
  <r>
    <x v="3"/>
    <x v="49"/>
    <m/>
    <m/>
    <m/>
    <m/>
    <m/>
    <m/>
    <m/>
    <m/>
    <m/>
    <m/>
    <m/>
    <m/>
    <m/>
    <m/>
    <m/>
    <m/>
    <m/>
  </r>
  <r>
    <x v="3"/>
    <x v="50"/>
    <m/>
    <m/>
    <m/>
    <m/>
    <m/>
    <m/>
    <m/>
    <m/>
    <m/>
    <m/>
    <m/>
    <m/>
    <m/>
    <m/>
    <m/>
    <m/>
    <m/>
  </r>
  <r>
    <x v="3"/>
    <x v="51"/>
    <m/>
    <m/>
    <m/>
    <m/>
    <m/>
    <m/>
    <m/>
    <m/>
    <m/>
    <m/>
    <m/>
    <m/>
    <m/>
    <m/>
    <m/>
    <m/>
    <m/>
  </r>
  <r>
    <x v="4"/>
    <x v="0"/>
    <m/>
    <m/>
    <m/>
    <m/>
    <m/>
    <m/>
    <m/>
    <m/>
    <m/>
    <m/>
    <m/>
    <m/>
    <m/>
    <m/>
    <m/>
    <m/>
    <m/>
  </r>
  <r>
    <x v="4"/>
    <x v="1"/>
    <m/>
    <m/>
    <m/>
    <m/>
    <m/>
    <m/>
    <m/>
    <m/>
    <m/>
    <m/>
    <m/>
    <m/>
    <m/>
    <m/>
    <m/>
    <m/>
    <m/>
  </r>
  <r>
    <x v="4"/>
    <x v="2"/>
    <m/>
    <m/>
    <m/>
    <m/>
    <m/>
    <m/>
    <m/>
    <m/>
    <m/>
    <m/>
    <m/>
    <m/>
    <m/>
    <m/>
    <m/>
    <m/>
    <m/>
  </r>
  <r>
    <x v="4"/>
    <x v="3"/>
    <m/>
    <m/>
    <m/>
    <m/>
    <m/>
    <m/>
    <m/>
    <m/>
    <m/>
    <m/>
    <m/>
    <m/>
    <m/>
    <m/>
    <m/>
    <m/>
    <m/>
  </r>
  <r>
    <x v="4"/>
    <x v="4"/>
    <m/>
    <m/>
    <m/>
    <m/>
    <m/>
    <m/>
    <m/>
    <m/>
    <m/>
    <m/>
    <m/>
    <m/>
    <m/>
    <m/>
    <m/>
    <m/>
    <m/>
  </r>
  <r>
    <x v="4"/>
    <x v="5"/>
    <m/>
    <m/>
    <m/>
    <m/>
    <m/>
    <m/>
    <m/>
    <m/>
    <m/>
    <m/>
    <m/>
    <m/>
    <m/>
    <m/>
    <m/>
    <m/>
    <m/>
  </r>
  <r>
    <x v="4"/>
    <x v="6"/>
    <m/>
    <m/>
    <m/>
    <m/>
    <m/>
    <m/>
    <m/>
    <m/>
    <m/>
    <m/>
    <m/>
    <m/>
    <m/>
    <m/>
    <m/>
    <m/>
    <m/>
  </r>
  <r>
    <x v="4"/>
    <x v="7"/>
    <m/>
    <m/>
    <m/>
    <m/>
    <m/>
    <m/>
    <m/>
    <m/>
    <m/>
    <m/>
    <m/>
    <m/>
    <m/>
    <m/>
    <m/>
    <m/>
    <m/>
  </r>
  <r>
    <x v="4"/>
    <x v="8"/>
    <m/>
    <m/>
    <m/>
    <m/>
    <m/>
    <m/>
    <m/>
    <m/>
    <m/>
    <m/>
    <m/>
    <m/>
    <m/>
    <m/>
    <m/>
    <m/>
    <m/>
  </r>
  <r>
    <x v="4"/>
    <x v="9"/>
    <m/>
    <m/>
    <m/>
    <m/>
    <m/>
    <m/>
    <m/>
    <m/>
    <m/>
    <m/>
    <m/>
    <m/>
    <m/>
    <m/>
    <m/>
    <m/>
    <m/>
  </r>
  <r>
    <x v="4"/>
    <x v="10"/>
    <m/>
    <m/>
    <m/>
    <m/>
    <m/>
    <m/>
    <m/>
    <m/>
    <m/>
    <m/>
    <m/>
    <m/>
    <m/>
    <m/>
    <m/>
    <m/>
    <m/>
  </r>
  <r>
    <x v="4"/>
    <x v="11"/>
    <m/>
    <m/>
    <m/>
    <m/>
    <m/>
    <m/>
    <m/>
    <m/>
    <m/>
    <m/>
    <m/>
    <m/>
    <m/>
    <m/>
    <m/>
    <m/>
    <m/>
  </r>
  <r>
    <x v="4"/>
    <x v="12"/>
    <m/>
    <m/>
    <m/>
    <m/>
    <m/>
    <m/>
    <m/>
    <m/>
    <m/>
    <m/>
    <m/>
    <m/>
    <m/>
    <m/>
    <m/>
    <m/>
    <m/>
  </r>
  <r>
    <x v="4"/>
    <x v="13"/>
    <m/>
    <m/>
    <m/>
    <m/>
    <m/>
    <m/>
    <m/>
    <m/>
    <m/>
    <m/>
    <m/>
    <m/>
    <m/>
    <m/>
    <m/>
    <m/>
    <m/>
  </r>
  <r>
    <x v="4"/>
    <x v="14"/>
    <m/>
    <m/>
    <m/>
    <m/>
    <m/>
    <m/>
    <m/>
    <m/>
    <m/>
    <m/>
    <m/>
    <m/>
    <m/>
    <m/>
    <m/>
    <m/>
    <m/>
  </r>
  <r>
    <x v="4"/>
    <x v="15"/>
    <m/>
    <m/>
    <m/>
    <m/>
    <m/>
    <m/>
    <m/>
    <m/>
    <m/>
    <m/>
    <m/>
    <m/>
    <m/>
    <m/>
    <m/>
    <m/>
    <m/>
  </r>
  <r>
    <x v="4"/>
    <x v="16"/>
    <m/>
    <m/>
    <m/>
    <m/>
    <m/>
    <m/>
    <m/>
    <m/>
    <m/>
    <m/>
    <m/>
    <m/>
    <m/>
    <m/>
    <m/>
    <m/>
    <m/>
  </r>
  <r>
    <x v="4"/>
    <x v="17"/>
    <m/>
    <m/>
    <m/>
    <m/>
    <m/>
    <m/>
    <m/>
    <m/>
    <m/>
    <m/>
    <m/>
    <m/>
    <m/>
    <m/>
    <m/>
    <m/>
    <m/>
  </r>
  <r>
    <x v="4"/>
    <x v="18"/>
    <m/>
    <m/>
    <m/>
    <m/>
    <m/>
    <m/>
    <m/>
    <m/>
    <m/>
    <m/>
    <m/>
    <m/>
    <m/>
    <m/>
    <m/>
    <m/>
    <m/>
  </r>
  <r>
    <x v="4"/>
    <x v="19"/>
    <m/>
    <m/>
    <m/>
    <m/>
    <m/>
    <m/>
    <m/>
    <m/>
    <m/>
    <m/>
    <m/>
    <m/>
    <m/>
    <m/>
    <m/>
    <m/>
    <m/>
  </r>
  <r>
    <x v="4"/>
    <x v="20"/>
    <m/>
    <m/>
    <m/>
    <m/>
    <m/>
    <m/>
    <m/>
    <m/>
    <m/>
    <m/>
    <m/>
    <m/>
    <m/>
    <m/>
    <n v="1"/>
    <m/>
    <m/>
  </r>
  <r>
    <x v="4"/>
    <x v="21"/>
    <m/>
    <m/>
    <m/>
    <m/>
    <m/>
    <m/>
    <m/>
    <m/>
    <m/>
    <m/>
    <m/>
    <m/>
    <m/>
    <m/>
    <m/>
    <m/>
    <m/>
  </r>
  <r>
    <x v="4"/>
    <x v="22"/>
    <m/>
    <m/>
    <m/>
    <m/>
    <m/>
    <m/>
    <m/>
    <m/>
    <m/>
    <m/>
    <m/>
    <m/>
    <m/>
    <m/>
    <m/>
    <m/>
    <m/>
  </r>
  <r>
    <x v="4"/>
    <x v="23"/>
    <m/>
    <m/>
    <m/>
    <m/>
    <m/>
    <m/>
    <m/>
    <m/>
    <m/>
    <m/>
    <m/>
    <m/>
    <m/>
    <m/>
    <m/>
    <m/>
    <m/>
  </r>
  <r>
    <x v="4"/>
    <x v="24"/>
    <m/>
    <m/>
    <m/>
    <m/>
    <m/>
    <m/>
    <m/>
    <m/>
    <m/>
    <m/>
    <m/>
    <m/>
    <m/>
    <m/>
    <m/>
    <m/>
    <m/>
  </r>
  <r>
    <x v="4"/>
    <x v="25"/>
    <m/>
    <m/>
    <m/>
    <m/>
    <m/>
    <m/>
    <m/>
    <m/>
    <m/>
    <m/>
    <m/>
    <m/>
    <m/>
    <m/>
    <m/>
    <m/>
    <m/>
  </r>
  <r>
    <x v="4"/>
    <x v="26"/>
    <m/>
    <m/>
    <m/>
    <m/>
    <m/>
    <m/>
    <m/>
    <m/>
    <m/>
    <m/>
    <m/>
    <m/>
    <m/>
    <m/>
    <m/>
    <m/>
    <m/>
  </r>
  <r>
    <x v="4"/>
    <x v="27"/>
    <m/>
    <m/>
    <m/>
    <m/>
    <m/>
    <m/>
    <m/>
    <m/>
    <m/>
    <m/>
    <m/>
    <m/>
    <m/>
    <m/>
    <m/>
    <m/>
    <m/>
  </r>
  <r>
    <x v="4"/>
    <x v="28"/>
    <m/>
    <m/>
    <m/>
    <m/>
    <m/>
    <m/>
    <m/>
    <m/>
    <m/>
    <m/>
    <m/>
    <m/>
    <m/>
    <m/>
    <m/>
    <m/>
    <m/>
  </r>
  <r>
    <x v="4"/>
    <x v="29"/>
    <m/>
    <m/>
    <m/>
    <m/>
    <m/>
    <m/>
    <m/>
    <m/>
    <m/>
    <m/>
    <m/>
    <m/>
    <m/>
    <m/>
    <m/>
    <m/>
    <m/>
  </r>
  <r>
    <x v="4"/>
    <x v="30"/>
    <m/>
    <m/>
    <m/>
    <m/>
    <m/>
    <m/>
    <m/>
    <m/>
    <m/>
    <m/>
    <m/>
    <m/>
    <m/>
    <m/>
    <m/>
    <m/>
    <m/>
  </r>
  <r>
    <x v="4"/>
    <x v="31"/>
    <m/>
    <m/>
    <m/>
    <m/>
    <m/>
    <m/>
    <m/>
    <m/>
    <m/>
    <m/>
    <m/>
    <m/>
    <m/>
    <m/>
    <m/>
    <m/>
    <m/>
  </r>
  <r>
    <x v="4"/>
    <x v="32"/>
    <m/>
    <m/>
    <m/>
    <m/>
    <m/>
    <m/>
    <m/>
    <m/>
    <m/>
    <m/>
    <m/>
    <m/>
    <m/>
    <m/>
    <m/>
    <m/>
    <m/>
  </r>
  <r>
    <x v="4"/>
    <x v="33"/>
    <m/>
    <m/>
    <m/>
    <m/>
    <m/>
    <m/>
    <m/>
    <m/>
    <m/>
    <m/>
    <m/>
    <m/>
    <m/>
    <m/>
    <m/>
    <m/>
    <m/>
  </r>
  <r>
    <x v="4"/>
    <x v="34"/>
    <m/>
    <m/>
    <m/>
    <m/>
    <m/>
    <m/>
    <m/>
    <m/>
    <m/>
    <m/>
    <m/>
    <m/>
    <m/>
    <m/>
    <m/>
    <m/>
    <m/>
  </r>
  <r>
    <x v="4"/>
    <x v="35"/>
    <m/>
    <m/>
    <m/>
    <m/>
    <m/>
    <m/>
    <m/>
    <m/>
    <m/>
    <m/>
    <m/>
    <m/>
    <m/>
    <m/>
    <m/>
    <m/>
    <m/>
  </r>
  <r>
    <x v="4"/>
    <x v="36"/>
    <m/>
    <m/>
    <m/>
    <m/>
    <m/>
    <m/>
    <m/>
    <m/>
    <m/>
    <m/>
    <m/>
    <m/>
    <m/>
    <m/>
    <m/>
    <m/>
    <m/>
  </r>
  <r>
    <x v="4"/>
    <x v="37"/>
    <m/>
    <m/>
    <m/>
    <m/>
    <m/>
    <m/>
    <m/>
    <m/>
    <m/>
    <m/>
    <m/>
    <m/>
    <m/>
    <m/>
    <m/>
    <m/>
    <m/>
  </r>
  <r>
    <x v="4"/>
    <x v="38"/>
    <m/>
    <m/>
    <m/>
    <m/>
    <m/>
    <m/>
    <m/>
    <m/>
    <m/>
    <m/>
    <m/>
    <m/>
    <m/>
    <m/>
    <m/>
    <m/>
    <m/>
  </r>
  <r>
    <x v="4"/>
    <x v="39"/>
    <m/>
    <m/>
    <m/>
    <m/>
    <m/>
    <m/>
    <m/>
    <m/>
    <m/>
    <m/>
    <m/>
    <m/>
    <m/>
    <m/>
    <m/>
    <m/>
    <m/>
  </r>
  <r>
    <x v="4"/>
    <x v="40"/>
    <m/>
    <m/>
    <m/>
    <m/>
    <m/>
    <m/>
    <m/>
    <m/>
    <m/>
    <m/>
    <m/>
    <m/>
    <m/>
    <m/>
    <m/>
    <m/>
    <m/>
  </r>
  <r>
    <x v="4"/>
    <x v="41"/>
    <m/>
    <m/>
    <m/>
    <m/>
    <m/>
    <m/>
    <m/>
    <m/>
    <m/>
    <m/>
    <m/>
    <m/>
    <m/>
    <m/>
    <m/>
    <m/>
    <m/>
  </r>
  <r>
    <x v="4"/>
    <x v="42"/>
    <m/>
    <m/>
    <m/>
    <m/>
    <m/>
    <m/>
    <m/>
    <m/>
    <m/>
    <m/>
    <m/>
    <m/>
    <m/>
    <m/>
    <m/>
    <m/>
    <m/>
  </r>
  <r>
    <x v="4"/>
    <x v="43"/>
    <m/>
    <m/>
    <m/>
    <m/>
    <m/>
    <m/>
    <m/>
    <m/>
    <m/>
    <m/>
    <m/>
    <m/>
    <m/>
    <m/>
    <m/>
    <m/>
    <m/>
  </r>
  <r>
    <x v="4"/>
    <x v="44"/>
    <m/>
    <m/>
    <m/>
    <m/>
    <m/>
    <m/>
    <m/>
    <m/>
    <m/>
    <m/>
    <m/>
    <m/>
    <m/>
    <m/>
    <m/>
    <m/>
    <m/>
  </r>
  <r>
    <x v="4"/>
    <x v="45"/>
    <m/>
    <m/>
    <m/>
    <m/>
    <m/>
    <m/>
    <m/>
    <m/>
    <m/>
    <m/>
    <m/>
    <m/>
    <m/>
    <m/>
    <m/>
    <m/>
    <m/>
  </r>
  <r>
    <x v="4"/>
    <x v="46"/>
    <m/>
    <m/>
    <m/>
    <m/>
    <m/>
    <m/>
    <m/>
    <m/>
    <m/>
    <m/>
    <m/>
    <m/>
    <m/>
    <m/>
    <m/>
    <m/>
    <m/>
  </r>
  <r>
    <x v="4"/>
    <x v="47"/>
    <m/>
    <m/>
    <m/>
    <m/>
    <m/>
    <m/>
    <m/>
    <m/>
    <m/>
    <m/>
    <m/>
    <m/>
    <m/>
    <m/>
    <m/>
    <m/>
    <m/>
  </r>
  <r>
    <x v="4"/>
    <x v="48"/>
    <m/>
    <m/>
    <m/>
    <m/>
    <m/>
    <m/>
    <m/>
    <m/>
    <m/>
    <m/>
    <m/>
    <m/>
    <m/>
    <m/>
    <m/>
    <m/>
    <m/>
  </r>
  <r>
    <x v="4"/>
    <x v="49"/>
    <m/>
    <m/>
    <m/>
    <m/>
    <m/>
    <m/>
    <m/>
    <m/>
    <m/>
    <m/>
    <m/>
    <m/>
    <m/>
    <m/>
    <m/>
    <m/>
    <m/>
  </r>
  <r>
    <x v="4"/>
    <x v="50"/>
    <m/>
    <m/>
    <m/>
    <m/>
    <m/>
    <m/>
    <m/>
    <m/>
    <m/>
    <m/>
    <m/>
    <m/>
    <m/>
    <m/>
    <m/>
    <m/>
    <m/>
  </r>
  <r>
    <x v="4"/>
    <x v="51"/>
    <m/>
    <m/>
    <m/>
    <m/>
    <m/>
    <m/>
    <m/>
    <m/>
    <m/>
    <m/>
    <m/>
    <m/>
    <m/>
    <m/>
    <m/>
    <m/>
    <m/>
  </r>
  <r>
    <x v="5"/>
    <x v="0"/>
    <m/>
    <m/>
    <m/>
    <m/>
    <m/>
    <n v="0"/>
    <n v="1"/>
    <n v="1"/>
    <m/>
    <m/>
    <m/>
    <m/>
    <m/>
    <m/>
    <m/>
    <n v="1"/>
    <m/>
  </r>
  <r>
    <x v="5"/>
    <x v="1"/>
    <m/>
    <m/>
    <m/>
    <m/>
    <m/>
    <m/>
    <m/>
    <m/>
    <m/>
    <m/>
    <m/>
    <m/>
    <m/>
    <m/>
    <m/>
    <m/>
    <m/>
  </r>
  <r>
    <x v="5"/>
    <x v="2"/>
    <m/>
    <m/>
    <m/>
    <m/>
    <m/>
    <m/>
    <m/>
    <m/>
    <m/>
    <m/>
    <m/>
    <m/>
    <m/>
    <m/>
    <m/>
    <m/>
    <m/>
  </r>
  <r>
    <x v="5"/>
    <x v="3"/>
    <m/>
    <m/>
    <m/>
    <m/>
    <m/>
    <m/>
    <m/>
    <m/>
    <m/>
    <m/>
    <m/>
    <m/>
    <m/>
    <m/>
    <m/>
    <m/>
    <m/>
  </r>
  <r>
    <x v="5"/>
    <x v="4"/>
    <m/>
    <m/>
    <m/>
    <m/>
    <m/>
    <m/>
    <m/>
    <m/>
    <m/>
    <m/>
    <m/>
    <m/>
    <m/>
    <m/>
    <m/>
    <m/>
    <m/>
  </r>
  <r>
    <x v="5"/>
    <x v="5"/>
    <m/>
    <m/>
    <m/>
    <m/>
    <m/>
    <m/>
    <m/>
    <m/>
    <m/>
    <m/>
    <m/>
    <m/>
    <m/>
    <m/>
    <m/>
    <m/>
    <m/>
  </r>
  <r>
    <x v="5"/>
    <x v="6"/>
    <m/>
    <m/>
    <m/>
    <m/>
    <m/>
    <m/>
    <m/>
    <m/>
    <m/>
    <m/>
    <m/>
    <m/>
    <m/>
    <m/>
    <m/>
    <m/>
    <m/>
  </r>
  <r>
    <x v="5"/>
    <x v="7"/>
    <m/>
    <m/>
    <m/>
    <m/>
    <m/>
    <m/>
    <m/>
    <m/>
    <m/>
    <m/>
    <m/>
    <m/>
    <m/>
    <m/>
    <m/>
    <m/>
    <m/>
  </r>
  <r>
    <x v="5"/>
    <x v="8"/>
    <m/>
    <m/>
    <m/>
    <m/>
    <m/>
    <m/>
    <m/>
    <m/>
    <m/>
    <m/>
    <m/>
    <m/>
    <m/>
    <m/>
    <m/>
    <m/>
    <m/>
  </r>
  <r>
    <x v="5"/>
    <x v="9"/>
    <m/>
    <m/>
    <m/>
    <m/>
    <m/>
    <m/>
    <m/>
    <m/>
    <m/>
    <m/>
    <m/>
    <m/>
    <m/>
    <m/>
    <m/>
    <m/>
    <m/>
  </r>
  <r>
    <x v="5"/>
    <x v="10"/>
    <m/>
    <m/>
    <m/>
    <m/>
    <m/>
    <m/>
    <m/>
    <m/>
    <m/>
    <m/>
    <m/>
    <m/>
    <m/>
    <m/>
    <m/>
    <m/>
    <m/>
  </r>
  <r>
    <x v="5"/>
    <x v="11"/>
    <m/>
    <m/>
    <m/>
    <m/>
    <m/>
    <m/>
    <m/>
    <m/>
    <m/>
    <m/>
    <m/>
    <m/>
    <m/>
    <m/>
    <m/>
    <m/>
    <m/>
  </r>
  <r>
    <x v="5"/>
    <x v="12"/>
    <m/>
    <m/>
    <m/>
    <m/>
    <m/>
    <m/>
    <m/>
    <m/>
    <m/>
    <m/>
    <m/>
    <m/>
    <m/>
    <m/>
    <m/>
    <m/>
    <m/>
  </r>
  <r>
    <x v="5"/>
    <x v="13"/>
    <m/>
    <m/>
    <m/>
    <m/>
    <m/>
    <m/>
    <m/>
    <m/>
    <m/>
    <m/>
    <m/>
    <m/>
    <m/>
    <m/>
    <m/>
    <m/>
    <m/>
  </r>
  <r>
    <x v="5"/>
    <x v="14"/>
    <m/>
    <m/>
    <m/>
    <m/>
    <m/>
    <m/>
    <m/>
    <m/>
    <m/>
    <m/>
    <m/>
    <m/>
    <m/>
    <m/>
    <m/>
    <m/>
    <m/>
  </r>
  <r>
    <x v="5"/>
    <x v="15"/>
    <m/>
    <m/>
    <m/>
    <m/>
    <m/>
    <m/>
    <m/>
    <m/>
    <m/>
    <m/>
    <m/>
    <m/>
    <m/>
    <m/>
    <m/>
    <m/>
    <m/>
  </r>
  <r>
    <x v="5"/>
    <x v="16"/>
    <m/>
    <m/>
    <m/>
    <m/>
    <m/>
    <m/>
    <m/>
    <m/>
    <m/>
    <m/>
    <m/>
    <m/>
    <m/>
    <m/>
    <m/>
    <m/>
    <m/>
  </r>
  <r>
    <x v="5"/>
    <x v="17"/>
    <m/>
    <m/>
    <m/>
    <m/>
    <m/>
    <m/>
    <m/>
    <m/>
    <m/>
    <m/>
    <m/>
    <m/>
    <m/>
    <m/>
    <m/>
    <m/>
    <m/>
  </r>
  <r>
    <x v="5"/>
    <x v="18"/>
    <m/>
    <m/>
    <m/>
    <m/>
    <m/>
    <m/>
    <m/>
    <m/>
    <m/>
    <m/>
    <m/>
    <m/>
    <m/>
    <m/>
    <m/>
    <m/>
    <m/>
  </r>
  <r>
    <x v="5"/>
    <x v="19"/>
    <m/>
    <m/>
    <m/>
    <m/>
    <m/>
    <m/>
    <m/>
    <m/>
    <m/>
    <m/>
    <m/>
    <m/>
    <m/>
    <m/>
    <m/>
    <m/>
    <m/>
  </r>
  <r>
    <x v="5"/>
    <x v="20"/>
    <m/>
    <m/>
    <m/>
    <m/>
    <m/>
    <m/>
    <m/>
    <m/>
    <m/>
    <m/>
    <m/>
    <m/>
    <m/>
    <m/>
    <m/>
    <m/>
    <m/>
  </r>
  <r>
    <x v="5"/>
    <x v="21"/>
    <m/>
    <m/>
    <m/>
    <m/>
    <m/>
    <m/>
    <m/>
    <m/>
    <m/>
    <m/>
    <m/>
    <m/>
    <m/>
    <m/>
    <m/>
    <m/>
    <m/>
  </r>
  <r>
    <x v="5"/>
    <x v="22"/>
    <m/>
    <m/>
    <m/>
    <m/>
    <m/>
    <m/>
    <m/>
    <m/>
    <m/>
    <m/>
    <m/>
    <m/>
    <m/>
    <m/>
    <m/>
    <m/>
    <m/>
  </r>
  <r>
    <x v="5"/>
    <x v="23"/>
    <m/>
    <m/>
    <m/>
    <m/>
    <m/>
    <m/>
    <m/>
    <m/>
    <m/>
    <m/>
    <m/>
    <m/>
    <m/>
    <m/>
    <m/>
    <m/>
    <m/>
  </r>
  <r>
    <x v="5"/>
    <x v="24"/>
    <m/>
    <m/>
    <m/>
    <m/>
    <m/>
    <m/>
    <m/>
    <m/>
    <m/>
    <m/>
    <m/>
    <m/>
    <m/>
    <m/>
    <m/>
    <m/>
    <m/>
  </r>
  <r>
    <x v="5"/>
    <x v="25"/>
    <m/>
    <m/>
    <m/>
    <m/>
    <m/>
    <m/>
    <m/>
    <m/>
    <m/>
    <m/>
    <m/>
    <m/>
    <m/>
    <m/>
    <m/>
    <m/>
    <m/>
  </r>
  <r>
    <x v="5"/>
    <x v="26"/>
    <m/>
    <m/>
    <m/>
    <m/>
    <m/>
    <m/>
    <m/>
    <m/>
    <m/>
    <m/>
    <m/>
    <m/>
    <m/>
    <m/>
    <m/>
    <m/>
    <m/>
  </r>
  <r>
    <x v="5"/>
    <x v="27"/>
    <m/>
    <m/>
    <m/>
    <m/>
    <m/>
    <m/>
    <m/>
    <m/>
    <m/>
    <m/>
    <m/>
    <m/>
    <m/>
    <m/>
    <m/>
    <m/>
    <m/>
  </r>
  <r>
    <x v="5"/>
    <x v="28"/>
    <m/>
    <m/>
    <m/>
    <m/>
    <m/>
    <m/>
    <m/>
    <m/>
    <m/>
    <m/>
    <m/>
    <m/>
    <m/>
    <m/>
    <m/>
    <m/>
    <m/>
  </r>
  <r>
    <x v="5"/>
    <x v="29"/>
    <m/>
    <m/>
    <m/>
    <m/>
    <m/>
    <m/>
    <m/>
    <m/>
    <m/>
    <m/>
    <m/>
    <m/>
    <m/>
    <m/>
    <m/>
    <m/>
    <m/>
  </r>
  <r>
    <x v="5"/>
    <x v="30"/>
    <m/>
    <m/>
    <m/>
    <m/>
    <m/>
    <m/>
    <m/>
    <m/>
    <m/>
    <m/>
    <m/>
    <m/>
    <m/>
    <m/>
    <m/>
    <m/>
    <m/>
  </r>
  <r>
    <x v="5"/>
    <x v="31"/>
    <m/>
    <m/>
    <m/>
    <m/>
    <m/>
    <m/>
    <m/>
    <m/>
    <m/>
    <m/>
    <m/>
    <m/>
    <m/>
    <m/>
    <m/>
    <m/>
    <m/>
  </r>
  <r>
    <x v="5"/>
    <x v="32"/>
    <m/>
    <m/>
    <m/>
    <m/>
    <m/>
    <m/>
    <m/>
    <m/>
    <m/>
    <m/>
    <m/>
    <m/>
    <m/>
    <m/>
    <m/>
    <m/>
    <m/>
  </r>
  <r>
    <x v="5"/>
    <x v="33"/>
    <m/>
    <m/>
    <m/>
    <m/>
    <m/>
    <m/>
    <m/>
    <m/>
    <m/>
    <m/>
    <m/>
    <m/>
    <m/>
    <m/>
    <m/>
    <m/>
    <m/>
  </r>
  <r>
    <x v="5"/>
    <x v="34"/>
    <m/>
    <m/>
    <m/>
    <m/>
    <m/>
    <m/>
    <m/>
    <m/>
    <m/>
    <m/>
    <m/>
    <m/>
    <m/>
    <m/>
    <m/>
    <m/>
    <m/>
  </r>
  <r>
    <x v="5"/>
    <x v="35"/>
    <m/>
    <m/>
    <m/>
    <m/>
    <m/>
    <m/>
    <m/>
    <m/>
    <m/>
    <m/>
    <m/>
    <m/>
    <m/>
    <m/>
    <m/>
    <m/>
    <m/>
  </r>
  <r>
    <x v="5"/>
    <x v="36"/>
    <m/>
    <m/>
    <m/>
    <m/>
    <m/>
    <m/>
    <m/>
    <m/>
    <m/>
    <m/>
    <m/>
    <m/>
    <m/>
    <m/>
    <m/>
    <m/>
    <m/>
  </r>
  <r>
    <x v="5"/>
    <x v="37"/>
    <m/>
    <m/>
    <m/>
    <m/>
    <m/>
    <m/>
    <m/>
    <m/>
    <m/>
    <m/>
    <m/>
    <m/>
    <m/>
    <m/>
    <m/>
    <m/>
    <m/>
  </r>
  <r>
    <x v="5"/>
    <x v="38"/>
    <m/>
    <m/>
    <m/>
    <m/>
    <m/>
    <m/>
    <m/>
    <m/>
    <m/>
    <m/>
    <m/>
    <m/>
    <m/>
    <m/>
    <m/>
    <m/>
    <m/>
  </r>
  <r>
    <x v="5"/>
    <x v="39"/>
    <m/>
    <m/>
    <m/>
    <m/>
    <m/>
    <m/>
    <m/>
    <m/>
    <m/>
    <m/>
    <m/>
    <m/>
    <m/>
    <m/>
    <m/>
    <m/>
    <m/>
  </r>
  <r>
    <x v="5"/>
    <x v="40"/>
    <m/>
    <m/>
    <m/>
    <m/>
    <m/>
    <m/>
    <m/>
    <m/>
    <m/>
    <m/>
    <m/>
    <m/>
    <m/>
    <m/>
    <m/>
    <m/>
    <m/>
  </r>
  <r>
    <x v="5"/>
    <x v="41"/>
    <m/>
    <m/>
    <m/>
    <m/>
    <m/>
    <m/>
    <m/>
    <m/>
    <m/>
    <m/>
    <m/>
    <m/>
    <m/>
    <m/>
    <m/>
    <m/>
    <m/>
  </r>
  <r>
    <x v="5"/>
    <x v="42"/>
    <m/>
    <m/>
    <m/>
    <m/>
    <m/>
    <m/>
    <m/>
    <m/>
    <m/>
    <m/>
    <m/>
    <m/>
    <m/>
    <m/>
    <m/>
    <m/>
    <m/>
  </r>
  <r>
    <x v="5"/>
    <x v="43"/>
    <m/>
    <m/>
    <m/>
    <m/>
    <m/>
    <m/>
    <m/>
    <m/>
    <m/>
    <m/>
    <m/>
    <m/>
    <m/>
    <m/>
    <m/>
    <m/>
    <m/>
  </r>
  <r>
    <x v="5"/>
    <x v="44"/>
    <m/>
    <m/>
    <m/>
    <m/>
    <m/>
    <m/>
    <m/>
    <m/>
    <m/>
    <m/>
    <m/>
    <m/>
    <m/>
    <m/>
    <m/>
    <m/>
    <m/>
  </r>
  <r>
    <x v="5"/>
    <x v="45"/>
    <m/>
    <m/>
    <m/>
    <m/>
    <m/>
    <m/>
    <m/>
    <m/>
    <m/>
    <m/>
    <m/>
    <m/>
    <m/>
    <m/>
    <m/>
    <m/>
    <m/>
  </r>
  <r>
    <x v="5"/>
    <x v="46"/>
    <m/>
    <m/>
    <m/>
    <m/>
    <m/>
    <m/>
    <m/>
    <m/>
    <m/>
    <m/>
    <m/>
    <m/>
    <m/>
    <m/>
    <m/>
    <m/>
    <m/>
  </r>
  <r>
    <x v="5"/>
    <x v="47"/>
    <m/>
    <m/>
    <m/>
    <m/>
    <m/>
    <m/>
    <m/>
    <m/>
    <m/>
    <m/>
    <m/>
    <m/>
    <m/>
    <m/>
    <m/>
    <m/>
    <m/>
  </r>
  <r>
    <x v="5"/>
    <x v="48"/>
    <m/>
    <m/>
    <m/>
    <m/>
    <m/>
    <m/>
    <m/>
    <m/>
    <m/>
    <m/>
    <m/>
    <m/>
    <m/>
    <m/>
    <m/>
    <m/>
    <m/>
  </r>
  <r>
    <x v="5"/>
    <x v="49"/>
    <m/>
    <m/>
    <m/>
    <m/>
    <m/>
    <m/>
    <m/>
    <m/>
    <m/>
    <m/>
    <m/>
    <m/>
    <m/>
    <m/>
    <m/>
    <m/>
    <m/>
  </r>
  <r>
    <x v="5"/>
    <x v="50"/>
    <m/>
    <m/>
    <m/>
    <m/>
    <m/>
    <m/>
    <m/>
    <m/>
    <m/>
    <m/>
    <m/>
    <m/>
    <m/>
    <m/>
    <m/>
    <m/>
    <m/>
  </r>
  <r>
    <x v="5"/>
    <x v="51"/>
    <m/>
    <m/>
    <m/>
    <m/>
    <m/>
    <m/>
    <m/>
    <m/>
    <m/>
    <m/>
    <m/>
    <m/>
    <m/>
    <m/>
    <m/>
    <m/>
    <m/>
  </r>
  <r>
    <x v="6"/>
    <x v="0"/>
    <m/>
    <m/>
    <m/>
    <m/>
    <m/>
    <m/>
    <m/>
    <m/>
    <m/>
    <m/>
    <m/>
    <m/>
    <m/>
    <m/>
    <m/>
    <m/>
    <m/>
  </r>
  <r>
    <x v="6"/>
    <x v="1"/>
    <m/>
    <m/>
    <m/>
    <m/>
    <m/>
    <m/>
    <m/>
    <m/>
    <m/>
    <m/>
    <m/>
    <m/>
    <m/>
    <m/>
    <m/>
    <m/>
    <m/>
  </r>
  <r>
    <x v="6"/>
    <x v="2"/>
    <m/>
    <m/>
    <m/>
    <m/>
    <m/>
    <m/>
    <m/>
    <m/>
    <m/>
    <m/>
    <m/>
    <m/>
    <m/>
    <m/>
    <m/>
    <m/>
    <m/>
  </r>
  <r>
    <x v="6"/>
    <x v="3"/>
    <m/>
    <m/>
    <m/>
    <m/>
    <m/>
    <m/>
    <m/>
    <m/>
    <m/>
    <m/>
    <m/>
    <m/>
    <m/>
    <m/>
    <m/>
    <m/>
    <m/>
  </r>
  <r>
    <x v="6"/>
    <x v="4"/>
    <m/>
    <m/>
    <m/>
    <m/>
    <m/>
    <m/>
    <m/>
    <m/>
    <m/>
    <m/>
    <m/>
    <m/>
    <m/>
    <m/>
    <m/>
    <m/>
    <m/>
  </r>
  <r>
    <x v="6"/>
    <x v="5"/>
    <m/>
    <m/>
    <m/>
    <m/>
    <m/>
    <m/>
    <m/>
    <m/>
    <m/>
    <m/>
    <m/>
    <m/>
    <m/>
    <m/>
    <m/>
    <m/>
    <m/>
  </r>
  <r>
    <x v="6"/>
    <x v="6"/>
    <m/>
    <m/>
    <m/>
    <m/>
    <m/>
    <m/>
    <m/>
    <m/>
    <m/>
    <m/>
    <m/>
    <m/>
    <m/>
    <m/>
    <m/>
    <m/>
    <m/>
  </r>
  <r>
    <x v="6"/>
    <x v="7"/>
    <m/>
    <n v="1"/>
    <m/>
    <n v="1"/>
    <m/>
    <n v="1"/>
    <m/>
    <m/>
    <m/>
    <m/>
    <n v="1"/>
    <m/>
    <m/>
    <m/>
    <m/>
    <m/>
    <m/>
  </r>
  <r>
    <x v="6"/>
    <x v="8"/>
    <m/>
    <m/>
    <m/>
    <m/>
    <m/>
    <m/>
    <m/>
    <m/>
    <m/>
    <m/>
    <m/>
    <m/>
    <m/>
    <m/>
    <m/>
    <m/>
    <m/>
  </r>
  <r>
    <x v="6"/>
    <x v="9"/>
    <m/>
    <m/>
    <m/>
    <m/>
    <m/>
    <m/>
    <m/>
    <m/>
    <m/>
    <m/>
    <m/>
    <m/>
    <m/>
    <m/>
    <m/>
    <m/>
    <m/>
  </r>
  <r>
    <x v="6"/>
    <x v="10"/>
    <m/>
    <m/>
    <m/>
    <m/>
    <m/>
    <m/>
    <m/>
    <m/>
    <m/>
    <m/>
    <m/>
    <m/>
    <m/>
    <m/>
    <m/>
    <m/>
    <m/>
  </r>
  <r>
    <x v="6"/>
    <x v="11"/>
    <m/>
    <m/>
    <m/>
    <m/>
    <m/>
    <m/>
    <m/>
    <m/>
    <m/>
    <m/>
    <m/>
    <m/>
    <m/>
    <m/>
    <m/>
    <m/>
    <m/>
  </r>
  <r>
    <x v="6"/>
    <x v="12"/>
    <m/>
    <m/>
    <m/>
    <m/>
    <m/>
    <m/>
    <m/>
    <m/>
    <m/>
    <m/>
    <m/>
    <m/>
    <m/>
    <m/>
    <m/>
    <m/>
    <m/>
  </r>
  <r>
    <x v="6"/>
    <x v="13"/>
    <m/>
    <m/>
    <m/>
    <m/>
    <m/>
    <m/>
    <m/>
    <m/>
    <m/>
    <m/>
    <m/>
    <m/>
    <m/>
    <m/>
    <m/>
    <m/>
    <m/>
  </r>
  <r>
    <x v="6"/>
    <x v="14"/>
    <m/>
    <m/>
    <m/>
    <m/>
    <m/>
    <m/>
    <n v="3"/>
    <n v="3"/>
    <m/>
    <m/>
    <m/>
    <m/>
    <n v="1"/>
    <m/>
    <n v="1"/>
    <n v="1"/>
    <m/>
  </r>
  <r>
    <x v="6"/>
    <x v="15"/>
    <m/>
    <m/>
    <m/>
    <m/>
    <m/>
    <m/>
    <m/>
    <m/>
    <m/>
    <m/>
    <m/>
    <m/>
    <m/>
    <m/>
    <m/>
    <m/>
    <m/>
  </r>
  <r>
    <x v="6"/>
    <x v="16"/>
    <m/>
    <m/>
    <m/>
    <m/>
    <m/>
    <m/>
    <m/>
    <m/>
    <m/>
    <m/>
    <m/>
    <m/>
    <m/>
    <m/>
    <m/>
    <m/>
    <m/>
  </r>
  <r>
    <x v="6"/>
    <x v="17"/>
    <m/>
    <m/>
    <m/>
    <m/>
    <m/>
    <m/>
    <m/>
    <m/>
    <m/>
    <m/>
    <m/>
    <m/>
    <m/>
    <m/>
    <m/>
    <m/>
    <m/>
  </r>
  <r>
    <x v="6"/>
    <x v="18"/>
    <m/>
    <m/>
    <m/>
    <m/>
    <m/>
    <m/>
    <m/>
    <m/>
    <m/>
    <m/>
    <m/>
    <m/>
    <m/>
    <m/>
    <m/>
    <m/>
    <m/>
  </r>
  <r>
    <x v="6"/>
    <x v="19"/>
    <m/>
    <m/>
    <m/>
    <m/>
    <m/>
    <m/>
    <m/>
    <m/>
    <m/>
    <m/>
    <m/>
    <m/>
    <m/>
    <m/>
    <m/>
    <m/>
    <m/>
  </r>
  <r>
    <x v="6"/>
    <x v="20"/>
    <m/>
    <m/>
    <m/>
    <m/>
    <m/>
    <m/>
    <m/>
    <m/>
    <m/>
    <m/>
    <m/>
    <m/>
    <m/>
    <m/>
    <m/>
    <m/>
    <m/>
  </r>
  <r>
    <x v="6"/>
    <x v="21"/>
    <m/>
    <m/>
    <m/>
    <m/>
    <m/>
    <m/>
    <m/>
    <m/>
    <m/>
    <m/>
    <m/>
    <m/>
    <m/>
    <m/>
    <m/>
    <m/>
    <m/>
  </r>
  <r>
    <x v="6"/>
    <x v="22"/>
    <m/>
    <m/>
    <m/>
    <m/>
    <m/>
    <m/>
    <m/>
    <m/>
    <m/>
    <m/>
    <m/>
    <m/>
    <m/>
    <m/>
    <m/>
    <m/>
    <m/>
  </r>
  <r>
    <x v="6"/>
    <x v="23"/>
    <m/>
    <m/>
    <m/>
    <m/>
    <m/>
    <m/>
    <m/>
    <m/>
    <m/>
    <m/>
    <m/>
    <m/>
    <m/>
    <m/>
    <m/>
    <m/>
    <m/>
  </r>
  <r>
    <x v="6"/>
    <x v="24"/>
    <m/>
    <m/>
    <m/>
    <m/>
    <m/>
    <m/>
    <m/>
    <m/>
    <m/>
    <m/>
    <m/>
    <m/>
    <m/>
    <m/>
    <m/>
    <m/>
    <m/>
  </r>
  <r>
    <x v="6"/>
    <x v="25"/>
    <m/>
    <m/>
    <m/>
    <m/>
    <m/>
    <m/>
    <m/>
    <m/>
    <m/>
    <m/>
    <m/>
    <m/>
    <m/>
    <m/>
    <m/>
    <m/>
    <m/>
  </r>
  <r>
    <x v="6"/>
    <x v="26"/>
    <m/>
    <m/>
    <m/>
    <m/>
    <m/>
    <m/>
    <m/>
    <m/>
    <m/>
    <m/>
    <m/>
    <m/>
    <m/>
    <m/>
    <m/>
    <m/>
    <m/>
  </r>
  <r>
    <x v="6"/>
    <x v="52"/>
    <n v="1"/>
    <m/>
    <n v="1"/>
    <m/>
    <n v="1"/>
    <m/>
    <n v="3"/>
    <n v="3"/>
    <m/>
    <m/>
    <n v="1"/>
    <n v="1"/>
    <n v="1"/>
    <m/>
    <n v="1"/>
    <n v="1"/>
    <m/>
  </r>
  <r>
    <x v="6"/>
    <x v="27"/>
    <m/>
    <m/>
    <m/>
    <m/>
    <m/>
    <m/>
    <m/>
    <m/>
    <m/>
    <m/>
    <m/>
    <m/>
    <m/>
    <m/>
    <m/>
    <m/>
    <m/>
  </r>
  <r>
    <x v="6"/>
    <x v="28"/>
    <m/>
    <m/>
    <m/>
    <m/>
    <m/>
    <m/>
    <m/>
    <m/>
    <m/>
    <m/>
    <m/>
    <m/>
    <m/>
    <m/>
    <m/>
    <m/>
    <m/>
  </r>
  <r>
    <x v="6"/>
    <x v="29"/>
    <m/>
    <m/>
    <m/>
    <m/>
    <m/>
    <m/>
    <n v="3"/>
    <n v="3"/>
    <m/>
    <m/>
    <m/>
    <m/>
    <n v="1"/>
    <m/>
    <n v="1"/>
    <n v="1"/>
    <m/>
  </r>
  <r>
    <x v="6"/>
    <x v="30"/>
    <m/>
    <m/>
    <m/>
    <m/>
    <m/>
    <m/>
    <n v="3"/>
    <n v="3"/>
    <m/>
    <m/>
    <m/>
    <m/>
    <n v="1"/>
    <m/>
    <n v="1"/>
    <n v="1"/>
    <m/>
  </r>
  <r>
    <x v="6"/>
    <x v="31"/>
    <n v="1"/>
    <n v="3"/>
    <n v="1"/>
    <n v="2"/>
    <n v="1"/>
    <n v="2"/>
    <n v="21"/>
    <n v="14"/>
    <m/>
    <n v="1"/>
    <n v="2"/>
    <n v="2"/>
    <n v="11"/>
    <n v="1"/>
    <n v="15"/>
    <n v="12"/>
    <m/>
  </r>
  <r>
    <x v="6"/>
    <x v="32"/>
    <m/>
    <m/>
    <m/>
    <m/>
    <m/>
    <m/>
    <m/>
    <m/>
    <m/>
    <m/>
    <m/>
    <m/>
    <m/>
    <m/>
    <m/>
    <m/>
    <m/>
  </r>
  <r>
    <x v="6"/>
    <x v="33"/>
    <m/>
    <m/>
    <m/>
    <m/>
    <m/>
    <m/>
    <m/>
    <m/>
    <m/>
    <m/>
    <m/>
    <m/>
    <m/>
    <m/>
    <m/>
    <m/>
    <m/>
  </r>
  <r>
    <x v="6"/>
    <x v="34"/>
    <m/>
    <m/>
    <m/>
    <m/>
    <m/>
    <m/>
    <m/>
    <m/>
    <m/>
    <m/>
    <m/>
    <m/>
    <m/>
    <m/>
    <m/>
    <m/>
    <m/>
  </r>
  <r>
    <x v="6"/>
    <x v="35"/>
    <m/>
    <m/>
    <m/>
    <m/>
    <m/>
    <m/>
    <m/>
    <m/>
    <m/>
    <m/>
    <m/>
    <m/>
    <m/>
    <m/>
    <m/>
    <m/>
    <m/>
  </r>
  <r>
    <x v="6"/>
    <x v="36"/>
    <m/>
    <m/>
    <m/>
    <m/>
    <m/>
    <m/>
    <m/>
    <m/>
    <m/>
    <m/>
    <m/>
    <m/>
    <m/>
    <m/>
    <m/>
    <m/>
    <m/>
  </r>
  <r>
    <x v="6"/>
    <x v="53"/>
    <n v="1"/>
    <n v="2"/>
    <m/>
    <n v="1"/>
    <n v="1"/>
    <n v="3"/>
    <n v="9"/>
    <n v="6"/>
    <n v="8"/>
    <m/>
    <n v="1"/>
    <m/>
    <n v="2"/>
    <n v="1"/>
    <n v="2"/>
    <n v="2"/>
    <m/>
  </r>
  <r>
    <x v="6"/>
    <x v="37"/>
    <m/>
    <m/>
    <m/>
    <m/>
    <m/>
    <m/>
    <m/>
    <m/>
    <m/>
    <m/>
    <m/>
    <m/>
    <m/>
    <m/>
    <m/>
    <m/>
    <m/>
  </r>
  <r>
    <x v="6"/>
    <x v="38"/>
    <m/>
    <m/>
    <m/>
    <m/>
    <m/>
    <m/>
    <m/>
    <m/>
    <m/>
    <m/>
    <m/>
    <m/>
    <m/>
    <m/>
    <m/>
    <m/>
    <m/>
  </r>
  <r>
    <x v="6"/>
    <x v="39"/>
    <n v="1"/>
    <m/>
    <n v="1"/>
    <m/>
    <n v="1"/>
    <m/>
    <n v="3"/>
    <n v="4"/>
    <m/>
    <m/>
    <n v="2"/>
    <m/>
    <m/>
    <n v="1"/>
    <n v="1"/>
    <m/>
    <m/>
  </r>
  <r>
    <x v="6"/>
    <x v="40"/>
    <m/>
    <m/>
    <m/>
    <m/>
    <m/>
    <m/>
    <m/>
    <m/>
    <m/>
    <m/>
    <m/>
    <m/>
    <m/>
    <m/>
    <m/>
    <m/>
    <m/>
  </r>
  <r>
    <x v="6"/>
    <x v="41"/>
    <m/>
    <m/>
    <m/>
    <m/>
    <m/>
    <m/>
    <m/>
    <m/>
    <m/>
    <m/>
    <m/>
    <m/>
    <m/>
    <m/>
    <m/>
    <m/>
    <m/>
  </r>
  <r>
    <x v="6"/>
    <x v="42"/>
    <m/>
    <m/>
    <m/>
    <m/>
    <m/>
    <m/>
    <m/>
    <m/>
    <m/>
    <m/>
    <m/>
    <m/>
    <m/>
    <m/>
    <m/>
    <m/>
    <m/>
  </r>
  <r>
    <x v="6"/>
    <x v="43"/>
    <m/>
    <m/>
    <m/>
    <m/>
    <m/>
    <m/>
    <m/>
    <m/>
    <m/>
    <m/>
    <m/>
    <m/>
    <m/>
    <m/>
    <m/>
    <m/>
    <m/>
  </r>
  <r>
    <x v="6"/>
    <x v="44"/>
    <m/>
    <m/>
    <m/>
    <m/>
    <m/>
    <m/>
    <m/>
    <m/>
    <m/>
    <m/>
    <m/>
    <m/>
    <m/>
    <m/>
    <m/>
    <m/>
    <m/>
  </r>
  <r>
    <x v="6"/>
    <x v="45"/>
    <m/>
    <m/>
    <m/>
    <m/>
    <m/>
    <m/>
    <m/>
    <m/>
    <m/>
    <m/>
    <m/>
    <m/>
    <m/>
    <m/>
    <m/>
    <m/>
    <m/>
  </r>
  <r>
    <x v="6"/>
    <x v="46"/>
    <m/>
    <m/>
    <m/>
    <m/>
    <m/>
    <m/>
    <m/>
    <m/>
    <m/>
    <m/>
    <m/>
    <m/>
    <m/>
    <m/>
    <m/>
    <m/>
    <m/>
  </r>
  <r>
    <x v="6"/>
    <x v="47"/>
    <m/>
    <m/>
    <m/>
    <m/>
    <m/>
    <m/>
    <m/>
    <m/>
    <m/>
    <m/>
    <m/>
    <m/>
    <m/>
    <m/>
    <m/>
    <m/>
    <m/>
  </r>
  <r>
    <x v="6"/>
    <x v="48"/>
    <m/>
    <m/>
    <m/>
    <m/>
    <m/>
    <m/>
    <m/>
    <m/>
    <m/>
    <m/>
    <m/>
    <m/>
    <m/>
    <m/>
    <m/>
    <m/>
    <m/>
  </r>
  <r>
    <x v="6"/>
    <x v="49"/>
    <m/>
    <m/>
    <m/>
    <m/>
    <m/>
    <m/>
    <m/>
    <m/>
    <m/>
    <m/>
    <m/>
    <m/>
    <m/>
    <m/>
    <m/>
    <m/>
    <m/>
  </r>
  <r>
    <x v="6"/>
    <x v="50"/>
    <m/>
    <m/>
    <m/>
    <m/>
    <m/>
    <m/>
    <m/>
    <m/>
    <m/>
    <m/>
    <m/>
    <m/>
    <m/>
    <m/>
    <m/>
    <m/>
    <m/>
  </r>
  <r>
    <x v="6"/>
    <x v="51"/>
    <m/>
    <m/>
    <m/>
    <m/>
    <m/>
    <m/>
    <m/>
    <m/>
    <m/>
    <m/>
    <m/>
    <m/>
    <m/>
    <m/>
    <m/>
    <m/>
    <m/>
  </r>
  <r>
    <x v="7"/>
    <x v="0"/>
    <m/>
    <m/>
    <m/>
    <m/>
    <m/>
    <m/>
    <m/>
    <m/>
    <m/>
    <m/>
    <m/>
    <m/>
    <m/>
    <m/>
    <m/>
    <m/>
    <m/>
  </r>
  <r>
    <x v="7"/>
    <x v="1"/>
    <m/>
    <m/>
    <m/>
    <m/>
    <m/>
    <m/>
    <m/>
    <m/>
    <m/>
    <m/>
    <m/>
    <m/>
    <m/>
    <m/>
    <m/>
    <m/>
    <m/>
  </r>
  <r>
    <x v="7"/>
    <x v="2"/>
    <m/>
    <m/>
    <m/>
    <m/>
    <m/>
    <m/>
    <m/>
    <m/>
    <m/>
    <m/>
    <m/>
    <m/>
    <m/>
    <m/>
    <m/>
    <m/>
    <m/>
  </r>
  <r>
    <x v="7"/>
    <x v="3"/>
    <m/>
    <m/>
    <m/>
    <m/>
    <m/>
    <m/>
    <m/>
    <m/>
    <m/>
    <m/>
    <m/>
    <m/>
    <m/>
    <m/>
    <m/>
    <m/>
    <m/>
  </r>
  <r>
    <x v="7"/>
    <x v="4"/>
    <m/>
    <m/>
    <m/>
    <m/>
    <m/>
    <m/>
    <m/>
    <m/>
    <m/>
    <m/>
    <m/>
    <m/>
    <m/>
    <m/>
    <m/>
    <m/>
    <m/>
  </r>
  <r>
    <x v="7"/>
    <x v="5"/>
    <m/>
    <m/>
    <m/>
    <m/>
    <m/>
    <m/>
    <n v="2"/>
    <n v="4"/>
    <n v="2"/>
    <m/>
    <n v="4"/>
    <n v="2"/>
    <n v="2"/>
    <m/>
    <n v="1"/>
    <m/>
    <m/>
  </r>
  <r>
    <x v="7"/>
    <x v="6"/>
    <m/>
    <m/>
    <m/>
    <m/>
    <m/>
    <m/>
    <m/>
    <m/>
    <m/>
    <m/>
    <m/>
    <m/>
    <m/>
    <m/>
    <m/>
    <m/>
    <m/>
  </r>
  <r>
    <x v="7"/>
    <x v="7"/>
    <m/>
    <m/>
    <m/>
    <m/>
    <m/>
    <m/>
    <m/>
    <m/>
    <m/>
    <m/>
    <m/>
    <m/>
    <m/>
    <m/>
    <m/>
    <m/>
    <m/>
  </r>
  <r>
    <x v="7"/>
    <x v="8"/>
    <m/>
    <m/>
    <m/>
    <m/>
    <m/>
    <m/>
    <m/>
    <m/>
    <m/>
    <m/>
    <m/>
    <m/>
    <m/>
    <m/>
    <m/>
    <m/>
    <m/>
  </r>
  <r>
    <x v="7"/>
    <x v="9"/>
    <m/>
    <m/>
    <m/>
    <m/>
    <m/>
    <m/>
    <n v="1"/>
    <m/>
    <m/>
    <m/>
    <n v="1"/>
    <m/>
    <n v="1"/>
    <n v="1"/>
    <n v="1"/>
    <n v="1"/>
    <m/>
  </r>
  <r>
    <x v="7"/>
    <x v="10"/>
    <m/>
    <m/>
    <m/>
    <m/>
    <m/>
    <m/>
    <m/>
    <m/>
    <m/>
    <m/>
    <m/>
    <m/>
    <m/>
    <m/>
    <m/>
    <m/>
    <m/>
  </r>
  <r>
    <x v="7"/>
    <x v="11"/>
    <m/>
    <m/>
    <m/>
    <m/>
    <m/>
    <m/>
    <m/>
    <m/>
    <m/>
    <m/>
    <m/>
    <m/>
    <m/>
    <m/>
    <m/>
    <m/>
    <m/>
  </r>
  <r>
    <x v="7"/>
    <x v="12"/>
    <m/>
    <m/>
    <m/>
    <m/>
    <m/>
    <m/>
    <m/>
    <m/>
    <m/>
    <m/>
    <m/>
    <m/>
    <m/>
    <m/>
    <m/>
    <m/>
    <m/>
  </r>
  <r>
    <x v="7"/>
    <x v="13"/>
    <m/>
    <m/>
    <m/>
    <m/>
    <m/>
    <m/>
    <m/>
    <m/>
    <m/>
    <m/>
    <m/>
    <m/>
    <m/>
    <m/>
    <m/>
    <m/>
    <m/>
  </r>
  <r>
    <x v="7"/>
    <x v="14"/>
    <m/>
    <m/>
    <m/>
    <m/>
    <m/>
    <m/>
    <m/>
    <m/>
    <m/>
    <m/>
    <m/>
    <n v="1"/>
    <m/>
    <n v="1"/>
    <m/>
    <m/>
    <m/>
  </r>
  <r>
    <x v="7"/>
    <x v="15"/>
    <m/>
    <m/>
    <m/>
    <m/>
    <m/>
    <m/>
    <m/>
    <m/>
    <m/>
    <m/>
    <m/>
    <m/>
    <m/>
    <m/>
    <m/>
    <m/>
    <m/>
  </r>
  <r>
    <x v="7"/>
    <x v="16"/>
    <m/>
    <m/>
    <m/>
    <m/>
    <m/>
    <m/>
    <m/>
    <m/>
    <m/>
    <m/>
    <m/>
    <m/>
    <m/>
    <m/>
    <m/>
    <m/>
    <m/>
  </r>
  <r>
    <x v="7"/>
    <x v="17"/>
    <m/>
    <m/>
    <m/>
    <m/>
    <m/>
    <m/>
    <m/>
    <m/>
    <m/>
    <m/>
    <m/>
    <m/>
    <m/>
    <m/>
    <m/>
    <m/>
    <m/>
  </r>
  <r>
    <x v="7"/>
    <x v="18"/>
    <n v="5"/>
    <m/>
    <m/>
    <m/>
    <m/>
    <m/>
    <m/>
    <m/>
    <m/>
    <m/>
    <m/>
    <n v="1"/>
    <m/>
    <m/>
    <m/>
    <m/>
    <m/>
  </r>
  <r>
    <x v="7"/>
    <x v="19"/>
    <m/>
    <m/>
    <m/>
    <m/>
    <m/>
    <m/>
    <m/>
    <m/>
    <m/>
    <m/>
    <m/>
    <m/>
    <m/>
    <m/>
    <m/>
    <m/>
    <m/>
  </r>
  <r>
    <x v="7"/>
    <x v="20"/>
    <m/>
    <m/>
    <m/>
    <m/>
    <m/>
    <m/>
    <m/>
    <n v="4"/>
    <n v="1"/>
    <n v="4"/>
    <n v="5"/>
    <n v="8"/>
    <n v="1"/>
    <n v="9"/>
    <n v="3"/>
    <n v="2"/>
    <m/>
  </r>
  <r>
    <x v="7"/>
    <x v="21"/>
    <m/>
    <m/>
    <m/>
    <m/>
    <m/>
    <m/>
    <m/>
    <m/>
    <m/>
    <m/>
    <m/>
    <m/>
    <m/>
    <m/>
    <m/>
    <m/>
    <m/>
  </r>
  <r>
    <x v="7"/>
    <x v="22"/>
    <m/>
    <m/>
    <m/>
    <m/>
    <m/>
    <m/>
    <m/>
    <m/>
    <m/>
    <m/>
    <m/>
    <m/>
    <m/>
    <m/>
    <m/>
    <m/>
    <m/>
  </r>
  <r>
    <x v="7"/>
    <x v="23"/>
    <m/>
    <m/>
    <m/>
    <m/>
    <m/>
    <m/>
    <m/>
    <n v="4"/>
    <m/>
    <n v="4"/>
    <m/>
    <n v="8"/>
    <m/>
    <n v="4"/>
    <m/>
    <m/>
    <m/>
  </r>
  <r>
    <x v="7"/>
    <x v="24"/>
    <m/>
    <m/>
    <m/>
    <m/>
    <m/>
    <m/>
    <m/>
    <m/>
    <m/>
    <m/>
    <m/>
    <m/>
    <m/>
    <m/>
    <m/>
    <m/>
    <m/>
  </r>
  <r>
    <x v="7"/>
    <x v="25"/>
    <m/>
    <m/>
    <m/>
    <m/>
    <m/>
    <m/>
    <m/>
    <m/>
    <m/>
    <m/>
    <m/>
    <m/>
    <m/>
    <m/>
    <m/>
    <m/>
    <m/>
  </r>
  <r>
    <x v="7"/>
    <x v="26"/>
    <m/>
    <m/>
    <m/>
    <m/>
    <m/>
    <m/>
    <m/>
    <n v="4"/>
    <m/>
    <n v="4"/>
    <m/>
    <n v="8"/>
    <m/>
    <n v="4"/>
    <m/>
    <m/>
    <m/>
  </r>
  <r>
    <x v="7"/>
    <x v="27"/>
    <m/>
    <m/>
    <m/>
    <m/>
    <m/>
    <m/>
    <m/>
    <m/>
    <m/>
    <m/>
    <m/>
    <m/>
    <m/>
    <m/>
    <m/>
    <m/>
    <m/>
  </r>
  <r>
    <x v="7"/>
    <x v="28"/>
    <m/>
    <m/>
    <m/>
    <m/>
    <m/>
    <m/>
    <m/>
    <m/>
    <m/>
    <m/>
    <n v="3"/>
    <n v="2"/>
    <n v="3"/>
    <n v="2"/>
    <n v="2"/>
    <n v="3"/>
    <m/>
  </r>
  <r>
    <x v="7"/>
    <x v="29"/>
    <m/>
    <m/>
    <m/>
    <m/>
    <m/>
    <m/>
    <n v="3"/>
    <m/>
    <n v="5"/>
    <m/>
    <n v="3"/>
    <n v="5"/>
    <n v="1"/>
    <n v="3"/>
    <m/>
    <n v="8"/>
    <m/>
  </r>
  <r>
    <x v="7"/>
    <x v="30"/>
    <m/>
    <m/>
    <m/>
    <m/>
    <m/>
    <m/>
    <n v="4"/>
    <m/>
    <n v="5"/>
    <m/>
    <n v="4"/>
    <n v="5"/>
    <m/>
    <n v="4"/>
    <m/>
    <n v="4"/>
    <m/>
  </r>
  <r>
    <x v="7"/>
    <x v="31"/>
    <n v="44"/>
    <m/>
    <n v="1"/>
    <m/>
    <m/>
    <m/>
    <n v="38"/>
    <n v="37"/>
    <n v="1"/>
    <m/>
    <n v="6"/>
    <n v="21"/>
    <n v="6"/>
    <n v="16"/>
    <n v="6"/>
    <n v="12"/>
    <m/>
  </r>
  <r>
    <x v="7"/>
    <x v="32"/>
    <m/>
    <m/>
    <m/>
    <m/>
    <m/>
    <m/>
    <m/>
    <m/>
    <m/>
    <m/>
    <m/>
    <m/>
    <m/>
    <m/>
    <m/>
    <m/>
    <m/>
  </r>
  <r>
    <x v="7"/>
    <x v="33"/>
    <m/>
    <m/>
    <m/>
    <m/>
    <m/>
    <m/>
    <m/>
    <m/>
    <m/>
    <m/>
    <m/>
    <m/>
    <m/>
    <m/>
    <m/>
    <m/>
    <m/>
  </r>
  <r>
    <x v="7"/>
    <x v="34"/>
    <n v="4"/>
    <m/>
    <m/>
    <m/>
    <m/>
    <m/>
    <m/>
    <m/>
    <m/>
    <m/>
    <m/>
    <n v="1"/>
    <n v="1"/>
    <m/>
    <m/>
    <m/>
    <m/>
  </r>
  <r>
    <x v="7"/>
    <x v="35"/>
    <n v="3"/>
    <m/>
    <m/>
    <m/>
    <m/>
    <m/>
    <n v="2"/>
    <n v="3"/>
    <n v="2"/>
    <n v="2"/>
    <n v="5"/>
    <n v="2"/>
    <n v="2"/>
    <n v="4"/>
    <n v="2"/>
    <n v="2"/>
    <m/>
  </r>
  <r>
    <x v="7"/>
    <x v="36"/>
    <m/>
    <m/>
    <m/>
    <m/>
    <m/>
    <m/>
    <n v="3"/>
    <n v="2"/>
    <n v="1"/>
    <m/>
    <n v="1"/>
    <n v="5"/>
    <m/>
    <n v="5"/>
    <m/>
    <m/>
    <m/>
  </r>
  <r>
    <x v="7"/>
    <x v="37"/>
    <m/>
    <m/>
    <m/>
    <m/>
    <m/>
    <m/>
    <m/>
    <m/>
    <m/>
    <m/>
    <m/>
    <m/>
    <m/>
    <m/>
    <m/>
    <m/>
    <m/>
  </r>
  <r>
    <x v="7"/>
    <x v="38"/>
    <m/>
    <m/>
    <m/>
    <m/>
    <m/>
    <m/>
    <m/>
    <m/>
    <m/>
    <m/>
    <m/>
    <m/>
    <m/>
    <m/>
    <m/>
    <m/>
    <m/>
  </r>
  <r>
    <x v="7"/>
    <x v="39"/>
    <m/>
    <m/>
    <m/>
    <m/>
    <m/>
    <m/>
    <n v="3"/>
    <m/>
    <n v="5"/>
    <m/>
    <n v="2"/>
    <n v="5"/>
    <n v="1"/>
    <n v="2"/>
    <m/>
    <n v="7"/>
    <m/>
  </r>
  <r>
    <x v="7"/>
    <x v="40"/>
    <m/>
    <m/>
    <m/>
    <m/>
    <m/>
    <m/>
    <m/>
    <m/>
    <m/>
    <m/>
    <n v="2"/>
    <m/>
    <m/>
    <n v="2"/>
    <n v="1"/>
    <m/>
    <m/>
  </r>
  <r>
    <x v="7"/>
    <x v="41"/>
    <m/>
    <m/>
    <m/>
    <m/>
    <m/>
    <m/>
    <m/>
    <m/>
    <m/>
    <m/>
    <m/>
    <m/>
    <m/>
    <m/>
    <m/>
    <m/>
    <m/>
  </r>
  <r>
    <x v="7"/>
    <x v="42"/>
    <m/>
    <m/>
    <m/>
    <m/>
    <m/>
    <m/>
    <m/>
    <m/>
    <m/>
    <m/>
    <m/>
    <n v="3"/>
    <m/>
    <n v="3"/>
    <m/>
    <m/>
    <m/>
  </r>
  <r>
    <x v="7"/>
    <x v="43"/>
    <m/>
    <m/>
    <m/>
    <m/>
    <m/>
    <m/>
    <m/>
    <m/>
    <m/>
    <m/>
    <m/>
    <m/>
    <m/>
    <m/>
    <m/>
    <m/>
    <m/>
  </r>
  <r>
    <x v="7"/>
    <x v="44"/>
    <m/>
    <m/>
    <m/>
    <m/>
    <m/>
    <m/>
    <m/>
    <m/>
    <m/>
    <m/>
    <m/>
    <m/>
    <m/>
    <m/>
    <m/>
    <m/>
    <m/>
  </r>
  <r>
    <x v="7"/>
    <x v="45"/>
    <m/>
    <m/>
    <m/>
    <m/>
    <m/>
    <m/>
    <m/>
    <m/>
    <m/>
    <m/>
    <m/>
    <m/>
    <m/>
    <m/>
    <m/>
    <m/>
    <m/>
  </r>
  <r>
    <x v="7"/>
    <x v="46"/>
    <m/>
    <m/>
    <m/>
    <m/>
    <m/>
    <m/>
    <m/>
    <m/>
    <m/>
    <m/>
    <m/>
    <m/>
    <m/>
    <m/>
    <m/>
    <m/>
    <m/>
  </r>
  <r>
    <x v="7"/>
    <x v="47"/>
    <m/>
    <m/>
    <m/>
    <m/>
    <m/>
    <m/>
    <m/>
    <m/>
    <m/>
    <m/>
    <m/>
    <m/>
    <m/>
    <m/>
    <m/>
    <m/>
    <m/>
  </r>
  <r>
    <x v="7"/>
    <x v="48"/>
    <m/>
    <m/>
    <m/>
    <m/>
    <m/>
    <m/>
    <m/>
    <m/>
    <m/>
    <m/>
    <m/>
    <m/>
    <m/>
    <m/>
    <m/>
    <m/>
    <m/>
  </r>
  <r>
    <x v="7"/>
    <x v="49"/>
    <m/>
    <m/>
    <m/>
    <m/>
    <m/>
    <m/>
    <m/>
    <m/>
    <m/>
    <m/>
    <m/>
    <n v="2"/>
    <m/>
    <n v="1"/>
    <m/>
    <m/>
    <m/>
  </r>
  <r>
    <x v="7"/>
    <x v="50"/>
    <m/>
    <m/>
    <m/>
    <m/>
    <m/>
    <m/>
    <m/>
    <m/>
    <m/>
    <m/>
    <m/>
    <m/>
    <m/>
    <m/>
    <m/>
    <m/>
    <m/>
  </r>
  <r>
    <x v="7"/>
    <x v="51"/>
    <m/>
    <m/>
    <m/>
    <m/>
    <m/>
    <m/>
    <m/>
    <m/>
    <m/>
    <m/>
    <m/>
    <m/>
    <m/>
    <m/>
    <m/>
    <m/>
    <m/>
  </r>
  <r>
    <x v="7"/>
    <x v="54"/>
    <m/>
    <m/>
    <m/>
    <m/>
    <m/>
    <m/>
    <m/>
    <m/>
    <m/>
    <m/>
    <m/>
    <n v="2"/>
    <m/>
    <n v="2"/>
    <m/>
    <m/>
    <m/>
  </r>
  <r>
    <x v="7"/>
    <x v="55"/>
    <m/>
    <m/>
    <m/>
    <m/>
    <m/>
    <m/>
    <m/>
    <m/>
    <m/>
    <m/>
    <m/>
    <n v="9"/>
    <m/>
    <n v="7"/>
    <m/>
    <n v="9"/>
    <m/>
  </r>
  <r>
    <x v="8"/>
    <x v="0"/>
    <m/>
    <m/>
    <m/>
    <m/>
    <m/>
    <m/>
    <m/>
    <m/>
    <m/>
    <m/>
    <m/>
    <m/>
    <m/>
    <m/>
    <m/>
    <m/>
    <m/>
  </r>
  <r>
    <x v="8"/>
    <x v="1"/>
    <m/>
    <m/>
    <m/>
    <m/>
    <m/>
    <m/>
    <m/>
    <m/>
    <m/>
    <m/>
    <m/>
    <m/>
    <m/>
    <m/>
    <m/>
    <m/>
    <m/>
  </r>
  <r>
    <x v="8"/>
    <x v="2"/>
    <m/>
    <m/>
    <m/>
    <m/>
    <m/>
    <m/>
    <m/>
    <m/>
    <m/>
    <m/>
    <m/>
    <m/>
    <m/>
    <m/>
    <m/>
    <m/>
    <m/>
  </r>
  <r>
    <x v="8"/>
    <x v="3"/>
    <m/>
    <m/>
    <m/>
    <m/>
    <m/>
    <m/>
    <n v="2"/>
    <m/>
    <m/>
    <m/>
    <m/>
    <m/>
    <n v="2"/>
    <n v="5"/>
    <n v="3"/>
    <m/>
    <m/>
  </r>
  <r>
    <x v="8"/>
    <x v="4"/>
    <m/>
    <m/>
    <m/>
    <m/>
    <m/>
    <m/>
    <m/>
    <m/>
    <m/>
    <m/>
    <m/>
    <m/>
    <m/>
    <m/>
    <m/>
    <m/>
    <m/>
  </r>
  <r>
    <x v="8"/>
    <x v="5"/>
    <m/>
    <m/>
    <m/>
    <m/>
    <m/>
    <m/>
    <m/>
    <m/>
    <m/>
    <m/>
    <m/>
    <m/>
    <m/>
    <m/>
    <m/>
    <m/>
    <m/>
  </r>
  <r>
    <x v="8"/>
    <x v="6"/>
    <m/>
    <m/>
    <m/>
    <m/>
    <m/>
    <m/>
    <m/>
    <m/>
    <m/>
    <m/>
    <m/>
    <m/>
    <m/>
    <m/>
    <m/>
    <m/>
    <m/>
  </r>
  <r>
    <x v="8"/>
    <x v="7"/>
    <m/>
    <m/>
    <m/>
    <m/>
    <m/>
    <m/>
    <m/>
    <m/>
    <m/>
    <m/>
    <m/>
    <m/>
    <m/>
    <m/>
    <m/>
    <m/>
    <m/>
  </r>
  <r>
    <x v="8"/>
    <x v="8"/>
    <m/>
    <m/>
    <m/>
    <m/>
    <m/>
    <m/>
    <m/>
    <m/>
    <m/>
    <m/>
    <m/>
    <m/>
    <m/>
    <m/>
    <m/>
    <m/>
    <m/>
  </r>
  <r>
    <x v="8"/>
    <x v="9"/>
    <m/>
    <m/>
    <m/>
    <m/>
    <m/>
    <m/>
    <m/>
    <m/>
    <m/>
    <m/>
    <m/>
    <m/>
    <m/>
    <m/>
    <m/>
    <m/>
    <m/>
  </r>
  <r>
    <x v="8"/>
    <x v="10"/>
    <m/>
    <m/>
    <m/>
    <m/>
    <m/>
    <m/>
    <m/>
    <m/>
    <m/>
    <m/>
    <m/>
    <m/>
    <m/>
    <m/>
    <m/>
    <m/>
    <m/>
  </r>
  <r>
    <x v="8"/>
    <x v="11"/>
    <m/>
    <m/>
    <m/>
    <m/>
    <m/>
    <m/>
    <m/>
    <m/>
    <m/>
    <m/>
    <m/>
    <m/>
    <m/>
    <m/>
    <m/>
    <m/>
    <m/>
  </r>
  <r>
    <x v="8"/>
    <x v="12"/>
    <m/>
    <m/>
    <m/>
    <m/>
    <m/>
    <m/>
    <m/>
    <m/>
    <m/>
    <m/>
    <n v="3"/>
    <m/>
    <m/>
    <m/>
    <m/>
    <m/>
    <m/>
  </r>
  <r>
    <x v="8"/>
    <x v="13"/>
    <m/>
    <m/>
    <m/>
    <m/>
    <m/>
    <m/>
    <m/>
    <m/>
    <m/>
    <m/>
    <m/>
    <m/>
    <m/>
    <m/>
    <m/>
    <m/>
    <m/>
  </r>
  <r>
    <x v="8"/>
    <x v="14"/>
    <m/>
    <m/>
    <m/>
    <m/>
    <m/>
    <m/>
    <m/>
    <m/>
    <m/>
    <m/>
    <n v="6"/>
    <n v="8"/>
    <m/>
    <n v="2"/>
    <n v="4"/>
    <m/>
    <m/>
  </r>
  <r>
    <x v="8"/>
    <x v="15"/>
    <m/>
    <m/>
    <m/>
    <m/>
    <m/>
    <m/>
    <m/>
    <m/>
    <m/>
    <m/>
    <m/>
    <m/>
    <m/>
    <n v="2"/>
    <m/>
    <m/>
    <m/>
  </r>
  <r>
    <x v="8"/>
    <x v="16"/>
    <m/>
    <m/>
    <m/>
    <m/>
    <m/>
    <m/>
    <m/>
    <m/>
    <m/>
    <m/>
    <m/>
    <m/>
    <m/>
    <m/>
    <m/>
    <m/>
    <m/>
  </r>
  <r>
    <x v="8"/>
    <x v="17"/>
    <m/>
    <m/>
    <m/>
    <m/>
    <m/>
    <m/>
    <m/>
    <m/>
    <m/>
    <m/>
    <m/>
    <m/>
    <m/>
    <m/>
    <m/>
    <m/>
    <m/>
  </r>
  <r>
    <x v="8"/>
    <x v="18"/>
    <m/>
    <m/>
    <m/>
    <m/>
    <m/>
    <m/>
    <m/>
    <m/>
    <m/>
    <m/>
    <m/>
    <m/>
    <m/>
    <m/>
    <m/>
    <m/>
    <m/>
  </r>
  <r>
    <x v="8"/>
    <x v="19"/>
    <m/>
    <m/>
    <m/>
    <m/>
    <m/>
    <m/>
    <m/>
    <m/>
    <m/>
    <m/>
    <m/>
    <m/>
    <m/>
    <m/>
    <m/>
    <m/>
    <m/>
  </r>
  <r>
    <x v="8"/>
    <x v="20"/>
    <m/>
    <m/>
    <m/>
    <m/>
    <m/>
    <m/>
    <n v="5"/>
    <m/>
    <m/>
    <m/>
    <m/>
    <m/>
    <m/>
    <m/>
    <m/>
    <m/>
    <m/>
  </r>
  <r>
    <x v="8"/>
    <x v="21"/>
    <m/>
    <m/>
    <m/>
    <m/>
    <m/>
    <m/>
    <m/>
    <m/>
    <m/>
    <m/>
    <m/>
    <m/>
    <m/>
    <m/>
    <m/>
    <m/>
    <m/>
  </r>
  <r>
    <x v="8"/>
    <x v="22"/>
    <m/>
    <m/>
    <m/>
    <m/>
    <m/>
    <m/>
    <m/>
    <m/>
    <m/>
    <m/>
    <m/>
    <m/>
    <m/>
    <m/>
    <m/>
    <m/>
    <m/>
  </r>
  <r>
    <x v="8"/>
    <x v="23"/>
    <m/>
    <m/>
    <m/>
    <m/>
    <m/>
    <m/>
    <m/>
    <m/>
    <m/>
    <m/>
    <m/>
    <m/>
    <n v="2"/>
    <n v="4"/>
    <m/>
    <m/>
    <m/>
  </r>
  <r>
    <x v="8"/>
    <x v="24"/>
    <m/>
    <m/>
    <m/>
    <m/>
    <m/>
    <m/>
    <m/>
    <m/>
    <m/>
    <m/>
    <m/>
    <m/>
    <m/>
    <m/>
    <m/>
    <m/>
    <m/>
  </r>
  <r>
    <x v="8"/>
    <x v="25"/>
    <m/>
    <m/>
    <m/>
    <m/>
    <m/>
    <m/>
    <n v="5"/>
    <m/>
    <m/>
    <m/>
    <m/>
    <m/>
    <m/>
    <m/>
    <m/>
    <n v="5"/>
    <m/>
  </r>
  <r>
    <x v="8"/>
    <x v="26"/>
    <m/>
    <m/>
    <m/>
    <m/>
    <m/>
    <m/>
    <n v="15"/>
    <m/>
    <m/>
    <m/>
    <n v="6"/>
    <m/>
    <m/>
    <m/>
    <m/>
    <n v="5"/>
    <m/>
  </r>
  <r>
    <x v="8"/>
    <x v="27"/>
    <m/>
    <m/>
    <m/>
    <m/>
    <m/>
    <m/>
    <m/>
    <m/>
    <m/>
    <m/>
    <m/>
    <m/>
    <m/>
    <m/>
    <m/>
    <m/>
    <m/>
  </r>
  <r>
    <x v="8"/>
    <x v="28"/>
    <m/>
    <m/>
    <m/>
    <m/>
    <m/>
    <m/>
    <m/>
    <m/>
    <m/>
    <m/>
    <m/>
    <m/>
    <m/>
    <m/>
    <m/>
    <m/>
    <m/>
  </r>
  <r>
    <x v="8"/>
    <x v="29"/>
    <m/>
    <m/>
    <m/>
    <m/>
    <m/>
    <m/>
    <m/>
    <m/>
    <m/>
    <m/>
    <m/>
    <m/>
    <n v="2"/>
    <n v="4"/>
    <m/>
    <m/>
    <m/>
  </r>
  <r>
    <x v="8"/>
    <x v="30"/>
    <m/>
    <m/>
    <m/>
    <m/>
    <m/>
    <m/>
    <m/>
    <m/>
    <m/>
    <m/>
    <n v="2"/>
    <m/>
    <m/>
    <m/>
    <m/>
    <m/>
    <m/>
  </r>
  <r>
    <x v="8"/>
    <x v="31"/>
    <m/>
    <m/>
    <m/>
    <m/>
    <m/>
    <m/>
    <n v="58"/>
    <m/>
    <n v="3"/>
    <m/>
    <n v="8"/>
    <n v="13"/>
    <m/>
    <n v="1"/>
    <n v="34"/>
    <n v="38"/>
    <m/>
  </r>
  <r>
    <x v="8"/>
    <x v="32"/>
    <m/>
    <m/>
    <m/>
    <m/>
    <m/>
    <m/>
    <m/>
    <m/>
    <m/>
    <m/>
    <m/>
    <m/>
    <m/>
    <m/>
    <m/>
    <m/>
    <m/>
  </r>
  <r>
    <x v="8"/>
    <x v="33"/>
    <m/>
    <m/>
    <m/>
    <m/>
    <m/>
    <m/>
    <m/>
    <m/>
    <m/>
    <m/>
    <m/>
    <m/>
    <m/>
    <m/>
    <m/>
    <m/>
    <m/>
  </r>
  <r>
    <x v="8"/>
    <x v="34"/>
    <m/>
    <m/>
    <m/>
    <m/>
    <m/>
    <m/>
    <m/>
    <m/>
    <m/>
    <m/>
    <m/>
    <m/>
    <m/>
    <m/>
    <m/>
    <m/>
    <m/>
  </r>
  <r>
    <x v="8"/>
    <x v="35"/>
    <m/>
    <m/>
    <m/>
    <m/>
    <m/>
    <m/>
    <n v="6"/>
    <m/>
    <m/>
    <m/>
    <n v="5"/>
    <m/>
    <n v="2"/>
    <n v="2"/>
    <n v="2"/>
    <m/>
    <m/>
  </r>
  <r>
    <x v="8"/>
    <x v="36"/>
    <m/>
    <m/>
    <m/>
    <m/>
    <m/>
    <m/>
    <n v="5"/>
    <m/>
    <m/>
    <m/>
    <m/>
    <m/>
    <n v="1"/>
    <m/>
    <n v="1"/>
    <n v="5"/>
    <m/>
  </r>
  <r>
    <x v="8"/>
    <x v="37"/>
    <m/>
    <m/>
    <m/>
    <m/>
    <m/>
    <m/>
    <m/>
    <m/>
    <m/>
    <m/>
    <m/>
    <m/>
    <m/>
    <m/>
    <m/>
    <m/>
    <m/>
  </r>
  <r>
    <x v="8"/>
    <x v="38"/>
    <m/>
    <m/>
    <m/>
    <m/>
    <m/>
    <m/>
    <m/>
    <m/>
    <m/>
    <m/>
    <m/>
    <m/>
    <m/>
    <m/>
    <m/>
    <m/>
    <m/>
  </r>
  <r>
    <x v="8"/>
    <x v="39"/>
    <m/>
    <m/>
    <m/>
    <m/>
    <m/>
    <m/>
    <m/>
    <m/>
    <m/>
    <m/>
    <m/>
    <m/>
    <m/>
    <m/>
    <m/>
    <m/>
    <m/>
  </r>
  <r>
    <x v="8"/>
    <x v="40"/>
    <m/>
    <m/>
    <m/>
    <m/>
    <m/>
    <m/>
    <m/>
    <m/>
    <m/>
    <m/>
    <m/>
    <m/>
    <m/>
    <m/>
    <m/>
    <m/>
    <m/>
  </r>
  <r>
    <x v="8"/>
    <x v="41"/>
    <m/>
    <m/>
    <m/>
    <m/>
    <m/>
    <m/>
    <m/>
    <m/>
    <m/>
    <m/>
    <m/>
    <m/>
    <m/>
    <m/>
    <m/>
    <m/>
    <m/>
  </r>
  <r>
    <x v="8"/>
    <x v="42"/>
    <m/>
    <m/>
    <m/>
    <m/>
    <m/>
    <m/>
    <n v="65"/>
    <m/>
    <m/>
    <m/>
    <n v="12"/>
    <n v="9"/>
    <m/>
    <n v="5"/>
    <n v="2"/>
    <n v="5"/>
    <m/>
  </r>
  <r>
    <x v="8"/>
    <x v="43"/>
    <m/>
    <m/>
    <m/>
    <m/>
    <m/>
    <m/>
    <m/>
    <m/>
    <m/>
    <m/>
    <m/>
    <m/>
    <m/>
    <m/>
    <m/>
    <m/>
    <m/>
  </r>
  <r>
    <x v="8"/>
    <x v="44"/>
    <m/>
    <m/>
    <m/>
    <m/>
    <m/>
    <m/>
    <m/>
    <m/>
    <m/>
    <m/>
    <m/>
    <m/>
    <m/>
    <m/>
    <m/>
    <m/>
    <m/>
  </r>
  <r>
    <x v="8"/>
    <x v="45"/>
    <m/>
    <m/>
    <m/>
    <m/>
    <m/>
    <m/>
    <m/>
    <m/>
    <m/>
    <m/>
    <m/>
    <m/>
    <m/>
    <m/>
    <m/>
    <m/>
    <m/>
  </r>
  <r>
    <x v="8"/>
    <x v="46"/>
    <m/>
    <m/>
    <m/>
    <m/>
    <m/>
    <m/>
    <m/>
    <m/>
    <m/>
    <m/>
    <m/>
    <m/>
    <m/>
    <m/>
    <m/>
    <m/>
    <m/>
  </r>
  <r>
    <x v="8"/>
    <x v="47"/>
    <m/>
    <m/>
    <m/>
    <m/>
    <m/>
    <m/>
    <n v="2"/>
    <m/>
    <n v="2"/>
    <m/>
    <m/>
    <m/>
    <n v="2"/>
    <n v="1"/>
    <m/>
    <n v="2"/>
    <m/>
  </r>
  <r>
    <x v="8"/>
    <x v="48"/>
    <m/>
    <m/>
    <m/>
    <m/>
    <m/>
    <m/>
    <m/>
    <m/>
    <m/>
    <m/>
    <m/>
    <m/>
    <m/>
    <m/>
    <m/>
    <m/>
    <m/>
  </r>
  <r>
    <x v="8"/>
    <x v="49"/>
    <m/>
    <m/>
    <m/>
    <m/>
    <m/>
    <m/>
    <m/>
    <m/>
    <m/>
    <m/>
    <m/>
    <m/>
    <m/>
    <m/>
    <m/>
    <m/>
    <m/>
  </r>
  <r>
    <x v="8"/>
    <x v="50"/>
    <m/>
    <m/>
    <m/>
    <m/>
    <m/>
    <m/>
    <n v="5"/>
    <m/>
    <m/>
    <m/>
    <m/>
    <m/>
    <m/>
    <m/>
    <m/>
    <n v="5"/>
    <m/>
  </r>
  <r>
    <x v="8"/>
    <x v="51"/>
    <m/>
    <m/>
    <m/>
    <m/>
    <m/>
    <m/>
    <n v="1"/>
    <m/>
    <m/>
    <n v="2"/>
    <n v="4"/>
    <n v="6"/>
    <m/>
    <n v="1"/>
    <n v="1"/>
    <m/>
    <m/>
  </r>
  <r>
    <x v="9"/>
    <x v="0"/>
    <m/>
    <m/>
    <m/>
    <m/>
    <m/>
    <m/>
    <m/>
    <m/>
    <m/>
    <m/>
    <m/>
    <m/>
    <m/>
    <m/>
    <m/>
    <m/>
    <m/>
  </r>
  <r>
    <x v="9"/>
    <x v="1"/>
    <m/>
    <m/>
    <m/>
    <m/>
    <m/>
    <m/>
    <m/>
    <m/>
    <m/>
    <m/>
    <m/>
    <m/>
    <m/>
    <m/>
    <m/>
    <m/>
    <m/>
  </r>
  <r>
    <x v="9"/>
    <x v="2"/>
    <m/>
    <m/>
    <m/>
    <m/>
    <m/>
    <m/>
    <m/>
    <m/>
    <m/>
    <m/>
    <m/>
    <m/>
    <m/>
    <m/>
    <m/>
    <m/>
    <m/>
  </r>
  <r>
    <x v="9"/>
    <x v="3"/>
    <m/>
    <m/>
    <m/>
    <m/>
    <m/>
    <m/>
    <m/>
    <m/>
    <m/>
    <m/>
    <m/>
    <m/>
    <m/>
    <m/>
    <m/>
    <m/>
    <m/>
  </r>
  <r>
    <x v="9"/>
    <x v="4"/>
    <m/>
    <m/>
    <m/>
    <m/>
    <m/>
    <m/>
    <m/>
    <m/>
    <m/>
    <m/>
    <m/>
    <m/>
    <m/>
    <m/>
    <m/>
    <m/>
    <m/>
  </r>
  <r>
    <x v="9"/>
    <x v="5"/>
    <m/>
    <m/>
    <m/>
    <m/>
    <m/>
    <m/>
    <m/>
    <m/>
    <m/>
    <m/>
    <m/>
    <m/>
    <m/>
    <m/>
    <m/>
    <m/>
    <m/>
  </r>
  <r>
    <x v="9"/>
    <x v="6"/>
    <m/>
    <m/>
    <m/>
    <m/>
    <m/>
    <m/>
    <m/>
    <m/>
    <m/>
    <m/>
    <m/>
    <m/>
    <m/>
    <m/>
    <m/>
    <m/>
    <m/>
  </r>
  <r>
    <x v="9"/>
    <x v="7"/>
    <m/>
    <m/>
    <m/>
    <m/>
    <m/>
    <m/>
    <m/>
    <m/>
    <m/>
    <m/>
    <m/>
    <m/>
    <m/>
    <m/>
    <m/>
    <m/>
    <m/>
  </r>
  <r>
    <x v="9"/>
    <x v="8"/>
    <m/>
    <m/>
    <m/>
    <m/>
    <m/>
    <m/>
    <m/>
    <m/>
    <m/>
    <m/>
    <m/>
    <m/>
    <m/>
    <m/>
    <m/>
    <m/>
    <m/>
  </r>
  <r>
    <x v="9"/>
    <x v="9"/>
    <m/>
    <m/>
    <m/>
    <m/>
    <m/>
    <m/>
    <m/>
    <m/>
    <m/>
    <m/>
    <m/>
    <m/>
    <m/>
    <m/>
    <m/>
    <m/>
    <m/>
  </r>
  <r>
    <x v="9"/>
    <x v="10"/>
    <m/>
    <m/>
    <m/>
    <m/>
    <m/>
    <m/>
    <m/>
    <m/>
    <m/>
    <m/>
    <m/>
    <m/>
    <m/>
    <m/>
    <m/>
    <m/>
    <m/>
  </r>
  <r>
    <x v="9"/>
    <x v="11"/>
    <m/>
    <m/>
    <m/>
    <m/>
    <m/>
    <m/>
    <m/>
    <m/>
    <m/>
    <m/>
    <m/>
    <m/>
    <m/>
    <m/>
    <m/>
    <m/>
    <m/>
  </r>
  <r>
    <x v="9"/>
    <x v="12"/>
    <m/>
    <m/>
    <m/>
    <m/>
    <m/>
    <m/>
    <m/>
    <m/>
    <m/>
    <m/>
    <m/>
    <m/>
    <m/>
    <m/>
    <m/>
    <m/>
    <m/>
  </r>
  <r>
    <x v="9"/>
    <x v="13"/>
    <m/>
    <m/>
    <m/>
    <m/>
    <m/>
    <m/>
    <m/>
    <m/>
    <m/>
    <m/>
    <m/>
    <m/>
    <m/>
    <m/>
    <m/>
    <m/>
    <m/>
  </r>
  <r>
    <x v="9"/>
    <x v="14"/>
    <m/>
    <m/>
    <m/>
    <m/>
    <m/>
    <m/>
    <m/>
    <m/>
    <m/>
    <m/>
    <m/>
    <m/>
    <m/>
    <m/>
    <m/>
    <m/>
    <m/>
  </r>
  <r>
    <x v="9"/>
    <x v="15"/>
    <m/>
    <m/>
    <m/>
    <m/>
    <m/>
    <m/>
    <m/>
    <m/>
    <m/>
    <m/>
    <m/>
    <m/>
    <m/>
    <m/>
    <m/>
    <m/>
    <m/>
  </r>
  <r>
    <x v="9"/>
    <x v="16"/>
    <m/>
    <m/>
    <m/>
    <m/>
    <m/>
    <m/>
    <m/>
    <m/>
    <m/>
    <m/>
    <m/>
    <m/>
    <m/>
    <m/>
    <m/>
    <m/>
    <m/>
  </r>
  <r>
    <x v="9"/>
    <x v="17"/>
    <m/>
    <m/>
    <m/>
    <m/>
    <m/>
    <m/>
    <m/>
    <m/>
    <m/>
    <m/>
    <m/>
    <m/>
    <m/>
    <m/>
    <m/>
    <m/>
    <m/>
  </r>
  <r>
    <x v="9"/>
    <x v="18"/>
    <m/>
    <m/>
    <m/>
    <m/>
    <m/>
    <m/>
    <m/>
    <m/>
    <m/>
    <m/>
    <m/>
    <m/>
    <m/>
    <m/>
    <m/>
    <m/>
    <m/>
  </r>
  <r>
    <x v="9"/>
    <x v="19"/>
    <m/>
    <m/>
    <m/>
    <m/>
    <m/>
    <m/>
    <m/>
    <m/>
    <m/>
    <m/>
    <m/>
    <m/>
    <m/>
    <m/>
    <m/>
    <m/>
    <m/>
  </r>
  <r>
    <x v="9"/>
    <x v="20"/>
    <m/>
    <m/>
    <m/>
    <m/>
    <m/>
    <m/>
    <m/>
    <m/>
    <m/>
    <m/>
    <m/>
    <m/>
    <m/>
    <m/>
    <m/>
    <m/>
    <m/>
  </r>
  <r>
    <x v="9"/>
    <x v="21"/>
    <m/>
    <m/>
    <m/>
    <m/>
    <m/>
    <m/>
    <m/>
    <m/>
    <m/>
    <m/>
    <m/>
    <m/>
    <m/>
    <m/>
    <m/>
    <m/>
    <m/>
  </r>
  <r>
    <x v="9"/>
    <x v="22"/>
    <m/>
    <m/>
    <m/>
    <m/>
    <m/>
    <m/>
    <m/>
    <m/>
    <m/>
    <m/>
    <m/>
    <m/>
    <m/>
    <m/>
    <m/>
    <m/>
    <m/>
  </r>
  <r>
    <x v="9"/>
    <x v="23"/>
    <m/>
    <m/>
    <m/>
    <m/>
    <m/>
    <m/>
    <m/>
    <m/>
    <m/>
    <m/>
    <m/>
    <m/>
    <m/>
    <m/>
    <m/>
    <m/>
    <m/>
  </r>
  <r>
    <x v="9"/>
    <x v="24"/>
    <m/>
    <m/>
    <m/>
    <m/>
    <m/>
    <m/>
    <m/>
    <m/>
    <m/>
    <m/>
    <m/>
    <m/>
    <m/>
    <m/>
    <m/>
    <m/>
    <m/>
  </r>
  <r>
    <x v="9"/>
    <x v="25"/>
    <m/>
    <m/>
    <m/>
    <m/>
    <m/>
    <m/>
    <m/>
    <m/>
    <m/>
    <m/>
    <m/>
    <m/>
    <m/>
    <m/>
    <m/>
    <m/>
    <m/>
  </r>
  <r>
    <x v="9"/>
    <x v="26"/>
    <m/>
    <m/>
    <m/>
    <m/>
    <m/>
    <m/>
    <m/>
    <m/>
    <m/>
    <m/>
    <m/>
    <m/>
    <m/>
    <m/>
    <m/>
    <m/>
    <m/>
  </r>
  <r>
    <x v="9"/>
    <x v="27"/>
    <m/>
    <m/>
    <m/>
    <m/>
    <m/>
    <m/>
    <m/>
    <m/>
    <m/>
    <m/>
    <m/>
    <m/>
    <m/>
    <m/>
    <m/>
    <m/>
    <m/>
  </r>
  <r>
    <x v="9"/>
    <x v="28"/>
    <m/>
    <m/>
    <m/>
    <m/>
    <m/>
    <m/>
    <m/>
    <m/>
    <m/>
    <m/>
    <m/>
    <m/>
    <m/>
    <m/>
    <m/>
    <m/>
    <m/>
  </r>
  <r>
    <x v="9"/>
    <x v="29"/>
    <m/>
    <m/>
    <m/>
    <m/>
    <m/>
    <m/>
    <m/>
    <m/>
    <m/>
    <m/>
    <m/>
    <m/>
    <m/>
    <m/>
    <m/>
    <m/>
    <m/>
  </r>
  <r>
    <x v="9"/>
    <x v="30"/>
    <m/>
    <m/>
    <m/>
    <m/>
    <m/>
    <m/>
    <m/>
    <m/>
    <m/>
    <m/>
    <m/>
    <m/>
    <m/>
    <m/>
    <m/>
    <m/>
    <m/>
  </r>
  <r>
    <x v="9"/>
    <x v="31"/>
    <m/>
    <m/>
    <m/>
    <m/>
    <m/>
    <m/>
    <m/>
    <n v="1"/>
    <n v="1"/>
    <m/>
    <m/>
    <n v="1"/>
    <m/>
    <m/>
    <n v="1"/>
    <n v="4"/>
    <m/>
  </r>
  <r>
    <x v="9"/>
    <x v="32"/>
    <m/>
    <m/>
    <m/>
    <m/>
    <m/>
    <m/>
    <m/>
    <m/>
    <m/>
    <m/>
    <m/>
    <m/>
    <m/>
    <m/>
    <m/>
    <m/>
    <m/>
  </r>
  <r>
    <x v="9"/>
    <x v="33"/>
    <m/>
    <m/>
    <m/>
    <m/>
    <m/>
    <m/>
    <m/>
    <m/>
    <m/>
    <m/>
    <m/>
    <m/>
    <m/>
    <m/>
    <m/>
    <m/>
    <m/>
  </r>
  <r>
    <x v="9"/>
    <x v="34"/>
    <m/>
    <m/>
    <m/>
    <m/>
    <m/>
    <m/>
    <m/>
    <m/>
    <m/>
    <m/>
    <m/>
    <m/>
    <m/>
    <m/>
    <m/>
    <m/>
    <m/>
  </r>
  <r>
    <x v="9"/>
    <x v="35"/>
    <m/>
    <m/>
    <m/>
    <m/>
    <m/>
    <m/>
    <m/>
    <m/>
    <m/>
    <m/>
    <m/>
    <m/>
    <m/>
    <m/>
    <m/>
    <m/>
    <m/>
  </r>
  <r>
    <x v="9"/>
    <x v="36"/>
    <m/>
    <m/>
    <m/>
    <m/>
    <m/>
    <m/>
    <m/>
    <m/>
    <m/>
    <m/>
    <m/>
    <m/>
    <m/>
    <m/>
    <m/>
    <m/>
    <m/>
  </r>
  <r>
    <x v="9"/>
    <x v="37"/>
    <m/>
    <m/>
    <m/>
    <m/>
    <m/>
    <m/>
    <m/>
    <m/>
    <m/>
    <m/>
    <m/>
    <m/>
    <m/>
    <m/>
    <m/>
    <m/>
    <m/>
  </r>
  <r>
    <x v="9"/>
    <x v="38"/>
    <m/>
    <m/>
    <m/>
    <m/>
    <m/>
    <m/>
    <m/>
    <m/>
    <m/>
    <m/>
    <m/>
    <m/>
    <m/>
    <m/>
    <m/>
    <m/>
    <m/>
  </r>
  <r>
    <x v="9"/>
    <x v="39"/>
    <m/>
    <m/>
    <m/>
    <m/>
    <m/>
    <m/>
    <m/>
    <m/>
    <m/>
    <m/>
    <m/>
    <m/>
    <m/>
    <m/>
    <m/>
    <m/>
    <m/>
  </r>
  <r>
    <x v="9"/>
    <x v="40"/>
    <m/>
    <m/>
    <m/>
    <m/>
    <m/>
    <m/>
    <m/>
    <m/>
    <m/>
    <m/>
    <m/>
    <m/>
    <m/>
    <m/>
    <m/>
    <m/>
    <m/>
  </r>
  <r>
    <x v="9"/>
    <x v="41"/>
    <m/>
    <m/>
    <m/>
    <m/>
    <m/>
    <m/>
    <m/>
    <m/>
    <m/>
    <m/>
    <m/>
    <m/>
    <m/>
    <m/>
    <m/>
    <m/>
    <m/>
  </r>
  <r>
    <x v="9"/>
    <x v="42"/>
    <m/>
    <m/>
    <m/>
    <m/>
    <m/>
    <m/>
    <m/>
    <m/>
    <m/>
    <m/>
    <m/>
    <m/>
    <m/>
    <m/>
    <m/>
    <m/>
    <m/>
  </r>
  <r>
    <x v="9"/>
    <x v="43"/>
    <m/>
    <m/>
    <m/>
    <m/>
    <m/>
    <m/>
    <m/>
    <m/>
    <m/>
    <m/>
    <m/>
    <m/>
    <m/>
    <m/>
    <m/>
    <m/>
    <m/>
  </r>
  <r>
    <x v="9"/>
    <x v="44"/>
    <m/>
    <m/>
    <m/>
    <m/>
    <m/>
    <m/>
    <m/>
    <m/>
    <m/>
    <m/>
    <m/>
    <m/>
    <m/>
    <m/>
    <m/>
    <m/>
    <m/>
  </r>
  <r>
    <x v="9"/>
    <x v="45"/>
    <m/>
    <m/>
    <m/>
    <m/>
    <m/>
    <m/>
    <m/>
    <m/>
    <m/>
    <m/>
    <m/>
    <m/>
    <m/>
    <m/>
    <m/>
    <m/>
    <m/>
  </r>
  <r>
    <x v="9"/>
    <x v="46"/>
    <m/>
    <m/>
    <m/>
    <m/>
    <m/>
    <m/>
    <m/>
    <m/>
    <m/>
    <m/>
    <m/>
    <m/>
    <m/>
    <m/>
    <m/>
    <m/>
    <m/>
  </r>
  <r>
    <x v="9"/>
    <x v="47"/>
    <m/>
    <m/>
    <m/>
    <m/>
    <m/>
    <m/>
    <m/>
    <m/>
    <m/>
    <m/>
    <m/>
    <m/>
    <m/>
    <m/>
    <m/>
    <m/>
    <m/>
  </r>
  <r>
    <x v="9"/>
    <x v="48"/>
    <m/>
    <m/>
    <m/>
    <m/>
    <m/>
    <m/>
    <m/>
    <m/>
    <m/>
    <m/>
    <m/>
    <m/>
    <m/>
    <m/>
    <m/>
    <m/>
    <m/>
  </r>
  <r>
    <x v="9"/>
    <x v="49"/>
    <m/>
    <m/>
    <m/>
    <m/>
    <m/>
    <m/>
    <m/>
    <m/>
    <m/>
    <m/>
    <m/>
    <m/>
    <m/>
    <m/>
    <m/>
    <m/>
    <m/>
  </r>
  <r>
    <x v="9"/>
    <x v="50"/>
    <m/>
    <m/>
    <m/>
    <m/>
    <m/>
    <m/>
    <m/>
    <m/>
    <m/>
    <m/>
    <m/>
    <m/>
    <m/>
    <m/>
    <m/>
    <m/>
    <m/>
  </r>
  <r>
    <x v="9"/>
    <x v="51"/>
    <m/>
    <m/>
    <m/>
    <m/>
    <m/>
    <m/>
    <m/>
    <m/>
    <m/>
    <m/>
    <m/>
    <m/>
    <m/>
    <m/>
    <m/>
    <m/>
    <m/>
  </r>
  <r>
    <x v="10"/>
    <x v="0"/>
    <m/>
    <m/>
    <m/>
    <m/>
    <m/>
    <m/>
    <m/>
    <m/>
    <m/>
    <m/>
    <m/>
    <m/>
    <m/>
    <m/>
    <m/>
    <m/>
    <m/>
  </r>
  <r>
    <x v="10"/>
    <x v="1"/>
    <n v="1"/>
    <m/>
    <n v="1"/>
    <m/>
    <n v="1"/>
    <m/>
    <m/>
    <m/>
    <m/>
    <m/>
    <m/>
    <n v="3"/>
    <m/>
    <n v="1"/>
    <m/>
    <m/>
    <m/>
  </r>
  <r>
    <x v="10"/>
    <x v="2"/>
    <m/>
    <m/>
    <m/>
    <m/>
    <m/>
    <m/>
    <m/>
    <m/>
    <m/>
    <m/>
    <m/>
    <m/>
    <m/>
    <m/>
    <m/>
    <m/>
    <m/>
  </r>
  <r>
    <x v="10"/>
    <x v="3"/>
    <m/>
    <m/>
    <m/>
    <m/>
    <m/>
    <m/>
    <m/>
    <m/>
    <m/>
    <m/>
    <m/>
    <m/>
    <m/>
    <m/>
    <m/>
    <m/>
    <m/>
  </r>
  <r>
    <x v="10"/>
    <x v="4"/>
    <m/>
    <m/>
    <m/>
    <m/>
    <m/>
    <m/>
    <m/>
    <m/>
    <m/>
    <m/>
    <m/>
    <n v="2"/>
    <m/>
    <n v="3"/>
    <m/>
    <m/>
    <m/>
  </r>
  <r>
    <x v="10"/>
    <x v="5"/>
    <m/>
    <m/>
    <m/>
    <m/>
    <m/>
    <m/>
    <m/>
    <m/>
    <m/>
    <m/>
    <m/>
    <m/>
    <m/>
    <m/>
    <m/>
    <m/>
    <m/>
  </r>
  <r>
    <x v="10"/>
    <x v="6"/>
    <m/>
    <m/>
    <m/>
    <m/>
    <m/>
    <m/>
    <m/>
    <m/>
    <m/>
    <m/>
    <m/>
    <m/>
    <m/>
    <m/>
    <m/>
    <m/>
    <m/>
  </r>
  <r>
    <x v="10"/>
    <x v="7"/>
    <m/>
    <m/>
    <m/>
    <m/>
    <m/>
    <m/>
    <m/>
    <m/>
    <m/>
    <m/>
    <m/>
    <m/>
    <m/>
    <m/>
    <m/>
    <m/>
    <m/>
  </r>
  <r>
    <x v="10"/>
    <x v="8"/>
    <m/>
    <m/>
    <m/>
    <m/>
    <m/>
    <m/>
    <m/>
    <n v="2"/>
    <m/>
    <m/>
    <m/>
    <n v="6"/>
    <m/>
    <n v="6"/>
    <m/>
    <m/>
    <m/>
  </r>
  <r>
    <x v="10"/>
    <x v="9"/>
    <m/>
    <m/>
    <m/>
    <m/>
    <m/>
    <m/>
    <m/>
    <m/>
    <m/>
    <m/>
    <m/>
    <m/>
    <m/>
    <m/>
    <m/>
    <m/>
    <m/>
  </r>
  <r>
    <x v="10"/>
    <x v="10"/>
    <m/>
    <m/>
    <m/>
    <m/>
    <m/>
    <m/>
    <m/>
    <m/>
    <m/>
    <m/>
    <m/>
    <m/>
    <m/>
    <m/>
    <m/>
    <m/>
    <m/>
  </r>
  <r>
    <x v="10"/>
    <x v="11"/>
    <m/>
    <m/>
    <m/>
    <m/>
    <m/>
    <m/>
    <m/>
    <m/>
    <m/>
    <m/>
    <m/>
    <m/>
    <m/>
    <m/>
    <m/>
    <m/>
    <m/>
  </r>
  <r>
    <x v="10"/>
    <x v="12"/>
    <m/>
    <m/>
    <m/>
    <m/>
    <m/>
    <m/>
    <m/>
    <m/>
    <m/>
    <m/>
    <m/>
    <n v="2"/>
    <m/>
    <n v="2"/>
    <m/>
    <m/>
    <m/>
  </r>
  <r>
    <x v="10"/>
    <x v="13"/>
    <m/>
    <m/>
    <m/>
    <m/>
    <m/>
    <m/>
    <m/>
    <m/>
    <m/>
    <m/>
    <m/>
    <m/>
    <m/>
    <m/>
    <m/>
    <m/>
    <m/>
  </r>
  <r>
    <x v="10"/>
    <x v="14"/>
    <m/>
    <m/>
    <m/>
    <m/>
    <m/>
    <m/>
    <m/>
    <m/>
    <m/>
    <m/>
    <m/>
    <m/>
    <m/>
    <m/>
    <m/>
    <m/>
    <m/>
  </r>
  <r>
    <x v="10"/>
    <x v="15"/>
    <n v="7"/>
    <m/>
    <n v="5"/>
    <m/>
    <n v="5"/>
    <m/>
    <m/>
    <m/>
    <m/>
    <m/>
    <m/>
    <n v="7"/>
    <m/>
    <n v="4"/>
    <m/>
    <m/>
    <m/>
  </r>
  <r>
    <x v="10"/>
    <x v="16"/>
    <m/>
    <m/>
    <m/>
    <m/>
    <m/>
    <m/>
    <m/>
    <m/>
    <m/>
    <m/>
    <m/>
    <m/>
    <m/>
    <m/>
    <m/>
    <m/>
    <m/>
  </r>
  <r>
    <x v="10"/>
    <x v="17"/>
    <m/>
    <m/>
    <m/>
    <m/>
    <m/>
    <m/>
    <m/>
    <m/>
    <m/>
    <m/>
    <m/>
    <m/>
    <m/>
    <m/>
    <m/>
    <m/>
    <m/>
  </r>
  <r>
    <x v="10"/>
    <x v="18"/>
    <m/>
    <m/>
    <m/>
    <m/>
    <m/>
    <m/>
    <m/>
    <m/>
    <m/>
    <m/>
    <m/>
    <m/>
    <m/>
    <m/>
    <m/>
    <m/>
    <m/>
  </r>
  <r>
    <x v="10"/>
    <x v="19"/>
    <m/>
    <m/>
    <m/>
    <m/>
    <m/>
    <m/>
    <m/>
    <m/>
    <m/>
    <m/>
    <m/>
    <m/>
    <m/>
    <m/>
    <m/>
    <m/>
    <m/>
  </r>
  <r>
    <x v="10"/>
    <x v="20"/>
    <m/>
    <m/>
    <m/>
    <m/>
    <m/>
    <m/>
    <m/>
    <m/>
    <m/>
    <m/>
    <m/>
    <m/>
    <m/>
    <m/>
    <m/>
    <m/>
    <m/>
  </r>
  <r>
    <x v="10"/>
    <x v="21"/>
    <m/>
    <m/>
    <m/>
    <m/>
    <m/>
    <m/>
    <m/>
    <m/>
    <m/>
    <m/>
    <m/>
    <m/>
    <m/>
    <m/>
    <m/>
    <m/>
    <m/>
  </r>
  <r>
    <x v="10"/>
    <x v="22"/>
    <m/>
    <m/>
    <m/>
    <m/>
    <m/>
    <m/>
    <m/>
    <m/>
    <m/>
    <m/>
    <m/>
    <m/>
    <m/>
    <m/>
    <m/>
    <m/>
    <m/>
  </r>
  <r>
    <x v="10"/>
    <x v="23"/>
    <m/>
    <m/>
    <m/>
    <m/>
    <m/>
    <m/>
    <m/>
    <m/>
    <m/>
    <m/>
    <m/>
    <m/>
    <m/>
    <m/>
    <m/>
    <m/>
    <m/>
  </r>
  <r>
    <x v="10"/>
    <x v="24"/>
    <m/>
    <m/>
    <m/>
    <m/>
    <m/>
    <m/>
    <m/>
    <m/>
    <m/>
    <m/>
    <m/>
    <m/>
    <m/>
    <m/>
    <m/>
    <m/>
    <m/>
  </r>
  <r>
    <x v="10"/>
    <x v="25"/>
    <m/>
    <m/>
    <m/>
    <m/>
    <m/>
    <m/>
    <m/>
    <m/>
    <m/>
    <m/>
    <m/>
    <n v="1"/>
    <n v="1"/>
    <n v="1"/>
    <n v="1"/>
    <m/>
    <m/>
  </r>
  <r>
    <x v="10"/>
    <x v="26"/>
    <m/>
    <m/>
    <m/>
    <m/>
    <m/>
    <m/>
    <m/>
    <m/>
    <m/>
    <m/>
    <m/>
    <m/>
    <m/>
    <m/>
    <m/>
    <m/>
    <m/>
  </r>
  <r>
    <x v="10"/>
    <x v="27"/>
    <m/>
    <m/>
    <m/>
    <m/>
    <m/>
    <m/>
    <m/>
    <m/>
    <m/>
    <m/>
    <m/>
    <m/>
    <m/>
    <m/>
    <m/>
    <m/>
    <m/>
  </r>
  <r>
    <x v="10"/>
    <x v="28"/>
    <m/>
    <m/>
    <m/>
    <m/>
    <m/>
    <m/>
    <m/>
    <m/>
    <m/>
    <m/>
    <m/>
    <m/>
    <m/>
    <m/>
    <m/>
    <m/>
    <m/>
  </r>
  <r>
    <x v="10"/>
    <x v="29"/>
    <m/>
    <m/>
    <m/>
    <m/>
    <m/>
    <m/>
    <m/>
    <m/>
    <m/>
    <m/>
    <m/>
    <m/>
    <m/>
    <m/>
    <m/>
    <m/>
    <m/>
  </r>
  <r>
    <x v="10"/>
    <x v="30"/>
    <m/>
    <m/>
    <m/>
    <m/>
    <m/>
    <m/>
    <m/>
    <m/>
    <m/>
    <m/>
    <m/>
    <m/>
    <m/>
    <m/>
    <m/>
    <m/>
    <m/>
  </r>
  <r>
    <x v="10"/>
    <x v="31"/>
    <m/>
    <m/>
    <m/>
    <m/>
    <m/>
    <m/>
    <m/>
    <m/>
    <m/>
    <m/>
    <m/>
    <m/>
    <m/>
    <m/>
    <m/>
    <m/>
    <m/>
  </r>
  <r>
    <x v="10"/>
    <x v="32"/>
    <n v="11"/>
    <n v="11"/>
    <n v="11"/>
    <n v="11"/>
    <n v="4"/>
    <n v="4"/>
    <m/>
    <m/>
    <m/>
    <n v="2"/>
    <m/>
    <n v="11"/>
    <n v="12"/>
    <n v="2"/>
    <m/>
    <n v="12"/>
    <m/>
  </r>
  <r>
    <x v="10"/>
    <x v="33"/>
    <m/>
    <m/>
    <m/>
    <m/>
    <m/>
    <m/>
    <m/>
    <m/>
    <m/>
    <m/>
    <m/>
    <m/>
    <m/>
    <m/>
    <m/>
    <m/>
    <m/>
  </r>
  <r>
    <x v="10"/>
    <x v="34"/>
    <m/>
    <m/>
    <m/>
    <m/>
    <m/>
    <m/>
    <m/>
    <m/>
    <m/>
    <m/>
    <m/>
    <m/>
    <m/>
    <m/>
    <m/>
    <m/>
    <m/>
  </r>
  <r>
    <x v="10"/>
    <x v="35"/>
    <n v="4"/>
    <n v="11"/>
    <n v="2"/>
    <n v="10"/>
    <n v="2"/>
    <m/>
    <m/>
    <m/>
    <m/>
    <m/>
    <m/>
    <n v="6"/>
    <m/>
    <n v="4"/>
    <m/>
    <n v="6"/>
    <m/>
  </r>
  <r>
    <x v="10"/>
    <x v="36"/>
    <m/>
    <m/>
    <m/>
    <m/>
    <m/>
    <m/>
    <m/>
    <m/>
    <m/>
    <m/>
    <m/>
    <m/>
    <m/>
    <m/>
    <m/>
    <m/>
    <m/>
  </r>
  <r>
    <x v="10"/>
    <x v="37"/>
    <m/>
    <m/>
    <m/>
    <m/>
    <m/>
    <m/>
    <m/>
    <m/>
    <m/>
    <m/>
    <m/>
    <m/>
    <m/>
    <m/>
    <m/>
    <m/>
    <m/>
  </r>
  <r>
    <x v="10"/>
    <x v="38"/>
    <m/>
    <m/>
    <m/>
    <m/>
    <m/>
    <m/>
    <m/>
    <n v="1"/>
    <n v="3"/>
    <m/>
    <m/>
    <n v="2"/>
    <m/>
    <n v="2"/>
    <m/>
    <m/>
    <m/>
  </r>
  <r>
    <x v="10"/>
    <x v="39"/>
    <m/>
    <m/>
    <m/>
    <m/>
    <m/>
    <m/>
    <m/>
    <m/>
    <m/>
    <m/>
    <m/>
    <m/>
    <m/>
    <m/>
    <m/>
    <m/>
    <m/>
  </r>
  <r>
    <x v="10"/>
    <x v="40"/>
    <m/>
    <m/>
    <m/>
    <m/>
    <m/>
    <m/>
    <m/>
    <m/>
    <m/>
    <m/>
    <m/>
    <m/>
    <m/>
    <m/>
    <m/>
    <m/>
    <m/>
  </r>
  <r>
    <x v="10"/>
    <x v="41"/>
    <m/>
    <m/>
    <m/>
    <m/>
    <m/>
    <m/>
    <m/>
    <m/>
    <m/>
    <m/>
    <m/>
    <m/>
    <m/>
    <m/>
    <m/>
    <m/>
    <m/>
  </r>
  <r>
    <x v="10"/>
    <x v="42"/>
    <m/>
    <m/>
    <m/>
    <m/>
    <m/>
    <m/>
    <n v="1"/>
    <n v="2"/>
    <m/>
    <m/>
    <m/>
    <n v="7"/>
    <m/>
    <n v="7"/>
    <n v="1"/>
    <m/>
    <m/>
  </r>
  <r>
    <x v="10"/>
    <x v="43"/>
    <n v="2"/>
    <m/>
    <n v="2"/>
    <m/>
    <n v="2"/>
    <m/>
    <n v="2"/>
    <m/>
    <m/>
    <m/>
    <m/>
    <n v="3"/>
    <m/>
    <n v="1"/>
    <m/>
    <m/>
    <m/>
  </r>
  <r>
    <x v="10"/>
    <x v="44"/>
    <m/>
    <m/>
    <m/>
    <m/>
    <m/>
    <m/>
    <m/>
    <m/>
    <m/>
    <m/>
    <m/>
    <m/>
    <m/>
    <m/>
    <m/>
    <m/>
    <m/>
  </r>
  <r>
    <x v="10"/>
    <x v="45"/>
    <m/>
    <m/>
    <m/>
    <m/>
    <m/>
    <m/>
    <m/>
    <m/>
    <m/>
    <m/>
    <m/>
    <m/>
    <m/>
    <m/>
    <m/>
    <m/>
    <m/>
  </r>
  <r>
    <x v="10"/>
    <x v="46"/>
    <m/>
    <m/>
    <m/>
    <m/>
    <m/>
    <m/>
    <m/>
    <m/>
    <m/>
    <m/>
    <m/>
    <m/>
    <m/>
    <m/>
    <m/>
    <m/>
    <m/>
  </r>
  <r>
    <x v="10"/>
    <x v="47"/>
    <m/>
    <m/>
    <m/>
    <m/>
    <m/>
    <m/>
    <m/>
    <m/>
    <m/>
    <m/>
    <m/>
    <m/>
    <m/>
    <m/>
    <m/>
    <m/>
    <m/>
  </r>
  <r>
    <x v="10"/>
    <x v="48"/>
    <m/>
    <m/>
    <m/>
    <m/>
    <m/>
    <m/>
    <m/>
    <m/>
    <m/>
    <m/>
    <m/>
    <m/>
    <m/>
    <m/>
    <m/>
    <m/>
    <m/>
  </r>
  <r>
    <x v="10"/>
    <x v="49"/>
    <m/>
    <m/>
    <m/>
    <m/>
    <m/>
    <m/>
    <m/>
    <m/>
    <m/>
    <m/>
    <m/>
    <m/>
    <n v="1"/>
    <n v="1"/>
    <n v="1"/>
    <n v="1"/>
    <m/>
  </r>
  <r>
    <x v="10"/>
    <x v="50"/>
    <m/>
    <m/>
    <m/>
    <m/>
    <m/>
    <m/>
    <m/>
    <m/>
    <m/>
    <m/>
    <m/>
    <m/>
    <m/>
    <m/>
    <m/>
    <m/>
    <m/>
  </r>
  <r>
    <x v="10"/>
    <x v="51"/>
    <n v="3"/>
    <m/>
    <n v="3"/>
    <m/>
    <n v="3"/>
    <m/>
    <n v="3"/>
    <m/>
    <m/>
    <m/>
    <m/>
    <n v="7"/>
    <m/>
    <n v="2"/>
    <m/>
    <m/>
    <m/>
  </r>
  <r>
    <x v="11"/>
    <x v="0"/>
    <m/>
    <m/>
    <m/>
    <m/>
    <m/>
    <m/>
    <m/>
    <m/>
    <m/>
    <m/>
    <m/>
    <m/>
    <m/>
    <m/>
    <m/>
    <m/>
    <m/>
  </r>
  <r>
    <x v="11"/>
    <x v="1"/>
    <m/>
    <m/>
    <m/>
    <m/>
    <m/>
    <m/>
    <m/>
    <m/>
    <m/>
    <m/>
    <m/>
    <m/>
    <m/>
    <m/>
    <m/>
    <m/>
    <m/>
  </r>
  <r>
    <x v="11"/>
    <x v="2"/>
    <m/>
    <m/>
    <m/>
    <m/>
    <m/>
    <m/>
    <m/>
    <m/>
    <m/>
    <m/>
    <m/>
    <m/>
    <m/>
    <m/>
    <m/>
    <m/>
    <m/>
  </r>
  <r>
    <x v="11"/>
    <x v="3"/>
    <m/>
    <m/>
    <m/>
    <m/>
    <m/>
    <m/>
    <m/>
    <m/>
    <m/>
    <m/>
    <m/>
    <m/>
    <m/>
    <m/>
    <m/>
    <m/>
    <m/>
  </r>
  <r>
    <x v="11"/>
    <x v="4"/>
    <m/>
    <m/>
    <m/>
    <m/>
    <m/>
    <m/>
    <m/>
    <m/>
    <m/>
    <m/>
    <m/>
    <m/>
    <m/>
    <m/>
    <m/>
    <m/>
    <m/>
  </r>
  <r>
    <x v="11"/>
    <x v="5"/>
    <m/>
    <m/>
    <m/>
    <m/>
    <m/>
    <m/>
    <m/>
    <m/>
    <m/>
    <m/>
    <m/>
    <m/>
    <m/>
    <m/>
    <m/>
    <m/>
    <m/>
  </r>
  <r>
    <x v="11"/>
    <x v="6"/>
    <m/>
    <m/>
    <m/>
    <m/>
    <m/>
    <m/>
    <m/>
    <m/>
    <m/>
    <m/>
    <m/>
    <m/>
    <m/>
    <m/>
    <m/>
    <m/>
    <m/>
  </r>
  <r>
    <x v="11"/>
    <x v="7"/>
    <m/>
    <m/>
    <m/>
    <m/>
    <m/>
    <m/>
    <m/>
    <m/>
    <m/>
    <m/>
    <m/>
    <m/>
    <m/>
    <m/>
    <m/>
    <m/>
    <m/>
  </r>
  <r>
    <x v="11"/>
    <x v="8"/>
    <m/>
    <m/>
    <m/>
    <m/>
    <m/>
    <m/>
    <m/>
    <m/>
    <m/>
    <m/>
    <m/>
    <m/>
    <m/>
    <m/>
    <m/>
    <m/>
    <m/>
  </r>
  <r>
    <x v="11"/>
    <x v="9"/>
    <m/>
    <m/>
    <m/>
    <m/>
    <m/>
    <m/>
    <m/>
    <m/>
    <m/>
    <m/>
    <m/>
    <m/>
    <m/>
    <m/>
    <m/>
    <m/>
    <m/>
  </r>
  <r>
    <x v="11"/>
    <x v="10"/>
    <m/>
    <m/>
    <m/>
    <m/>
    <m/>
    <m/>
    <m/>
    <m/>
    <m/>
    <m/>
    <m/>
    <m/>
    <m/>
    <m/>
    <m/>
    <m/>
    <m/>
  </r>
  <r>
    <x v="11"/>
    <x v="11"/>
    <m/>
    <m/>
    <m/>
    <m/>
    <m/>
    <m/>
    <m/>
    <m/>
    <m/>
    <m/>
    <m/>
    <m/>
    <m/>
    <m/>
    <m/>
    <m/>
    <m/>
  </r>
  <r>
    <x v="11"/>
    <x v="12"/>
    <m/>
    <m/>
    <m/>
    <m/>
    <m/>
    <m/>
    <m/>
    <m/>
    <m/>
    <m/>
    <m/>
    <m/>
    <m/>
    <m/>
    <m/>
    <m/>
    <m/>
  </r>
  <r>
    <x v="11"/>
    <x v="13"/>
    <m/>
    <m/>
    <m/>
    <m/>
    <m/>
    <m/>
    <m/>
    <m/>
    <m/>
    <m/>
    <m/>
    <m/>
    <m/>
    <m/>
    <m/>
    <m/>
    <m/>
  </r>
  <r>
    <x v="11"/>
    <x v="14"/>
    <m/>
    <m/>
    <m/>
    <m/>
    <m/>
    <m/>
    <m/>
    <m/>
    <m/>
    <m/>
    <m/>
    <m/>
    <m/>
    <m/>
    <m/>
    <m/>
    <m/>
  </r>
  <r>
    <x v="11"/>
    <x v="15"/>
    <m/>
    <m/>
    <m/>
    <m/>
    <m/>
    <m/>
    <m/>
    <m/>
    <m/>
    <m/>
    <m/>
    <m/>
    <m/>
    <m/>
    <m/>
    <m/>
    <m/>
  </r>
  <r>
    <x v="11"/>
    <x v="16"/>
    <m/>
    <m/>
    <m/>
    <m/>
    <m/>
    <m/>
    <m/>
    <m/>
    <m/>
    <m/>
    <m/>
    <m/>
    <m/>
    <m/>
    <m/>
    <m/>
    <m/>
  </r>
  <r>
    <x v="11"/>
    <x v="17"/>
    <m/>
    <m/>
    <m/>
    <m/>
    <m/>
    <m/>
    <m/>
    <m/>
    <m/>
    <m/>
    <m/>
    <m/>
    <m/>
    <m/>
    <m/>
    <m/>
    <m/>
  </r>
  <r>
    <x v="11"/>
    <x v="18"/>
    <m/>
    <m/>
    <m/>
    <m/>
    <m/>
    <m/>
    <m/>
    <m/>
    <m/>
    <m/>
    <m/>
    <m/>
    <m/>
    <m/>
    <m/>
    <m/>
    <m/>
  </r>
  <r>
    <x v="11"/>
    <x v="19"/>
    <m/>
    <m/>
    <m/>
    <m/>
    <m/>
    <m/>
    <m/>
    <m/>
    <m/>
    <m/>
    <m/>
    <m/>
    <m/>
    <m/>
    <m/>
    <m/>
    <m/>
  </r>
  <r>
    <x v="11"/>
    <x v="20"/>
    <m/>
    <m/>
    <m/>
    <m/>
    <m/>
    <m/>
    <m/>
    <m/>
    <m/>
    <m/>
    <m/>
    <m/>
    <m/>
    <m/>
    <m/>
    <m/>
    <m/>
  </r>
  <r>
    <x v="11"/>
    <x v="21"/>
    <m/>
    <m/>
    <m/>
    <m/>
    <m/>
    <m/>
    <m/>
    <m/>
    <m/>
    <m/>
    <m/>
    <m/>
    <m/>
    <m/>
    <m/>
    <m/>
    <m/>
  </r>
  <r>
    <x v="11"/>
    <x v="22"/>
    <m/>
    <m/>
    <m/>
    <m/>
    <m/>
    <m/>
    <m/>
    <m/>
    <m/>
    <m/>
    <m/>
    <m/>
    <m/>
    <m/>
    <m/>
    <m/>
    <m/>
  </r>
  <r>
    <x v="11"/>
    <x v="23"/>
    <m/>
    <m/>
    <m/>
    <m/>
    <m/>
    <m/>
    <m/>
    <m/>
    <m/>
    <m/>
    <m/>
    <m/>
    <m/>
    <m/>
    <m/>
    <m/>
    <m/>
  </r>
  <r>
    <x v="11"/>
    <x v="24"/>
    <m/>
    <m/>
    <m/>
    <m/>
    <m/>
    <m/>
    <m/>
    <m/>
    <m/>
    <m/>
    <m/>
    <m/>
    <m/>
    <m/>
    <m/>
    <m/>
    <m/>
  </r>
  <r>
    <x v="11"/>
    <x v="25"/>
    <m/>
    <m/>
    <m/>
    <m/>
    <m/>
    <m/>
    <m/>
    <m/>
    <m/>
    <m/>
    <m/>
    <m/>
    <m/>
    <m/>
    <m/>
    <m/>
    <m/>
  </r>
  <r>
    <x v="11"/>
    <x v="26"/>
    <m/>
    <m/>
    <m/>
    <m/>
    <m/>
    <m/>
    <m/>
    <m/>
    <m/>
    <m/>
    <m/>
    <m/>
    <m/>
    <m/>
    <m/>
    <m/>
    <m/>
  </r>
  <r>
    <x v="11"/>
    <x v="27"/>
    <m/>
    <m/>
    <m/>
    <m/>
    <m/>
    <m/>
    <m/>
    <m/>
    <m/>
    <m/>
    <m/>
    <m/>
    <m/>
    <m/>
    <m/>
    <m/>
    <m/>
  </r>
  <r>
    <x v="11"/>
    <x v="28"/>
    <m/>
    <m/>
    <m/>
    <m/>
    <m/>
    <m/>
    <m/>
    <m/>
    <m/>
    <m/>
    <m/>
    <m/>
    <m/>
    <m/>
    <m/>
    <m/>
    <m/>
  </r>
  <r>
    <x v="11"/>
    <x v="29"/>
    <m/>
    <m/>
    <m/>
    <m/>
    <m/>
    <m/>
    <m/>
    <m/>
    <m/>
    <m/>
    <m/>
    <m/>
    <m/>
    <m/>
    <m/>
    <m/>
    <m/>
  </r>
  <r>
    <x v="11"/>
    <x v="30"/>
    <m/>
    <m/>
    <m/>
    <m/>
    <m/>
    <m/>
    <m/>
    <m/>
    <m/>
    <m/>
    <m/>
    <m/>
    <m/>
    <m/>
    <m/>
    <m/>
    <m/>
  </r>
  <r>
    <x v="11"/>
    <x v="31"/>
    <m/>
    <m/>
    <m/>
    <m/>
    <m/>
    <m/>
    <m/>
    <m/>
    <m/>
    <m/>
    <n v="2"/>
    <n v="2"/>
    <n v="2"/>
    <m/>
    <n v="2"/>
    <n v="2"/>
    <m/>
  </r>
  <r>
    <x v="11"/>
    <x v="32"/>
    <m/>
    <m/>
    <m/>
    <m/>
    <m/>
    <m/>
    <m/>
    <m/>
    <m/>
    <m/>
    <m/>
    <m/>
    <m/>
    <m/>
    <m/>
    <m/>
    <m/>
  </r>
  <r>
    <x v="11"/>
    <x v="33"/>
    <m/>
    <m/>
    <m/>
    <m/>
    <m/>
    <m/>
    <m/>
    <m/>
    <m/>
    <m/>
    <m/>
    <m/>
    <m/>
    <m/>
    <m/>
    <m/>
    <m/>
  </r>
  <r>
    <x v="11"/>
    <x v="34"/>
    <m/>
    <m/>
    <m/>
    <m/>
    <m/>
    <m/>
    <m/>
    <m/>
    <m/>
    <m/>
    <m/>
    <m/>
    <m/>
    <m/>
    <m/>
    <m/>
    <m/>
  </r>
  <r>
    <x v="11"/>
    <x v="35"/>
    <m/>
    <m/>
    <m/>
    <m/>
    <m/>
    <m/>
    <m/>
    <m/>
    <m/>
    <m/>
    <m/>
    <m/>
    <m/>
    <m/>
    <m/>
    <m/>
    <m/>
  </r>
  <r>
    <x v="11"/>
    <x v="36"/>
    <m/>
    <m/>
    <m/>
    <m/>
    <m/>
    <m/>
    <m/>
    <m/>
    <m/>
    <m/>
    <m/>
    <m/>
    <m/>
    <m/>
    <m/>
    <m/>
    <m/>
  </r>
  <r>
    <x v="11"/>
    <x v="37"/>
    <m/>
    <m/>
    <m/>
    <m/>
    <m/>
    <m/>
    <m/>
    <m/>
    <m/>
    <m/>
    <m/>
    <m/>
    <m/>
    <m/>
    <m/>
    <m/>
    <m/>
  </r>
  <r>
    <x v="11"/>
    <x v="38"/>
    <m/>
    <m/>
    <m/>
    <m/>
    <m/>
    <m/>
    <m/>
    <m/>
    <m/>
    <m/>
    <m/>
    <m/>
    <m/>
    <m/>
    <m/>
    <m/>
    <m/>
  </r>
  <r>
    <x v="11"/>
    <x v="39"/>
    <m/>
    <m/>
    <m/>
    <m/>
    <m/>
    <m/>
    <m/>
    <m/>
    <m/>
    <m/>
    <m/>
    <m/>
    <m/>
    <m/>
    <m/>
    <m/>
    <m/>
  </r>
  <r>
    <x v="11"/>
    <x v="40"/>
    <m/>
    <m/>
    <m/>
    <m/>
    <m/>
    <m/>
    <m/>
    <m/>
    <m/>
    <m/>
    <m/>
    <m/>
    <m/>
    <m/>
    <m/>
    <m/>
    <m/>
  </r>
  <r>
    <x v="11"/>
    <x v="41"/>
    <m/>
    <m/>
    <m/>
    <m/>
    <m/>
    <m/>
    <m/>
    <m/>
    <m/>
    <m/>
    <m/>
    <m/>
    <m/>
    <m/>
    <m/>
    <m/>
    <m/>
  </r>
  <r>
    <x v="11"/>
    <x v="42"/>
    <m/>
    <m/>
    <m/>
    <m/>
    <m/>
    <m/>
    <m/>
    <m/>
    <m/>
    <m/>
    <m/>
    <m/>
    <m/>
    <m/>
    <m/>
    <m/>
    <m/>
  </r>
  <r>
    <x v="11"/>
    <x v="43"/>
    <m/>
    <m/>
    <m/>
    <m/>
    <m/>
    <m/>
    <m/>
    <m/>
    <m/>
    <m/>
    <m/>
    <m/>
    <m/>
    <m/>
    <m/>
    <m/>
    <m/>
  </r>
  <r>
    <x v="11"/>
    <x v="44"/>
    <m/>
    <m/>
    <m/>
    <m/>
    <m/>
    <m/>
    <m/>
    <m/>
    <m/>
    <m/>
    <m/>
    <m/>
    <m/>
    <m/>
    <m/>
    <m/>
    <m/>
  </r>
  <r>
    <x v="11"/>
    <x v="45"/>
    <m/>
    <m/>
    <m/>
    <m/>
    <m/>
    <m/>
    <m/>
    <m/>
    <m/>
    <m/>
    <m/>
    <m/>
    <m/>
    <m/>
    <m/>
    <m/>
    <m/>
  </r>
  <r>
    <x v="11"/>
    <x v="46"/>
    <m/>
    <m/>
    <m/>
    <m/>
    <m/>
    <m/>
    <m/>
    <m/>
    <m/>
    <m/>
    <m/>
    <m/>
    <m/>
    <m/>
    <m/>
    <m/>
    <m/>
  </r>
  <r>
    <x v="11"/>
    <x v="47"/>
    <m/>
    <m/>
    <m/>
    <m/>
    <m/>
    <m/>
    <m/>
    <m/>
    <m/>
    <m/>
    <m/>
    <m/>
    <m/>
    <m/>
    <m/>
    <m/>
    <m/>
  </r>
  <r>
    <x v="11"/>
    <x v="48"/>
    <m/>
    <m/>
    <m/>
    <m/>
    <m/>
    <m/>
    <m/>
    <m/>
    <m/>
    <m/>
    <m/>
    <m/>
    <m/>
    <m/>
    <m/>
    <m/>
    <m/>
  </r>
  <r>
    <x v="11"/>
    <x v="49"/>
    <m/>
    <m/>
    <m/>
    <m/>
    <m/>
    <m/>
    <m/>
    <m/>
    <m/>
    <m/>
    <m/>
    <m/>
    <m/>
    <m/>
    <m/>
    <m/>
    <m/>
  </r>
  <r>
    <x v="11"/>
    <x v="50"/>
    <m/>
    <m/>
    <m/>
    <m/>
    <m/>
    <m/>
    <m/>
    <m/>
    <m/>
    <m/>
    <m/>
    <m/>
    <m/>
    <m/>
    <m/>
    <m/>
    <m/>
  </r>
  <r>
    <x v="11"/>
    <x v="51"/>
    <m/>
    <m/>
    <m/>
    <m/>
    <m/>
    <m/>
    <m/>
    <m/>
    <m/>
    <m/>
    <m/>
    <m/>
    <m/>
    <m/>
    <m/>
    <m/>
    <m/>
  </r>
  <r>
    <x v="12"/>
    <x v="0"/>
    <m/>
    <m/>
    <m/>
    <m/>
    <m/>
    <m/>
    <m/>
    <m/>
    <m/>
    <m/>
    <m/>
    <m/>
    <m/>
    <m/>
    <m/>
    <m/>
    <m/>
  </r>
  <r>
    <x v="12"/>
    <x v="1"/>
    <m/>
    <m/>
    <m/>
    <m/>
    <m/>
    <m/>
    <m/>
    <m/>
    <m/>
    <m/>
    <m/>
    <m/>
    <m/>
    <m/>
    <m/>
    <m/>
    <m/>
  </r>
  <r>
    <x v="12"/>
    <x v="2"/>
    <m/>
    <m/>
    <m/>
    <m/>
    <m/>
    <m/>
    <m/>
    <m/>
    <m/>
    <m/>
    <m/>
    <m/>
    <m/>
    <m/>
    <m/>
    <m/>
    <m/>
  </r>
  <r>
    <x v="12"/>
    <x v="3"/>
    <m/>
    <m/>
    <m/>
    <m/>
    <m/>
    <m/>
    <m/>
    <m/>
    <m/>
    <m/>
    <m/>
    <m/>
    <m/>
    <m/>
    <m/>
    <m/>
    <m/>
  </r>
  <r>
    <x v="12"/>
    <x v="4"/>
    <m/>
    <m/>
    <m/>
    <m/>
    <m/>
    <m/>
    <m/>
    <m/>
    <m/>
    <m/>
    <m/>
    <m/>
    <m/>
    <m/>
    <m/>
    <m/>
    <m/>
  </r>
  <r>
    <x v="12"/>
    <x v="5"/>
    <m/>
    <m/>
    <m/>
    <m/>
    <m/>
    <m/>
    <m/>
    <m/>
    <m/>
    <m/>
    <m/>
    <m/>
    <m/>
    <m/>
    <m/>
    <m/>
    <m/>
  </r>
  <r>
    <x v="12"/>
    <x v="6"/>
    <m/>
    <m/>
    <m/>
    <m/>
    <m/>
    <m/>
    <m/>
    <m/>
    <m/>
    <m/>
    <m/>
    <m/>
    <m/>
    <m/>
    <m/>
    <m/>
    <m/>
  </r>
  <r>
    <x v="12"/>
    <x v="7"/>
    <m/>
    <m/>
    <m/>
    <m/>
    <m/>
    <m/>
    <m/>
    <m/>
    <m/>
    <m/>
    <m/>
    <m/>
    <m/>
    <m/>
    <m/>
    <m/>
    <m/>
  </r>
  <r>
    <x v="12"/>
    <x v="8"/>
    <m/>
    <m/>
    <m/>
    <m/>
    <m/>
    <m/>
    <m/>
    <m/>
    <m/>
    <m/>
    <m/>
    <m/>
    <m/>
    <m/>
    <m/>
    <m/>
    <m/>
  </r>
  <r>
    <x v="12"/>
    <x v="9"/>
    <m/>
    <m/>
    <m/>
    <m/>
    <m/>
    <m/>
    <n v="1"/>
    <m/>
    <m/>
    <m/>
    <n v="1"/>
    <m/>
    <n v="1"/>
    <n v="1"/>
    <n v="1"/>
    <n v="1"/>
    <m/>
  </r>
  <r>
    <x v="12"/>
    <x v="10"/>
    <m/>
    <m/>
    <m/>
    <m/>
    <m/>
    <m/>
    <m/>
    <m/>
    <m/>
    <m/>
    <m/>
    <m/>
    <m/>
    <m/>
    <m/>
    <m/>
    <m/>
  </r>
  <r>
    <x v="12"/>
    <x v="11"/>
    <m/>
    <m/>
    <m/>
    <m/>
    <m/>
    <m/>
    <m/>
    <m/>
    <m/>
    <m/>
    <m/>
    <m/>
    <m/>
    <m/>
    <m/>
    <m/>
    <m/>
  </r>
  <r>
    <x v="12"/>
    <x v="12"/>
    <m/>
    <m/>
    <m/>
    <m/>
    <m/>
    <m/>
    <m/>
    <m/>
    <m/>
    <m/>
    <m/>
    <m/>
    <m/>
    <m/>
    <m/>
    <m/>
    <m/>
  </r>
  <r>
    <x v="12"/>
    <x v="13"/>
    <m/>
    <m/>
    <m/>
    <m/>
    <m/>
    <m/>
    <m/>
    <m/>
    <m/>
    <m/>
    <m/>
    <m/>
    <m/>
    <m/>
    <m/>
    <m/>
    <m/>
  </r>
  <r>
    <x v="12"/>
    <x v="14"/>
    <m/>
    <m/>
    <m/>
    <m/>
    <m/>
    <m/>
    <m/>
    <m/>
    <m/>
    <m/>
    <m/>
    <m/>
    <m/>
    <m/>
    <m/>
    <m/>
    <m/>
  </r>
  <r>
    <x v="12"/>
    <x v="15"/>
    <m/>
    <m/>
    <m/>
    <m/>
    <m/>
    <m/>
    <m/>
    <m/>
    <m/>
    <m/>
    <m/>
    <m/>
    <m/>
    <m/>
    <m/>
    <m/>
    <m/>
  </r>
  <r>
    <x v="12"/>
    <x v="16"/>
    <m/>
    <m/>
    <m/>
    <m/>
    <m/>
    <m/>
    <m/>
    <m/>
    <m/>
    <m/>
    <m/>
    <m/>
    <m/>
    <m/>
    <m/>
    <m/>
    <m/>
  </r>
  <r>
    <x v="12"/>
    <x v="17"/>
    <m/>
    <m/>
    <m/>
    <m/>
    <m/>
    <m/>
    <m/>
    <m/>
    <m/>
    <m/>
    <m/>
    <m/>
    <m/>
    <m/>
    <m/>
    <m/>
    <m/>
  </r>
  <r>
    <x v="12"/>
    <x v="18"/>
    <m/>
    <m/>
    <m/>
    <m/>
    <m/>
    <m/>
    <m/>
    <m/>
    <m/>
    <m/>
    <m/>
    <m/>
    <m/>
    <m/>
    <m/>
    <m/>
    <m/>
  </r>
  <r>
    <x v="12"/>
    <x v="19"/>
    <m/>
    <m/>
    <m/>
    <m/>
    <m/>
    <m/>
    <m/>
    <m/>
    <m/>
    <m/>
    <m/>
    <m/>
    <m/>
    <m/>
    <m/>
    <m/>
    <m/>
  </r>
  <r>
    <x v="12"/>
    <x v="20"/>
    <m/>
    <m/>
    <m/>
    <m/>
    <m/>
    <m/>
    <m/>
    <m/>
    <m/>
    <m/>
    <m/>
    <m/>
    <m/>
    <m/>
    <m/>
    <m/>
    <m/>
  </r>
  <r>
    <x v="12"/>
    <x v="21"/>
    <m/>
    <m/>
    <m/>
    <m/>
    <m/>
    <m/>
    <m/>
    <m/>
    <m/>
    <m/>
    <m/>
    <m/>
    <m/>
    <m/>
    <m/>
    <m/>
    <m/>
  </r>
  <r>
    <x v="12"/>
    <x v="22"/>
    <m/>
    <m/>
    <m/>
    <m/>
    <m/>
    <m/>
    <m/>
    <m/>
    <m/>
    <m/>
    <m/>
    <m/>
    <m/>
    <m/>
    <m/>
    <m/>
    <m/>
  </r>
  <r>
    <x v="12"/>
    <x v="23"/>
    <m/>
    <m/>
    <m/>
    <m/>
    <m/>
    <m/>
    <m/>
    <m/>
    <m/>
    <m/>
    <m/>
    <m/>
    <m/>
    <m/>
    <m/>
    <m/>
    <m/>
  </r>
  <r>
    <x v="12"/>
    <x v="24"/>
    <m/>
    <m/>
    <m/>
    <m/>
    <m/>
    <m/>
    <m/>
    <m/>
    <m/>
    <m/>
    <m/>
    <m/>
    <m/>
    <m/>
    <m/>
    <m/>
    <m/>
  </r>
  <r>
    <x v="12"/>
    <x v="25"/>
    <m/>
    <m/>
    <m/>
    <m/>
    <m/>
    <m/>
    <m/>
    <m/>
    <m/>
    <m/>
    <m/>
    <m/>
    <m/>
    <m/>
    <m/>
    <m/>
    <m/>
  </r>
  <r>
    <x v="12"/>
    <x v="26"/>
    <m/>
    <m/>
    <m/>
    <m/>
    <m/>
    <m/>
    <m/>
    <m/>
    <m/>
    <m/>
    <m/>
    <m/>
    <m/>
    <m/>
    <m/>
    <m/>
    <m/>
  </r>
  <r>
    <x v="12"/>
    <x v="27"/>
    <m/>
    <m/>
    <m/>
    <m/>
    <m/>
    <m/>
    <m/>
    <m/>
    <m/>
    <m/>
    <m/>
    <m/>
    <m/>
    <m/>
    <m/>
    <m/>
    <m/>
  </r>
  <r>
    <x v="12"/>
    <x v="28"/>
    <m/>
    <m/>
    <m/>
    <m/>
    <m/>
    <m/>
    <m/>
    <m/>
    <m/>
    <m/>
    <m/>
    <m/>
    <m/>
    <m/>
    <m/>
    <m/>
    <m/>
  </r>
  <r>
    <x v="12"/>
    <x v="29"/>
    <m/>
    <m/>
    <m/>
    <m/>
    <m/>
    <m/>
    <m/>
    <m/>
    <m/>
    <m/>
    <m/>
    <m/>
    <m/>
    <m/>
    <m/>
    <m/>
    <m/>
  </r>
  <r>
    <x v="12"/>
    <x v="30"/>
    <m/>
    <m/>
    <m/>
    <m/>
    <m/>
    <m/>
    <m/>
    <m/>
    <m/>
    <m/>
    <m/>
    <m/>
    <m/>
    <m/>
    <m/>
    <m/>
    <m/>
  </r>
  <r>
    <x v="12"/>
    <x v="31"/>
    <m/>
    <m/>
    <m/>
    <m/>
    <m/>
    <m/>
    <m/>
    <m/>
    <m/>
    <m/>
    <m/>
    <m/>
    <m/>
    <m/>
    <m/>
    <m/>
    <m/>
  </r>
  <r>
    <x v="12"/>
    <x v="32"/>
    <m/>
    <m/>
    <m/>
    <m/>
    <m/>
    <m/>
    <m/>
    <m/>
    <m/>
    <m/>
    <m/>
    <m/>
    <m/>
    <m/>
    <m/>
    <m/>
    <m/>
  </r>
  <r>
    <x v="12"/>
    <x v="33"/>
    <m/>
    <m/>
    <m/>
    <m/>
    <m/>
    <m/>
    <m/>
    <m/>
    <m/>
    <m/>
    <m/>
    <m/>
    <m/>
    <m/>
    <m/>
    <m/>
    <m/>
  </r>
  <r>
    <x v="12"/>
    <x v="34"/>
    <m/>
    <m/>
    <m/>
    <m/>
    <m/>
    <m/>
    <m/>
    <m/>
    <m/>
    <m/>
    <m/>
    <m/>
    <m/>
    <m/>
    <m/>
    <m/>
    <m/>
  </r>
  <r>
    <x v="12"/>
    <x v="35"/>
    <m/>
    <m/>
    <m/>
    <m/>
    <m/>
    <m/>
    <m/>
    <m/>
    <m/>
    <m/>
    <m/>
    <m/>
    <m/>
    <m/>
    <m/>
    <m/>
    <m/>
  </r>
  <r>
    <x v="12"/>
    <x v="36"/>
    <m/>
    <m/>
    <m/>
    <m/>
    <m/>
    <m/>
    <m/>
    <m/>
    <m/>
    <m/>
    <m/>
    <m/>
    <m/>
    <m/>
    <m/>
    <m/>
    <m/>
  </r>
  <r>
    <x v="12"/>
    <x v="37"/>
    <m/>
    <m/>
    <m/>
    <m/>
    <m/>
    <m/>
    <m/>
    <m/>
    <m/>
    <m/>
    <m/>
    <m/>
    <m/>
    <m/>
    <m/>
    <m/>
    <m/>
  </r>
  <r>
    <x v="12"/>
    <x v="38"/>
    <m/>
    <m/>
    <m/>
    <m/>
    <m/>
    <m/>
    <m/>
    <m/>
    <m/>
    <m/>
    <m/>
    <m/>
    <m/>
    <m/>
    <m/>
    <m/>
    <m/>
  </r>
  <r>
    <x v="12"/>
    <x v="39"/>
    <m/>
    <m/>
    <m/>
    <m/>
    <m/>
    <m/>
    <m/>
    <m/>
    <m/>
    <m/>
    <m/>
    <m/>
    <m/>
    <m/>
    <m/>
    <m/>
    <m/>
  </r>
  <r>
    <x v="12"/>
    <x v="40"/>
    <m/>
    <m/>
    <m/>
    <m/>
    <m/>
    <m/>
    <m/>
    <m/>
    <m/>
    <m/>
    <m/>
    <m/>
    <m/>
    <m/>
    <m/>
    <m/>
    <m/>
  </r>
  <r>
    <x v="12"/>
    <x v="41"/>
    <m/>
    <m/>
    <m/>
    <m/>
    <m/>
    <m/>
    <m/>
    <m/>
    <m/>
    <m/>
    <m/>
    <m/>
    <m/>
    <m/>
    <m/>
    <m/>
    <m/>
  </r>
  <r>
    <x v="12"/>
    <x v="42"/>
    <m/>
    <m/>
    <m/>
    <m/>
    <m/>
    <m/>
    <m/>
    <m/>
    <m/>
    <m/>
    <m/>
    <m/>
    <m/>
    <m/>
    <m/>
    <m/>
    <m/>
  </r>
  <r>
    <x v="12"/>
    <x v="43"/>
    <m/>
    <m/>
    <m/>
    <m/>
    <m/>
    <m/>
    <m/>
    <m/>
    <m/>
    <m/>
    <m/>
    <m/>
    <m/>
    <m/>
    <m/>
    <m/>
    <m/>
  </r>
  <r>
    <x v="12"/>
    <x v="44"/>
    <m/>
    <m/>
    <m/>
    <m/>
    <m/>
    <m/>
    <m/>
    <m/>
    <m/>
    <m/>
    <m/>
    <m/>
    <m/>
    <m/>
    <m/>
    <m/>
    <m/>
  </r>
  <r>
    <x v="12"/>
    <x v="45"/>
    <m/>
    <m/>
    <m/>
    <m/>
    <m/>
    <m/>
    <m/>
    <m/>
    <m/>
    <m/>
    <m/>
    <m/>
    <m/>
    <m/>
    <m/>
    <m/>
    <m/>
  </r>
  <r>
    <x v="12"/>
    <x v="46"/>
    <m/>
    <m/>
    <m/>
    <m/>
    <m/>
    <m/>
    <m/>
    <m/>
    <m/>
    <m/>
    <m/>
    <m/>
    <m/>
    <m/>
    <m/>
    <m/>
    <m/>
  </r>
  <r>
    <x v="12"/>
    <x v="47"/>
    <m/>
    <m/>
    <m/>
    <m/>
    <m/>
    <m/>
    <m/>
    <m/>
    <m/>
    <m/>
    <m/>
    <m/>
    <m/>
    <m/>
    <m/>
    <m/>
    <m/>
  </r>
  <r>
    <x v="12"/>
    <x v="48"/>
    <m/>
    <m/>
    <m/>
    <m/>
    <m/>
    <m/>
    <m/>
    <m/>
    <m/>
    <m/>
    <m/>
    <m/>
    <m/>
    <m/>
    <m/>
    <m/>
    <m/>
  </r>
  <r>
    <x v="12"/>
    <x v="49"/>
    <m/>
    <m/>
    <m/>
    <m/>
    <m/>
    <m/>
    <m/>
    <m/>
    <m/>
    <m/>
    <m/>
    <m/>
    <m/>
    <m/>
    <m/>
    <m/>
    <m/>
  </r>
  <r>
    <x v="12"/>
    <x v="50"/>
    <m/>
    <m/>
    <m/>
    <m/>
    <m/>
    <m/>
    <m/>
    <m/>
    <m/>
    <m/>
    <m/>
    <m/>
    <m/>
    <m/>
    <m/>
    <m/>
    <m/>
  </r>
  <r>
    <x v="12"/>
    <x v="51"/>
    <m/>
    <m/>
    <m/>
    <m/>
    <m/>
    <m/>
    <m/>
    <m/>
    <m/>
    <m/>
    <m/>
    <m/>
    <m/>
    <m/>
    <m/>
    <m/>
    <m/>
  </r>
  <r>
    <x v="13"/>
    <x v="0"/>
    <m/>
    <m/>
    <m/>
    <m/>
    <m/>
    <m/>
    <m/>
    <m/>
    <m/>
    <m/>
    <m/>
    <m/>
    <m/>
    <m/>
    <m/>
    <m/>
    <m/>
  </r>
  <r>
    <x v="13"/>
    <x v="1"/>
    <m/>
    <m/>
    <m/>
    <m/>
    <m/>
    <m/>
    <m/>
    <m/>
    <m/>
    <m/>
    <m/>
    <m/>
    <m/>
    <m/>
    <m/>
    <m/>
    <m/>
  </r>
  <r>
    <x v="13"/>
    <x v="2"/>
    <m/>
    <m/>
    <m/>
    <m/>
    <m/>
    <m/>
    <m/>
    <m/>
    <m/>
    <m/>
    <m/>
    <m/>
    <m/>
    <m/>
    <m/>
    <m/>
    <m/>
  </r>
  <r>
    <x v="13"/>
    <x v="3"/>
    <m/>
    <m/>
    <m/>
    <m/>
    <m/>
    <m/>
    <m/>
    <m/>
    <m/>
    <m/>
    <m/>
    <m/>
    <m/>
    <m/>
    <m/>
    <m/>
    <m/>
  </r>
  <r>
    <x v="13"/>
    <x v="4"/>
    <m/>
    <m/>
    <m/>
    <m/>
    <m/>
    <m/>
    <m/>
    <m/>
    <m/>
    <m/>
    <m/>
    <m/>
    <m/>
    <m/>
    <m/>
    <m/>
    <m/>
  </r>
  <r>
    <x v="13"/>
    <x v="5"/>
    <m/>
    <m/>
    <m/>
    <m/>
    <m/>
    <m/>
    <m/>
    <m/>
    <m/>
    <m/>
    <m/>
    <m/>
    <m/>
    <m/>
    <m/>
    <m/>
    <m/>
  </r>
  <r>
    <x v="13"/>
    <x v="6"/>
    <m/>
    <m/>
    <m/>
    <m/>
    <m/>
    <m/>
    <m/>
    <m/>
    <m/>
    <m/>
    <m/>
    <m/>
    <m/>
    <m/>
    <m/>
    <m/>
    <m/>
  </r>
  <r>
    <x v="13"/>
    <x v="7"/>
    <m/>
    <m/>
    <m/>
    <m/>
    <m/>
    <m/>
    <m/>
    <m/>
    <m/>
    <m/>
    <m/>
    <m/>
    <m/>
    <m/>
    <m/>
    <m/>
    <m/>
  </r>
  <r>
    <x v="13"/>
    <x v="8"/>
    <m/>
    <m/>
    <m/>
    <m/>
    <m/>
    <m/>
    <m/>
    <m/>
    <m/>
    <m/>
    <m/>
    <m/>
    <m/>
    <m/>
    <m/>
    <m/>
    <m/>
  </r>
  <r>
    <x v="13"/>
    <x v="9"/>
    <m/>
    <m/>
    <m/>
    <m/>
    <m/>
    <m/>
    <m/>
    <m/>
    <m/>
    <m/>
    <m/>
    <m/>
    <m/>
    <m/>
    <m/>
    <m/>
    <m/>
  </r>
  <r>
    <x v="13"/>
    <x v="10"/>
    <m/>
    <m/>
    <m/>
    <m/>
    <m/>
    <m/>
    <m/>
    <m/>
    <m/>
    <m/>
    <m/>
    <m/>
    <m/>
    <m/>
    <m/>
    <m/>
    <m/>
  </r>
  <r>
    <x v="13"/>
    <x v="11"/>
    <m/>
    <m/>
    <m/>
    <m/>
    <m/>
    <m/>
    <m/>
    <m/>
    <m/>
    <m/>
    <m/>
    <m/>
    <m/>
    <m/>
    <m/>
    <m/>
    <m/>
  </r>
  <r>
    <x v="13"/>
    <x v="12"/>
    <m/>
    <m/>
    <m/>
    <m/>
    <m/>
    <m/>
    <m/>
    <m/>
    <m/>
    <m/>
    <m/>
    <m/>
    <m/>
    <m/>
    <m/>
    <m/>
    <m/>
  </r>
  <r>
    <x v="13"/>
    <x v="13"/>
    <m/>
    <m/>
    <m/>
    <m/>
    <m/>
    <m/>
    <m/>
    <m/>
    <m/>
    <m/>
    <m/>
    <m/>
    <m/>
    <m/>
    <m/>
    <m/>
    <m/>
  </r>
  <r>
    <x v="13"/>
    <x v="14"/>
    <m/>
    <m/>
    <m/>
    <m/>
    <m/>
    <m/>
    <m/>
    <m/>
    <m/>
    <m/>
    <m/>
    <m/>
    <m/>
    <m/>
    <m/>
    <m/>
    <m/>
  </r>
  <r>
    <x v="13"/>
    <x v="15"/>
    <m/>
    <m/>
    <m/>
    <m/>
    <m/>
    <m/>
    <m/>
    <m/>
    <m/>
    <m/>
    <m/>
    <m/>
    <m/>
    <m/>
    <m/>
    <m/>
    <m/>
  </r>
  <r>
    <x v="13"/>
    <x v="16"/>
    <m/>
    <m/>
    <m/>
    <m/>
    <m/>
    <m/>
    <m/>
    <m/>
    <m/>
    <m/>
    <m/>
    <m/>
    <m/>
    <m/>
    <m/>
    <m/>
    <m/>
  </r>
  <r>
    <x v="13"/>
    <x v="17"/>
    <m/>
    <m/>
    <m/>
    <m/>
    <m/>
    <m/>
    <m/>
    <m/>
    <m/>
    <m/>
    <m/>
    <m/>
    <m/>
    <m/>
    <m/>
    <m/>
    <m/>
  </r>
  <r>
    <x v="13"/>
    <x v="18"/>
    <n v="5"/>
    <m/>
    <m/>
    <m/>
    <m/>
    <m/>
    <m/>
    <m/>
    <m/>
    <m/>
    <m/>
    <n v="1"/>
    <m/>
    <m/>
    <m/>
    <m/>
    <m/>
  </r>
  <r>
    <x v="13"/>
    <x v="19"/>
    <m/>
    <m/>
    <m/>
    <m/>
    <m/>
    <m/>
    <m/>
    <m/>
    <m/>
    <m/>
    <m/>
    <m/>
    <m/>
    <m/>
    <m/>
    <m/>
    <m/>
  </r>
  <r>
    <x v="13"/>
    <x v="20"/>
    <m/>
    <m/>
    <m/>
    <m/>
    <m/>
    <m/>
    <m/>
    <m/>
    <m/>
    <m/>
    <m/>
    <m/>
    <m/>
    <m/>
    <m/>
    <m/>
    <m/>
  </r>
  <r>
    <x v="13"/>
    <x v="21"/>
    <m/>
    <m/>
    <m/>
    <m/>
    <m/>
    <m/>
    <m/>
    <m/>
    <m/>
    <m/>
    <m/>
    <m/>
    <m/>
    <m/>
    <m/>
    <m/>
    <m/>
  </r>
  <r>
    <x v="13"/>
    <x v="22"/>
    <m/>
    <m/>
    <m/>
    <m/>
    <m/>
    <m/>
    <m/>
    <m/>
    <m/>
    <m/>
    <m/>
    <m/>
    <m/>
    <m/>
    <m/>
    <m/>
    <m/>
  </r>
  <r>
    <x v="13"/>
    <x v="23"/>
    <m/>
    <m/>
    <m/>
    <m/>
    <m/>
    <m/>
    <m/>
    <m/>
    <m/>
    <m/>
    <m/>
    <m/>
    <m/>
    <m/>
    <m/>
    <m/>
    <m/>
  </r>
  <r>
    <x v="13"/>
    <x v="24"/>
    <m/>
    <m/>
    <m/>
    <m/>
    <m/>
    <m/>
    <m/>
    <m/>
    <m/>
    <m/>
    <m/>
    <m/>
    <m/>
    <m/>
    <m/>
    <m/>
    <m/>
  </r>
  <r>
    <x v="13"/>
    <x v="25"/>
    <m/>
    <m/>
    <m/>
    <m/>
    <m/>
    <m/>
    <m/>
    <m/>
    <m/>
    <m/>
    <m/>
    <m/>
    <m/>
    <m/>
    <m/>
    <m/>
    <m/>
  </r>
  <r>
    <x v="13"/>
    <x v="26"/>
    <m/>
    <m/>
    <m/>
    <m/>
    <m/>
    <m/>
    <m/>
    <m/>
    <m/>
    <m/>
    <m/>
    <m/>
    <m/>
    <m/>
    <m/>
    <m/>
    <m/>
  </r>
  <r>
    <x v="13"/>
    <x v="27"/>
    <m/>
    <m/>
    <m/>
    <m/>
    <m/>
    <m/>
    <m/>
    <m/>
    <m/>
    <m/>
    <m/>
    <m/>
    <m/>
    <m/>
    <m/>
    <m/>
    <m/>
  </r>
  <r>
    <x v="13"/>
    <x v="28"/>
    <m/>
    <m/>
    <m/>
    <m/>
    <m/>
    <m/>
    <m/>
    <m/>
    <m/>
    <m/>
    <m/>
    <m/>
    <m/>
    <m/>
    <m/>
    <m/>
    <m/>
  </r>
  <r>
    <x v="13"/>
    <x v="29"/>
    <m/>
    <m/>
    <m/>
    <m/>
    <m/>
    <m/>
    <m/>
    <m/>
    <m/>
    <m/>
    <m/>
    <m/>
    <m/>
    <m/>
    <m/>
    <m/>
    <m/>
  </r>
  <r>
    <x v="13"/>
    <x v="30"/>
    <m/>
    <m/>
    <m/>
    <m/>
    <m/>
    <m/>
    <m/>
    <m/>
    <m/>
    <m/>
    <m/>
    <m/>
    <m/>
    <m/>
    <m/>
    <m/>
    <m/>
  </r>
  <r>
    <x v="13"/>
    <x v="31"/>
    <m/>
    <m/>
    <m/>
    <m/>
    <m/>
    <m/>
    <m/>
    <m/>
    <m/>
    <m/>
    <m/>
    <m/>
    <m/>
    <m/>
    <m/>
    <m/>
    <m/>
  </r>
  <r>
    <x v="13"/>
    <x v="32"/>
    <m/>
    <m/>
    <m/>
    <m/>
    <m/>
    <m/>
    <m/>
    <m/>
    <m/>
    <m/>
    <m/>
    <m/>
    <m/>
    <m/>
    <m/>
    <m/>
    <m/>
  </r>
  <r>
    <x v="13"/>
    <x v="33"/>
    <m/>
    <m/>
    <m/>
    <m/>
    <m/>
    <m/>
    <m/>
    <m/>
    <m/>
    <m/>
    <m/>
    <m/>
    <m/>
    <m/>
    <m/>
    <m/>
    <m/>
  </r>
  <r>
    <x v="13"/>
    <x v="34"/>
    <n v="4"/>
    <m/>
    <m/>
    <m/>
    <m/>
    <m/>
    <m/>
    <m/>
    <m/>
    <m/>
    <m/>
    <n v="1"/>
    <n v="1"/>
    <m/>
    <m/>
    <m/>
    <m/>
  </r>
  <r>
    <x v="13"/>
    <x v="35"/>
    <m/>
    <m/>
    <m/>
    <m/>
    <m/>
    <m/>
    <m/>
    <m/>
    <m/>
    <m/>
    <m/>
    <m/>
    <m/>
    <m/>
    <m/>
    <m/>
    <m/>
  </r>
  <r>
    <x v="13"/>
    <x v="36"/>
    <m/>
    <m/>
    <m/>
    <m/>
    <m/>
    <m/>
    <m/>
    <m/>
    <m/>
    <m/>
    <m/>
    <m/>
    <m/>
    <m/>
    <m/>
    <m/>
    <m/>
  </r>
  <r>
    <x v="13"/>
    <x v="37"/>
    <m/>
    <m/>
    <m/>
    <m/>
    <m/>
    <m/>
    <m/>
    <m/>
    <m/>
    <m/>
    <m/>
    <m/>
    <m/>
    <m/>
    <m/>
    <m/>
    <m/>
  </r>
  <r>
    <x v="13"/>
    <x v="38"/>
    <m/>
    <m/>
    <m/>
    <m/>
    <m/>
    <m/>
    <m/>
    <m/>
    <m/>
    <m/>
    <m/>
    <m/>
    <m/>
    <m/>
    <m/>
    <m/>
    <m/>
  </r>
  <r>
    <x v="13"/>
    <x v="39"/>
    <m/>
    <m/>
    <m/>
    <m/>
    <m/>
    <m/>
    <m/>
    <m/>
    <m/>
    <m/>
    <m/>
    <m/>
    <m/>
    <m/>
    <m/>
    <m/>
    <m/>
  </r>
  <r>
    <x v="13"/>
    <x v="40"/>
    <m/>
    <m/>
    <m/>
    <m/>
    <m/>
    <m/>
    <m/>
    <m/>
    <m/>
    <m/>
    <m/>
    <m/>
    <m/>
    <m/>
    <m/>
    <m/>
    <m/>
  </r>
  <r>
    <x v="13"/>
    <x v="41"/>
    <m/>
    <m/>
    <m/>
    <m/>
    <m/>
    <m/>
    <m/>
    <m/>
    <m/>
    <m/>
    <m/>
    <m/>
    <m/>
    <m/>
    <m/>
    <m/>
    <m/>
  </r>
  <r>
    <x v="13"/>
    <x v="42"/>
    <m/>
    <m/>
    <m/>
    <m/>
    <m/>
    <m/>
    <m/>
    <m/>
    <m/>
    <m/>
    <m/>
    <m/>
    <m/>
    <m/>
    <m/>
    <m/>
    <m/>
  </r>
  <r>
    <x v="13"/>
    <x v="43"/>
    <m/>
    <m/>
    <m/>
    <m/>
    <m/>
    <m/>
    <m/>
    <m/>
    <m/>
    <m/>
    <m/>
    <m/>
    <m/>
    <m/>
    <m/>
    <m/>
    <m/>
  </r>
  <r>
    <x v="13"/>
    <x v="44"/>
    <m/>
    <m/>
    <m/>
    <m/>
    <m/>
    <m/>
    <m/>
    <m/>
    <m/>
    <m/>
    <m/>
    <m/>
    <m/>
    <m/>
    <m/>
    <m/>
    <m/>
  </r>
  <r>
    <x v="13"/>
    <x v="45"/>
    <m/>
    <m/>
    <m/>
    <m/>
    <m/>
    <m/>
    <m/>
    <m/>
    <m/>
    <m/>
    <m/>
    <m/>
    <m/>
    <m/>
    <m/>
    <m/>
    <m/>
  </r>
  <r>
    <x v="13"/>
    <x v="46"/>
    <m/>
    <m/>
    <m/>
    <m/>
    <m/>
    <m/>
    <m/>
    <m/>
    <m/>
    <m/>
    <m/>
    <m/>
    <m/>
    <m/>
    <m/>
    <m/>
    <m/>
  </r>
  <r>
    <x v="13"/>
    <x v="47"/>
    <m/>
    <m/>
    <m/>
    <m/>
    <m/>
    <m/>
    <m/>
    <m/>
    <m/>
    <m/>
    <m/>
    <m/>
    <m/>
    <m/>
    <m/>
    <m/>
    <m/>
  </r>
  <r>
    <x v="13"/>
    <x v="48"/>
    <m/>
    <m/>
    <m/>
    <m/>
    <m/>
    <m/>
    <m/>
    <m/>
    <m/>
    <m/>
    <m/>
    <m/>
    <m/>
    <m/>
    <m/>
    <m/>
    <m/>
  </r>
  <r>
    <x v="13"/>
    <x v="49"/>
    <m/>
    <m/>
    <m/>
    <m/>
    <m/>
    <m/>
    <m/>
    <m/>
    <m/>
    <m/>
    <m/>
    <m/>
    <m/>
    <m/>
    <m/>
    <m/>
    <m/>
  </r>
  <r>
    <x v="13"/>
    <x v="50"/>
    <m/>
    <m/>
    <m/>
    <m/>
    <m/>
    <m/>
    <m/>
    <m/>
    <m/>
    <m/>
    <m/>
    <m/>
    <m/>
    <m/>
    <m/>
    <m/>
    <m/>
  </r>
  <r>
    <x v="13"/>
    <x v="51"/>
    <m/>
    <m/>
    <m/>
    <m/>
    <m/>
    <m/>
    <m/>
    <m/>
    <m/>
    <m/>
    <m/>
    <m/>
    <m/>
    <m/>
    <m/>
    <m/>
    <m/>
  </r>
  <r>
    <x v="14"/>
    <x v="0"/>
    <m/>
    <m/>
    <m/>
    <m/>
    <m/>
    <m/>
    <m/>
    <m/>
    <m/>
    <m/>
    <m/>
    <m/>
    <m/>
    <m/>
    <m/>
    <m/>
    <m/>
  </r>
  <r>
    <x v="14"/>
    <x v="1"/>
    <m/>
    <m/>
    <m/>
    <m/>
    <m/>
    <m/>
    <m/>
    <m/>
    <m/>
    <m/>
    <m/>
    <m/>
    <m/>
    <m/>
    <m/>
    <m/>
    <m/>
  </r>
  <r>
    <x v="14"/>
    <x v="2"/>
    <m/>
    <m/>
    <m/>
    <m/>
    <m/>
    <m/>
    <m/>
    <m/>
    <m/>
    <m/>
    <m/>
    <m/>
    <m/>
    <m/>
    <m/>
    <m/>
    <m/>
  </r>
  <r>
    <x v="14"/>
    <x v="3"/>
    <m/>
    <m/>
    <m/>
    <m/>
    <m/>
    <m/>
    <m/>
    <m/>
    <m/>
    <m/>
    <m/>
    <m/>
    <m/>
    <m/>
    <m/>
    <m/>
    <m/>
  </r>
  <r>
    <x v="14"/>
    <x v="4"/>
    <m/>
    <m/>
    <m/>
    <m/>
    <m/>
    <m/>
    <m/>
    <m/>
    <m/>
    <m/>
    <m/>
    <m/>
    <m/>
    <m/>
    <m/>
    <m/>
    <m/>
  </r>
  <r>
    <x v="14"/>
    <x v="5"/>
    <m/>
    <m/>
    <m/>
    <m/>
    <m/>
    <m/>
    <m/>
    <m/>
    <m/>
    <m/>
    <m/>
    <m/>
    <m/>
    <m/>
    <m/>
    <m/>
    <m/>
  </r>
  <r>
    <x v="14"/>
    <x v="6"/>
    <m/>
    <m/>
    <m/>
    <m/>
    <m/>
    <m/>
    <m/>
    <m/>
    <m/>
    <m/>
    <m/>
    <m/>
    <m/>
    <m/>
    <m/>
    <m/>
    <m/>
  </r>
  <r>
    <x v="14"/>
    <x v="7"/>
    <m/>
    <m/>
    <m/>
    <m/>
    <m/>
    <m/>
    <m/>
    <m/>
    <m/>
    <m/>
    <m/>
    <m/>
    <m/>
    <m/>
    <m/>
    <m/>
    <m/>
  </r>
  <r>
    <x v="14"/>
    <x v="8"/>
    <m/>
    <m/>
    <m/>
    <m/>
    <m/>
    <m/>
    <m/>
    <m/>
    <m/>
    <m/>
    <m/>
    <m/>
    <m/>
    <m/>
    <m/>
    <m/>
    <m/>
  </r>
  <r>
    <x v="14"/>
    <x v="9"/>
    <m/>
    <m/>
    <m/>
    <m/>
    <m/>
    <m/>
    <m/>
    <m/>
    <m/>
    <m/>
    <m/>
    <m/>
    <m/>
    <m/>
    <m/>
    <m/>
    <m/>
  </r>
  <r>
    <x v="14"/>
    <x v="10"/>
    <m/>
    <m/>
    <m/>
    <m/>
    <m/>
    <m/>
    <m/>
    <m/>
    <m/>
    <m/>
    <m/>
    <m/>
    <m/>
    <m/>
    <m/>
    <m/>
    <m/>
  </r>
  <r>
    <x v="14"/>
    <x v="11"/>
    <m/>
    <m/>
    <m/>
    <m/>
    <m/>
    <m/>
    <m/>
    <m/>
    <m/>
    <m/>
    <m/>
    <m/>
    <m/>
    <m/>
    <m/>
    <m/>
    <m/>
  </r>
  <r>
    <x v="14"/>
    <x v="12"/>
    <m/>
    <m/>
    <m/>
    <m/>
    <m/>
    <m/>
    <m/>
    <m/>
    <m/>
    <m/>
    <m/>
    <m/>
    <m/>
    <m/>
    <m/>
    <m/>
    <m/>
  </r>
  <r>
    <x v="14"/>
    <x v="13"/>
    <m/>
    <m/>
    <m/>
    <m/>
    <m/>
    <m/>
    <m/>
    <m/>
    <m/>
    <m/>
    <m/>
    <m/>
    <m/>
    <m/>
    <m/>
    <m/>
    <m/>
  </r>
  <r>
    <x v="14"/>
    <x v="14"/>
    <m/>
    <m/>
    <m/>
    <m/>
    <m/>
    <m/>
    <m/>
    <m/>
    <m/>
    <m/>
    <m/>
    <m/>
    <m/>
    <m/>
    <m/>
    <m/>
    <m/>
  </r>
  <r>
    <x v="14"/>
    <x v="15"/>
    <m/>
    <m/>
    <m/>
    <m/>
    <m/>
    <m/>
    <m/>
    <m/>
    <m/>
    <m/>
    <m/>
    <m/>
    <m/>
    <m/>
    <m/>
    <m/>
    <m/>
  </r>
  <r>
    <x v="14"/>
    <x v="16"/>
    <m/>
    <m/>
    <m/>
    <m/>
    <m/>
    <m/>
    <m/>
    <m/>
    <m/>
    <m/>
    <m/>
    <m/>
    <m/>
    <m/>
    <m/>
    <m/>
    <m/>
  </r>
  <r>
    <x v="14"/>
    <x v="17"/>
    <m/>
    <m/>
    <m/>
    <m/>
    <m/>
    <m/>
    <m/>
    <m/>
    <m/>
    <m/>
    <m/>
    <m/>
    <m/>
    <m/>
    <m/>
    <m/>
    <m/>
  </r>
  <r>
    <x v="14"/>
    <x v="18"/>
    <m/>
    <m/>
    <m/>
    <m/>
    <m/>
    <m/>
    <m/>
    <m/>
    <m/>
    <m/>
    <m/>
    <m/>
    <m/>
    <m/>
    <m/>
    <m/>
    <m/>
  </r>
  <r>
    <x v="14"/>
    <x v="19"/>
    <m/>
    <m/>
    <m/>
    <m/>
    <m/>
    <m/>
    <m/>
    <m/>
    <m/>
    <m/>
    <m/>
    <m/>
    <m/>
    <m/>
    <m/>
    <m/>
    <m/>
  </r>
  <r>
    <x v="14"/>
    <x v="20"/>
    <m/>
    <m/>
    <m/>
    <m/>
    <m/>
    <m/>
    <m/>
    <m/>
    <m/>
    <m/>
    <m/>
    <m/>
    <m/>
    <m/>
    <m/>
    <m/>
    <m/>
  </r>
  <r>
    <x v="14"/>
    <x v="21"/>
    <m/>
    <m/>
    <m/>
    <m/>
    <m/>
    <m/>
    <m/>
    <m/>
    <m/>
    <m/>
    <m/>
    <m/>
    <m/>
    <m/>
    <m/>
    <m/>
    <m/>
  </r>
  <r>
    <x v="14"/>
    <x v="22"/>
    <m/>
    <m/>
    <m/>
    <m/>
    <m/>
    <m/>
    <m/>
    <m/>
    <m/>
    <m/>
    <m/>
    <m/>
    <m/>
    <m/>
    <m/>
    <m/>
    <m/>
  </r>
  <r>
    <x v="14"/>
    <x v="23"/>
    <m/>
    <m/>
    <m/>
    <m/>
    <m/>
    <m/>
    <m/>
    <m/>
    <m/>
    <m/>
    <m/>
    <m/>
    <m/>
    <m/>
    <m/>
    <m/>
    <m/>
  </r>
  <r>
    <x v="14"/>
    <x v="24"/>
    <m/>
    <m/>
    <m/>
    <m/>
    <m/>
    <m/>
    <m/>
    <m/>
    <m/>
    <m/>
    <m/>
    <m/>
    <m/>
    <m/>
    <m/>
    <m/>
    <m/>
  </r>
  <r>
    <x v="14"/>
    <x v="25"/>
    <m/>
    <m/>
    <m/>
    <m/>
    <m/>
    <m/>
    <m/>
    <m/>
    <m/>
    <m/>
    <m/>
    <m/>
    <m/>
    <m/>
    <m/>
    <m/>
    <m/>
  </r>
  <r>
    <x v="14"/>
    <x v="26"/>
    <m/>
    <m/>
    <m/>
    <m/>
    <m/>
    <m/>
    <m/>
    <m/>
    <m/>
    <m/>
    <m/>
    <m/>
    <m/>
    <m/>
    <m/>
    <m/>
    <m/>
  </r>
  <r>
    <x v="14"/>
    <x v="27"/>
    <m/>
    <m/>
    <m/>
    <m/>
    <m/>
    <m/>
    <m/>
    <m/>
    <m/>
    <m/>
    <m/>
    <m/>
    <m/>
    <m/>
    <m/>
    <m/>
    <m/>
  </r>
  <r>
    <x v="14"/>
    <x v="28"/>
    <m/>
    <m/>
    <m/>
    <m/>
    <m/>
    <m/>
    <m/>
    <m/>
    <m/>
    <m/>
    <m/>
    <m/>
    <m/>
    <m/>
    <m/>
    <m/>
    <m/>
  </r>
  <r>
    <x v="14"/>
    <x v="29"/>
    <m/>
    <m/>
    <m/>
    <m/>
    <m/>
    <m/>
    <m/>
    <m/>
    <m/>
    <m/>
    <m/>
    <m/>
    <m/>
    <m/>
    <m/>
    <m/>
    <m/>
  </r>
  <r>
    <x v="14"/>
    <x v="30"/>
    <m/>
    <m/>
    <m/>
    <m/>
    <m/>
    <m/>
    <m/>
    <m/>
    <m/>
    <m/>
    <m/>
    <m/>
    <m/>
    <m/>
    <m/>
    <m/>
    <m/>
  </r>
  <r>
    <x v="14"/>
    <x v="31"/>
    <n v="42"/>
    <m/>
    <m/>
    <m/>
    <m/>
    <m/>
    <n v="35"/>
    <n v="35"/>
    <m/>
    <m/>
    <m/>
    <n v="11"/>
    <m/>
    <n v="10"/>
    <n v="3"/>
    <m/>
    <m/>
  </r>
  <r>
    <x v="14"/>
    <x v="32"/>
    <m/>
    <m/>
    <m/>
    <m/>
    <m/>
    <m/>
    <m/>
    <m/>
    <m/>
    <m/>
    <m/>
    <m/>
    <m/>
    <m/>
    <m/>
    <m/>
    <m/>
  </r>
  <r>
    <x v="14"/>
    <x v="33"/>
    <m/>
    <m/>
    <m/>
    <m/>
    <m/>
    <m/>
    <m/>
    <m/>
    <m/>
    <m/>
    <m/>
    <m/>
    <m/>
    <m/>
    <m/>
    <m/>
    <m/>
  </r>
  <r>
    <x v="14"/>
    <x v="34"/>
    <m/>
    <m/>
    <m/>
    <m/>
    <m/>
    <m/>
    <m/>
    <m/>
    <m/>
    <m/>
    <m/>
    <m/>
    <m/>
    <m/>
    <m/>
    <m/>
    <m/>
  </r>
  <r>
    <x v="14"/>
    <x v="35"/>
    <m/>
    <m/>
    <m/>
    <m/>
    <m/>
    <m/>
    <m/>
    <m/>
    <m/>
    <m/>
    <m/>
    <m/>
    <m/>
    <m/>
    <m/>
    <m/>
    <m/>
  </r>
  <r>
    <x v="14"/>
    <x v="36"/>
    <m/>
    <m/>
    <m/>
    <m/>
    <m/>
    <m/>
    <m/>
    <m/>
    <m/>
    <m/>
    <m/>
    <m/>
    <m/>
    <m/>
    <m/>
    <m/>
    <m/>
  </r>
  <r>
    <x v="14"/>
    <x v="37"/>
    <m/>
    <m/>
    <m/>
    <m/>
    <m/>
    <m/>
    <m/>
    <m/>
    <m/>
    <m/>
    <m/>
    <m/>
    <m/>
    <m/>
    <m/>
    <m/>
    <m/>
  </r>
  <r>
    <x v="14"/>
    <x v="38"/>
    <m/>
    <m/>
    <m/>
    <m/>
    <m/>
    <m/>
    <m/>
    <m/>
    <m/>
    <m/>
    <m/>
    <m/>
    <m/>
    <m/>
    <m/>
    <m/>
    <m/>
  </r>
  <r>
    <x v="14"/>
    <x v="39"/>
    <m/>
    <m/>
    <m/>
    <m/>
    <m/>
    <m/>
    <m/>
    <m/>
    <m/>
    <m/>
    <m/>
    <m/>
    <m/>
    <m/>
    <m/>
    <m/>
    <m/>
  </r>
  <r>
    <x v="14"/>
    <x v="40"/>
    <m/>
    <m/>
    <m/>
    <m/>
    <m/>
    <m/>
    <m/>
    <m/>
    <m/>
    <m/>
    <m/>
    <m/>
    <m/>
    <m/>
    <m/>
    <m/>
    <m/>
  </r>
  <r>
    <x v="14"/>
    <x v="41"/>
    <m/>
    <m/>
    <m/>
    <m/>
    <m/>
    <m/>
    <m/>
    <m/>
    <m/>
    <m/>
    <m/>
    <m/>
    <m/>
    <m/>
    <m/>
    <m/>
    <m/>
  </r>
  <r>
    <x v="14"/>
    <x v="42"/>
    <m/>
    <m/>
    <m/>
    <m/>
    <m/>
    <m/>
    <m/>
    <m/>
    <m/>
    <m/>
    <m/>
    <m/>
    <m/>
    <m/>
    <m/>
    <m/>
    <m/>
  </r>
  <r>
    <x v="14"/>
    <x v="43"/>
    <m/>
    <m/>
    <m/>
    <m/>
    <m/>
    <m/>
    <m/>
    <m/>
    <m/>
    <m/>
    <m/>
    <m/>
    <m/>
    <m/>
    <m/>
    <m/>
    <m/>
  </r>
  <r>
    <x v="14"/>
    <x v="44"/>
    <m/>
    <m/>
    <m/>
    <m/>
    <m/>
    <m/>
    <m/>
    <m/>
    <m/>
    <m/>
    <m/>
    <m/>
    <m/>
    <m/>
    <m/>
    <m/>
    <m/>
  </r>
  <r>
    <x v="14"/>
    <x v="45"/>
    <m/>
    <m/>
    <m/>
    <m/>
    <m/>
    <m/>
    <m/>
    <m/>
    <m/>
    <m/>
    <m/>
    <m/>
    <m/>
    <m/>
    <m/>
    <m/>
    <m/>
  </r>
  <r>
    <x v="14"/>
    <x v="46"/>
    <m/>
    <m/>
    <m/>
    <m/>
    <m/>
    <m/>
    <m/>
    <m/>
    <m/>
    <m/>
    <m/>
    <m/>
    <m/>
    <m/>
    <m/>
    <m/>
    <m/>
  </r>
  <r>
    <x v="14"/>
    <x v="47"/>
    <m/>
    <m/>
    <m/>
    <m/>
    <m/>
    <m/>
    <m/>
    <m/>
    <m/>
    <m/>
    <m/>
    <m/>
    <m/>
    <m/>
    <m/>
    <m/>
    <m/>
  </r>
  <r>
    <x v="14"/>
    <x v="48"/>
    <m/>
    <m/>
    <m/>
    <m/>
    <m/>
    <m/>
    <m/>
    <m/>
    <m/>
    <m/>
    <m/>
    <m/>
    <m/>
    <m/>
    <m/>
    <m/>
    <m/>
  </r>
  <r>
    <x v="14"/>
    <x v="49"/>
    <m/>
    <m/>
    <m/>
    <m/>
    <m/>
    <m/>
    <m/>
    <m/>
    <m/>
    <m/>
    <m/>
    <m/>
    <m/>
    <m/>
    <m/>
    <m/>
    <m/>
  </r>
  <r>
    <x v="14"/>
    <x v="50"/>
    <m/>
    <m/>
    <m/>
    <m/>
    <m/>
    <m/>
    <m/>
    <m/>
    <m/>
    <m/>
    <m/>
    <m/>
    <m/>
    <m/>
    <m/>
    <m/>
    <m/>
  </r>
  <r>
    <x v="14"/>
    <x v="51"/>
    <m/>
    <m/>
    <m/>
    <m/>
    <m/>
    <m/>
    <m/>
    <m/>
    <m/>
    <m/>
    <m/>
    <m/>
    <m/>
    <m/>
    <m/>
    <m/>
    <m/>
  </r>
  <r>
    <x v="15"/>
    <x v="0"/>
    <m/>
    <m/>
    <m/>
    <m/>
    <m/>
    <m/>
    <m/>
    <m/>
    <m/>
    <m/>
    <m/>
    <m/>
    <m/>
    <m/>
    <m/>
    <m/>
    <m/>
  </r>
  <r>
    <x v="15"/>
    <x v="1"/>
    <m/>
    <m/>
    <m/>
    <m/>
    <m/>
    <m/>
    <m/>
    <m/>
    <m/>
    <m/>
    <m/>
    <m/>
    <m/>
    <m/>
    <m/>
    <m/>
    <m/>
  </r>
  <r>
    <x v="15"/>
    <x v="2"/>
    <m/>
    <m/>
    <m/>
    <m/>
    <m/>
    <m/>
    <m/>
    <m/>
    <m/>
    <m/>
    <m/>
    <m/>
    <m/>
    <m/>
    <m/>
    <m/>
    <m/>
  </r>
  <r>
    <x v="15"/>
    <x v="3"/>
    <m/>
    <m/>
    <m/>
    <m/>
    <m/>
    <m/>
    <m/>
    <m/>
    <m/>
    <m/>
    <m/>
    <m/>
    <m/>
    <m/>
    <m/>
    <m/>
    <m/>
  </r>
  <r>
    <x v="15"/>
    <x v="4"/>
    <m/>
    <m/>
    <m/>
    <m/>
    <m/>
    <m/>
    <m/>
    <m/>
    <m/>
    <m/>
    <m/>
    <m/>
    <m/>
    <m/>
    <m/>
    <m/>
    <m/>
  </r>
  <r>
    <x v="15"/>
    <x v="5"/>
    <m/>
    <m/>
    <m/>
    <m/>
    <m/>
    <m/>
    <m/>
    <m/>
    <m/>
    <m/>
    <m/>
    <m/>
    <m/>
    <m/>
    <m/>
    <m/>
    <m/>
  </r>
  <r>
    <x v="15"/>
    <x v="6"/>
    <m/>
    <m/>
    <m/>
    <m/>
    <m/>
    <m/>
    <m/>
    <m/>
    <m/>
    <m/>
    <m/>
    <m/>
    <m/>
    <m/>
    <m/>
    <m/>
    <m/>
  </r>
  <r>
    <x v="15"/>
    <x v="7"/>
    <m/>
    <m/>
    <m/>
    <m/>
    <m/>
    <m/>
    <m/>
    <m/>
    <m/>
    <m/>
    <m/>
    <m/>
    <m/>
    <m/>
    <m/>
    <m/>
    <m/>
  </r>
  <r>
    <x v="15"/>
    <x v="8"/>
    <m/>
    <m/>
    <m/>
    <m/>
    <m/>
    <m/>
    <m/>
    <m/>
    <m/>
    <m/>
    <m/>
    <m/>
    <m/>
    <m/>
    <m/>
    <m/>
    <m/>
  </r>
  <r>
    <x v="15"/>
    <x v="9"/>
    <m/>
    <m/>
    <m/>
    <m/>
    <m/>
    <m/>
    <m/>
    <m/>
    <m/>
    <m/>
    <m/>
    <m/>
    <m/>
    <m/>
    <m/>
    <m/>
    <m/>
  </r>
  <r>
    <x v="15"/>
    <x v="10"/>
    <m/>
    <m/>
    <m/>
    <m/>
    <m/>
    <m/>
    <m/>
    <m/>
    <m/>
    <m/>
    <m/>
    <m/>
    <m/>
    <m/>
    <m/>
    <m/>
    <m/>
  </r>
  <r>
    <x v="15"/>
    <x v="11"/>
    <m/>
    <m/>
    <m/>
    <m/>
    <m/>
    <m/>
    <m/>
    <m/>
    <m/>
    <m/>
    <m/>
    <m/>
    <m/>
    <m/>
    <m/>
    <m/>
    <m/>
  </r>
  <r>
    <x v="15"/>
    <x v="12"/>
    <m/>
    <m/>
    <m/>
    <m/>
    <m/>
    <m/>
    <m/>
    <m/>
    <m/>
    <m/>
    <m/>
    <m/>
    <m/>
    <m/>
    <m/>
    <m/>
    <m/>
  </r>
  <r>
    <x v="15"/>
    <x v="13"/>
    <m/>
    <m/>
    <m/>
    <m/>
    <m/>
    <m/>
    <m/>
    <m/>
    <m/>
    <m/>
    <m/>
    <m/>
    <m/>
    <m/>
    <m/>
    <m/>
    <m/>
  </r>
  <r>
    <x v="15"/>
    <x v="14"/>
    <m/>
    <m/>
    <m/>
    <m/>
    <m/>
    <m/>
    <m/>
    <m/>
    <m/>
    <m/>
    <m/>
    <m/>
    <m/>
    <m/>
    <m/>
    <m/>
    <m/>
  </r>
  <r>
    <x v="15"/>
    <x v="15"/>
    <m/>
    <m/>
    <m/>
    <m/>
    <m/>
    <m/>
    <m/>
    <m/>
    <m/>
    <m/>
    <m/>
    <m/>
    <m/>
    <m/>
    <m/>
    <m/>
    <m/>
  </r>
  <r>
    <x v="15"/>
    <x v="16"/>
    <m/>
    <m/>
    <m/>
    <m/>
    <m/>
    <m/>
    <m/>
    <m/>
    <m/>
    <m/>
    <m/>
    <m/>
    <m/>
    <m/>
    <m/>
    <m/>
    <m/>
  </r>
  <r>
    <x v="15"/>
    <x v="17"/>
    <m/>
    <m/>
    <m/>
    <m/>
    <m/>
    <m/>
    <m/>
    <m/>
    <m/>
    <m/>
    <m/>
    <m/>
    <m/>
    <m/>
    <m/>
    <m/>
    <m/>
  </r>
  <r>
    <x v="15"/>
    <x v="18"/>
    <m/>
    <m/>
    <m/>
    <m/>
    <m/>
    <m/>
    <m/>
    <m/>
    <m/>
    <m/>
    <m/>
    <m/>
    <m/>
    <m/>
    <m/>
    <m/>
    <m/>
  </r>
  <r>
    <x v="15"/>
    <x v="19"/>
    <m/>
    <m/>
    <m/>
    <m/>
    <m/>
    <m/>
    <m/>
    <m/>
    <m/>
    <m/>
    <m/>
    <m/>
    <m/>
    <m/>
    <m/>
    <m/>
    <m/>
  </r>
  <r>
    <x v="15"/>
    <x v="20"/>
    <m/>
    <m/>
    <m/>
    <m/>
    <m/>
    <m/>
    <m/>
    <m/>
    <m/>
    <m/>
    <m/>
    <m/>
    <m/>
    <m/>
    <m/>
    <m/>
    <m/>
  </r>
  <r>
    <x v="15"/>
    <x v="21"/>
    <m/>
    <m/>
    <m/>
    <m/>
    <m/>
    <m/>
    <m/>
    <m/>
    <m/>
    <m/>
    <m/>
    <m/>
    <m/>
    <m/>
    <m/>
    <m/>
    <m/>
  </r>
  <r>
    <x v="15"/>
    <x v="22"/>
    <m/>
    <m/>
    <m/>
    <m/>
    <m/>
    <m/>
    <m/>
    <m/>
    <m/>
    <m/>
    <m/>
    <m/>
    <m/>
    <m/>
    <m/>
    <m/>
    <m/>
  </r>
  <r>
    <x v="15"/>
    <x v="23"/>
    <m/>
    <m/>
    <m/>
    <m/>
    <m/>
    <m/>
    <m/>
    <m/>
    <m/>
    <m/>
    <m/>
    <m/>
    <m/>
    <m/>
    <m/>
    <m/>
    <m/>
  </r>
  <r>
    <x v="15"/>
    <x v="24"/>
    <m/>
    <m/>
    <m/>
    <m/>
    <m/>
    <m/>
    <m/>
    <m/>
    <m/>
    <m/>
    <m/>
    <m/>
    <m/>
    <m/>
    <m/>
    <m/>
    <m/>
  </r>
  <r>
    <x v="15"/>
    <x v="25"/>
    <m/>
    <m/>
    <m/>
    <m/>
    <m/>
    <m/>
    <m/>
    <m/>
    <m/>
    <m/>
    <m/>
    <m/>
    <m/>
    <m/>
    <m/>
    <m/>
    <m/>
  </r>
  <r>
    <x v="15"/>
    <x v="26"/>
    <m/>
    <m/>
    <m/>
    <m/>
    <m/>
    <m/>
    <m/>
    <m/>
    <m/>
    <m/>
    <m/>
    <m/>
    <m/>
    <m/>
    <m/>
    <m/>
    <m/>
  </r>
  <r>
    <x v="15"/>
    <x v="27"/>
    <m/>
    <m/>
    <m/>
    <m/>
    <m/>
    <m/>
    <m/>
    <m/>
    <m/>
    <m/>
    <m/>
    <m/>
    <m/>
    <m/>
    <m/>
    <m/>
    <m/>
  </r>
  <r>
    <x v="15"/>
    <x v="28"/>
    <m/>
    <m/>
    <m/>
    <m/>
    <m/>
    <m/>
    <m/>
    <m/>
    <m/>
    <m/>
    <m/>
    <m/>
    <m/>
    <m/>
    <m/>
    <m/>
    <m/>
  </r>
  <r>
    <x v="15"/>
    <x v="29"/>
    <m/>
    <m/>
    <m/>
    <m/>
    <m/>
    <m/>
    <n v="3"/>
    <m/>
    <n v="5"/>
    <m/>
    <n v="3"/>
    <n v="5"/>
    <n v="1"/>
    <n v="3"/>
    <m/>
    <n v="8"/>
    <m/>
  </r>
  <r>
    <x v="15"/>
    <x v="30"/>
    <m/>
    <m/>
    <m/>
    <m/>
    <m/>
    <m/>
    <n v="4"/>
    <m/>
    <n v="2"/>
    <m/>
    <n v="4"/>
    <n v="5"/>
    <m/>
    <n v="4"/>
    <m/>
    <n v="4"/>
    <m/>
  </r>
  <r>
    <x v="15"/>
    <x v="31"/>
    <m/>
    <m/>
    <m/>
    <m/>
    <m/>
    <m/>
    <m/>
    <m/>
    <m/>
    <m/>
    <m/>
    <m/>
    <m/>
    <m/>
    <m/>
    <m/>
    <m/>
  </r>
  <r>
    <x v="15"/>
    <x v="32"/>
    <m/>
    <m/>
    <m/>
    <m/>
    <m/>
    <m/>
    <m/>
    <m/>
    <m/>
    <m/>
    <m/>
    <m/>
    <m/>
    <m/>
    <m/>
    <m/>
    <m/>
  </r>
  <r>
    <x v="15"/>
    <x v="33"/>
    <m/>
    <m/>
    <m/>
    <m/>
    <m/>
    <m/>
    <m/>
    <m/>
    <m/>
    <m/>
    <m/>
    <m/>
    <m/>
    <m/>
    <m/>
    <m/>
    <m/>
  </r>
  <r>
    <x v="15"/>
    <x v="34"/>
    <m/>
    <m/>
    <m/>
    <m/>
    <m/>
    <m/>
    <m/>
    <m/>
    <m/>
    <m/>
    <m/>
    <m/>
    <m/>
    <m/>
    <m/>
    <m/>
    <m/>
  </r>
  <r>
    <x v="15"/>
    <x v="35"/>
    <m/>
    <m/>
    <m/>
    <m/>
    <m/>
    <m/>
    <m/>
    <m/>
    <m/>
    <m/>
    <m/>
    <m/>
    <m/>
    <m/>
    <m/>
    <m/>
    <m/>
  </r>
  <r>
    <x v="15"/>
    <x v="36"/>
    <m/>
    <m/>
    <m/>
    <m/>
    <m/>
    <m/>
    <m/>
    <m/>
    <m/>
    <m/>
    <m/>
    <m/>
    <m/>
    <m/>
    <m/>
    <m/>
    <m/>
  </r>
  <r>
    <x v="15"/>
    <x v="37"/>
    <m/>
    <m/>
    <m/>
    <m/>
    <m/>
    <m/>
    <m/>
    <m/>
    <m/>
    <m/>
    <m/>
    <m/>
    <m/>
    <m/>
    <m/>
    <m/>
    <m/>
  </r>
  <r>
    <x v="15"/>
    <x v="38"/>
    <m/>
    <m/>
    <m/>
    <m/>
    <m/>
    <m/>
    <m/>
    <m/>
    <m/>
    <m/>
    <m/>
    <m/>
    <m/>
    <m/>
    <m/>
    <m/>
    <m/>
  </r>
  <r>
    <x v="15"/>
    <x v="39"/>
    <m/>
    <m/>
    <m/>
    <m/>
    <m/>
    <m/>
    <n v="3"/>
    <m/>
    <n v="5"/>
    <m/>
    <n v="2"/>
    <n v="5"/>
    <n v="1"/>
    <n v="2"/>
    <m/>
    <n v="7"/>
    <m/>
  </r>
  <r>
    <x v="15"/>
    <x v="40"/>
    <m/>
    <m/>
    <m/>
    <m/>
    <m/>
    <m/>
    <m/>
    <m/>
    <m/>
    <m/>
    <m/>
    <m/>
    <m/>
    <m/>
    <m/>
    <m/>
    <m/>
  </r>
  <r>
    <x v="15"/>
    <x v="41"/>
    <m/>
    <m/>
    <m/>
    <m/>
    <m/>
    <m/>
    <m/>
    <m/>
    <m/>
    <m/>
    <m/>
    <m/>
    <m/>
    <m/>
    <m/>
    <m/>
    <m/>
  </r>
  <r>
    <x v="15"/>
    <x v="42"/>
    <m/>
    <m/>
    <m/>
    <m/>
    <m/>
    <m/>
    <m/>
    <m/>
    <m/>
    <m/>
    <m/>
    <m/>
    <m/>
    <m/>
    <m/>
    <m/>
    <m/>
  </r>
  <r>
    <x v="15"/>
    <x v="43"/>
    <m/>
    <m/>
    <m/>
    <m/>
    <m/>
    <m/>
    <m/>
    <m/>
    <m/>
    <m/>
    <m/>
    <m/>
    <m/>
    <m/>
    <m/>
    <m/>
    <m/>
  </r>
  <r>
    <x v="15"/>
    <x v="44"/>
    <m/>
    <m/>
    <m/>
    <m/>
    <m/>
    <m/>
    <m/>
    <m/>
    <m/>
    <m/>
    <m/>
    <m/>
    <m/>
    <m/>
    <m/>
    <m/>
    <m/>
  </r>
  <r>
    <x v="15"/>
    <x v="45"/>
    <m/>
    <m/>
    <m/>
    <m/>
    <m/>
    <m/>
    <m/>
    <m/>
    <m/>
    <m/>
    <m/>
    <m/>
    <m/>
    <m/>
    <m/>
    <m/>
    <m/>
  </r>
  <r>
    <x v="15"/>
    <x v="46"/>
    <m/>
    <m/>
    <m/>
    <m/>
    <m/>
    <m/>
    <m/>
    <m/>
    <m/>
    <m/>
    <m/>
    <m/>
    <m/>
    <m/>
    <m/>
    <m/>
    <m/>
  </r>
  <r>
    <x v="15"/>
    <x v="47"/>
    <m/>
    <m/>
    <m/>
    <m/>
    <m/>
    <m/>
    <m/>
    <m/>
    <m/>
    <m/>
    <m/>
    <m/>
    <m/>
    <m/>
    <m/>
    <m/>
    <m/>
  </r>
  <r>
    <x v="15"/>
    <x v="48"/>
    <m/>
    <m/>
    <m/>
    <m/>
    <m/>
    <m/>
    <m/>
    <m/>
    <m/>
    <m/>
    <m/>
    <m/>
    <m/>
    <m/>
    <m/>
    <m/>
    <m/>
  </r>
  <r>
    <x v="15"/>
    <x v="49"/>
    <m/>
    <m/>
    <m/>
    <m/>
    <m/>
    <m/>
    <m/>
    <m/>
    <m/>
    <m/>
    <m/>
    <m/>
    <m/>
    <m/>
    <m/>
    <m/>
    <m/>
  </r>
  <r>
    <x v="15"/>
    <x v="50"/>
    <m/>
    <m/>
    <m/>
    <m/>
    <m/>
    <m/>
    <m/>
    <m/>
    <m/>
    <m/>
    <m/>
    <m/>
    <m/>
    <m/>
    <m/>
    <m/>
    <m/>
  </r>
  <r>
    <x v="15"/>
    <x v="51"/>
    <m/>
    <m/>
    <m/>
    <m/>
    <m/>
    <m/>
    <m/>
    <m/>
    <m/>
    <m/>
    <m/>
    <m/>
    <m/>
    <m/>
    <m/>
    <m/>
    <m/>
  </r>
  <r>
    <x v="16"/>
    <x v="9"/>
    <m/>
    <m/>
    <m/>
    <m/>
    <m/>
    <m/>
    <n v="1"/>
    <m/>
    <m/>
    <m/>
    <n v="1"/>
    <m/>
    <n v="1"/>
    <m/>
    <m/>
    <n v="1"/>
    <m/>
  </r>
  <r>
    <x v="16"/>
    <x v="56"/>
    <n v="1"/>
    <m/>
    <n v="1"/>
    <m/>
    <n v="1"/>
    <m/>
    <n v="1"/>
    <m/>
    <m/>
    <n v="1"/>
    <m/>
    <n v="1"/>
    <n v="1"/>
    <n v="1"/>
    <m/>
    <n v="1"/>
    <m/>
  </r>
  <r>
    <x v="16"/>
    <x v="16"/>
    <n v="1"/>
    <m/>
    <n v="1"/>
    <m/>
    <n v="1"/>
    <m/>
    <m/>
    <m/>
    <m/>
    <m/>
    <m/>
    <m/>
    <m/>
    <m/>
    <m/>
    <m/>
    <m/>
  </r>
  <r>
    <x v="16"/>
    <x v="17"/>
    <n v="1"/>
    <m/>
    <n v="1"/>
    <m/>
    <n v="1"/>
    <m/>
    <m/>
    <m/>
    <m/>
    <n v="1"/>
    <m/>
    <m/>
    <n v="1"/>
    <m/>
    <m/>
    <n v="1"/>
    <m/>
  </r>
  <r>
    <x v="16"/>
    <x v="20"/>
    <n v="1"/>
    <n v="1"/>
    <n v="1"/>
    <n v="1"/>
    <n v="1"/>
    <n v="1"/>
    <m/>
    <m/>
    <m/>
    <m/>
    <m/>
    <n v="1"/>
    <n v="1"/>
    <m/>
    <n v="1"/>
    <n v="1"/>
    <m/>
  </r>
  <r>
    <x v="16"/>
    <x v="57"/>
    <n v="1"/>
    <n v="1"/>
    <n v="1"/>
    <n v="1"/>
    <n v="1"/>
    <n v="1"/>
    <m/>
    <m/>
    <n v="1"/>
    <m/>
    <m/>
    <m/>
    <n v="1"/>
    <m/>
    <n v="1"/>
    <n v="1"/>
    <m/>
  </r>
  <r>
    <x v="16"/>
    <x v="23"/>
    <m/>
    <m/>
    <m/>
    <m/>
    <m/>
    <m/>
    <m/>
    <m/>
    <m/>
    <m/>
    <m/>
    <m/>
    <n v="1"/>
    <m/>
    <m/>
    <n v="1"/>
    <m/>
  </r>
  <r>
    <x v="16"/>
    <x v="24"/>
    <n v="1"/>
    <m/>
    <n v="1"/>
    <m/>
    <n v="1"/>
    <m/>
    <n v="1"/>
    <m/>
    <m/>
    <m/>
    <m/>
    <m/>
    <m/>
    <m/>
    <m/>
    <m/>
    <m/>
  </r>
  <r>
    <x v="16"/>
    <x v="26"/>
    <n v="1"/>
    <m/>
    <n v="1"/>
    <m/>
    <n v="1"/>
    <m/>
    <m/>
    <m/>
    <m/>
    <m/>
    <m/>
    <m/>
    <m/>
    <m/>
    <m/>
    <m/>
    <m/>
  </r>
  <r>
    <x v="16"/>
    <x v="58"/>
    <m/>
    <m/>
    <m/>
    <m/>
    <m/>
    <m/>
    <m/>
    <m/>
    <n v="1"/>
    <m/>
    <n v="1"/>
    <m/>
    <n v="1"/>
    <n v="1"/>
    <m/>
    <n v="1"/>
    <m/>
  </r>
  <r>
    <x v="16"/>
    <x v="27"/>
    <m/>
    <n v="1"/>
    <m/>
    <n v="1"/>
    <m/>
    <n v="1"/>
    <m/>
    <m/>
    <m/>
    <m/>
    <m/>
    <n v="2"/>
    <m/>
    <m/>
    <m/>
    <m/>
    <m/>
  </r>
  <r>
    <x v="16"/>
    <x v="59"/>
    <m/>
    <m/>
    <m/>
    <m/>
    <m/>
    <m/>
    <n v="3"/>
    <n v="1"/>
    <n v="1"/>
    <m/>
    <m/>
    <m/>
    <n v="1"/>
    <m/>
    <n v="1"/>
    <n v="1"/>
    <m/>
  </r>
  <r>
    <x v="16"/>
    <x v="33"/>
    <n v="1"/>
    <m/>
    <n v="1"/>
    <m/>
    <n v="1"/>
    <m/>
    <m/>
    <n v="1"/>
    <m/>
    <m/>
    <m/>
    <m/>
    <n v="1"/>
    <m/>
    <m/>
    <n v="1"/>
    <m/>
  </r>
  <r>
    <x v="16"/>
    <x v="36"/>
    <n v="1"/>
    <n v="1"/>
    <n v="1"/>
    <n v="1"/>
    <n v="5"/>
    <n v="7"/>
    <n v="6"/>
    <n v="6"/>
    <n v="4"/>
    <m/>
    <m/>
    <m/>
    <n v="1"/>
    <m/>
    <m/>
    <n v="17"/>
    <m/>
  </r>
  <r>
    <x v="16"/>
    <x v="60"/>
    <m/>
    <m/>
    <m/>
    <m/>
    <m/>
    <m/>
    <m/>
    <m/>
    <m/>
    <m/>
    <m/>
    <m/>
    <n v="1"/>
    <m/>
    <n v="1"/>
    <n v="1"/>
    <m/>
  </r>
  <r>
    <x v="16"/>
    <x v="61"/>
    <m/>
    <m/>
    <m/>
    <m/>
    <m/>
    <m/>
    <m/>
    <m/>
    <m/>
    <m/>
    <m/>
    <m/>
    <n v="1"/>
    <m/>
    <m/>
    <n v="1"/>
    <m/>
  </r>
  <r>
    <x v="17"/>
    <x v="0"/>
    <m/>
    <m/>
    <m/>
    <m/>
    <m/>
    <m/>
    <m/>
    <m/>
    <m/>
    <m/>
    <m/>
    <m/>
    <m/>
    <m/>
    <m/>
    <m/>
    <m/>
  </r>
  <r>
    <x v="17"/>
    <x v="1"/>
    <m/>
    <m/>
    <m/>
    <m/>
    <m/>
    <m/>
    <m/>
    <m/>
    <m/>
    <m/>
    <m/>
    <m/>
    <m/>
    <m/>
    <m/>
    <m/>
    <m/>
  </r>
  <r>
    <x v="17"/>
    <x v="2"/>
    <m/>
    <m/>
    <m/>
    <m/>
    <m/>
    <m/>
    <m/>
    <m/>
    <m/>
    <m/>
    <m/>
    <m/>
    <m/>
    <m/>
    <m/>
    <m/>
    <m/>
  </r>
  <r>
    <x v="17"/>
    <x v="3"/>
    <m/>
    <m/>
    <m/>
    <m/>
    <m/>
    <m/>
    <m/>
    <m/>
    <m/>
    <m/>
    <m/>
    <m/>
    <m/>
    <m/>
    <m/>
    <m/>
    <m/>
  </r>
  <r>
    <x v="17"/>
    <x v="4"/>
    <m/>
    <m/>
    <m/>
    <m/>
    <m/>
    <m/>
    <m/>
    <m/>
    <m/>
    <m/>
    <m/>
    <m/>
    <m/>
    <m/>
    <m/>
    <m/>
    <m/>
  </r>
  <r>
    <x v="17"/>
    <x v="5"/>
    <m/>
    <m/>
    <m/>
    <m/>
    <m/>
    <m/>
    <m/>
    <m/>
    <m/>
    <m/>
    <m/>
    <m/>
    <m/>
    <n v="2"/>
    <m/>
    <m/>
    <m/>
  </r>
  <r>
    <x v="17"/>
    <x v="6"/>
    <m/>
    <m/>
    <m/>
    <m/>
    <m/>
    <m/>
    <m/>
    <m/>
    <m/>
    <m/>
    <m/>
    <m/>
    <m/>
    <m/>
    <m/>
    <m/>
    <m/>
  </r>
  <r>
    <x v="17"/>
    <x v="7"/>
    <m/>
    <m/>
    <m/>
    <m/>
    <m/>
    <m/>
    <m/>
    <m/>
    <m/>
    <m/>
    <m/>
    <m/>
    <m/>
    <m/>
    <m/>
    <m/>
    <m/>
  </r>
  <r>
    <x v="17"/>
    <x v="8"/>
    <m/>
    <m/>
    <m/>
    <m/>
    <m/>
    <m/>
    <m/>
    <m/>
    <m/>
    <m/>
    <m/>
    <m/>
    <m/>
    <m/>
    <m/>
    <m/>
    <m/>
  </r>
  <r>
    <x v="17"/>
    <x v="9"/>
    <m/>
    <m/>
    <m/>
    <m/>
    <m/>
    <m/>
    <m/>
    <m/>
    <m/>
    <m/>
    <m/>
    <m/>
    <m/>
    <m/>
    <m/>
    <m/>
    <m/>
  </r>
  <r>
    <x v="17"/>
    <x v="10"/>
    <m/>
    <m/>
    <m/>
    <m/>
    <m/>
    <m/>
    <m/>
    <m/>
    <m/>
    <m/>
    <m/>
    <m/>
    <m/>
    <m/>
    <m/>
    <m/>
    <m/>
  </r>
  <r>
    <x v="17"/>
    <x v="11"/>
    <m/>
    <m/>
    <m/>
    <m/>
    <m/>
    <m/>
    <m/>
    <m/>
    <m/>
    <m/>
    <m/>
    <m/>
    <m/>
    <m/>
    <m/>
    <m/>
    <m/>
  </r>
  <r>
    <x v="17"/>
    <x v="12"/>
    <m/>
    <m/>
    <m/>
    <m/>
    <m/>
    <m/>
    <m/>
    <m/>
    <m/>
    <m/>
    <m/>
    <m/>
    <m/>
    <m/>
    <m/>
    <m/>
    <m/>
  </r>
  <r>
    <x v="17"/>
    <x v="13"/>
    <m/>
    <m/>
    <m/>
    <m/>
    <m/>
    <m/>
    <m/>
    <m/>
    <m/>
    <m/>
    <m/>
    <m/>
    <m/>
    <m/>
    <m/>
    <m/>
    <m/>
  </r>
  <r>
    <x v="17"/>
    <x v="14"/>
    <m/>
    <m/>
    <m/>
    <m/>
    <m/>
    <m/>
    <m/>
    <m/>
    <m/>
    <m/>
    <m/>
    <m/>
    <m/>
    <m/>
    <m/>
    <m/>
    <m/>
  </r>
  <r>
    <x v="17"/>
    <x v="15"/>
    <m/>
    <m/>
    <m/>
    <m/>
    <m/>
    <m/>
    <m/>
    <m/>
    <m/>
    <m/>
    <m/>
    <m/>
    <m/>
    <m/>
    <m/>
    <m/>
    <m/>
  </r>
  <r>
    <x v="17"/>
    <x v="16"/>
    <m/>
    <m/>
    <m/>
    <m/>
    <m/>
    <m/>
    <m/>
    <m/>
    <m/>
    <m/>
    <m/>
    <m/>
    <m/>
    <m/>
    <m/>
    <m/>
    <m/>
  </r>
  <r>
    <x v="17"/>
    <x v="17"/>
    <m/>
    <m/>
    <m/>
    <m/>
    <m/>
    <m/>
    <m/>
    <m/>
    <m/>
    <m/>
    <m/>
    <m/>
    <m/>
    <m/>
    <m/>
    <m/>
    <m/>
  </r>
  <r>
    <x v="17"/>
    <x v="18"/>
    <m/>
    <m/>
    <m/>
    <m/>
    <m/>
    <m/>
    <m/>
    <m/>
    <m/>
    <m/>
    <m/>
    <m/>
    <m/>
    <m/>
    <m/>
    <m/>
    <m/>
  </r>
  <r>
    <x v="17"/>
    <x v="19"/>
    <m/>
    <m/>
    <m/>
    <m/>
    <m/>
    <m/>
    <m/>
    <m/>
    <m/>
    <m/>
    <m/>
    <m/>
    <m/>
    <m/>
    <m/>
    <m/>
    <m/>
  </r>
  <r>
    <x v="17"/>
    <x v="20"/>
    <m/>
    <m/>
    <m/>
    <m/>
    <m/>
    <m/>
    <m/>
    <m/>
    <m/>
    <m/>
    <m/>
    <m/>
    <m/>
    <m/>
    <m/>
    <m/>
    <m/>
  </r>
  <r>
    <x v="17"/>
    <x v="21"/>
    <m/>
    <m/>
    <m/>
    <m/>
    <m/>
    <m/>
    <m/>
    <m/>
    <m/>
    <m/>
    <m/>
    <m/>
    <m/>
    <m/>
    <m/>
    <m/>
    <m/>
  </r>
  <r>
    <x v="17"/>
    <x v="22"/>
    <m/>
    <m/>
    <m/>
    <m/>
    <m/>
    <m/>
    <m/>
    <m/>
    <m/>
    <m/>
    <m/>
    <m/>
    <m/>
    <m/>
    <m/>
    <m/>
    <m/>
  </r>
  <r>
    <x v="17"/>
    <x v="23"/>
    <m/>
    <m/>
    <m/>
    <m/>
    <m/>
    <m/>
    <m/>
    <m/>
    <m/>
    <m/>
    <m/>
    <m/>
    <m/>
    <m/>
    <m/>
    <m/>
    <m/>
  </r>
  <r>
    <x v="17"/>
    <x v="24"/>
    <m/>
    <m/>
    <m/>
    <m/>
    <m/>
    <m/>
    <m/>
    <m/>
    <m/>
    <m/>
    <m/>
    <m/>
    <m/>
    <m/>
    <m/>
    <m/>
    <m/>
  </r>
  <r>
    <x v="17"/>
    <x v="25"/>
    <m/>
    <m/>
    <m/>
    <m/>
    <m/>
    <m/>
    <m/>
    <m/>
    <m/>
    <m/>
    <m/>
    <m/>
    <m/>
    <m/>
    <m/>
    <m/>
    <m/>
  </r>
  <r>
    <x v="17"/>
    <x v="26"/>
    <m/>
    <m/>
    <m/>
    <m/>
    <m/>
    <m/>
    <m/>
    <m/>
    <m/>
    <m/>
    <m/>
    <m/>
    <m/>
    <m/>
    <m/>
    <m/>
    <m/>
  </r>
  <r>
    <x v="17"/>
    <x v="27"/>
    <m/>
    <m/>
    <m/>
    <m/>
    <m/>
    <m/>
    <m/>
    <m/>
    <m/>
    <m/>
    <m/>
    <m/>
    <m/>
    <m/>
    <m/>
    <m/>
    <m/>
  </r>
  <r>
    <x v="17"/>
    <x v="28"/>
    <m/>
    <m/>
    <m/>
    <m/>
    <m/>
    <m/>
    <m/>
    <m/>
    <m/>
    <m/>
    <m/>
    <m/>
    <m/>
    <m/>
    <m/>
    <m/>
    <m/>
  </r>
  <r>
    <x v="17"/>
    <x v="29"/>
    <m/>
    <m/>
    <m/>
    <m/>
    <m/>
    <m/>
    <m/>
    <m/>
    <m/>
    <m/>
    <m/>
    <m/>
    <m/>
    <m/>
    <m/>
    <m/>
    <m/>
  </r>
  <r>
    <x v="17"/>
    <x v="30"/>
    <m/>
    <m/>
    <m/>
    <m/>
    <m/>
    <m/>
    <m/>
    <m/>
    <m/>
    <m/>
    <m/>
    <m/>
    <m/>
    <m/>
    <m/>
    <m/>
    <m/>
  </r>
  <r>
    <x v="17"/>
    <x v="31"/>
    <m/>
    <m/>
    <m/>
    <m/>
    <m/>
    <m/>
    <m/>
    <m/>
    <m/>
    <m/>
    <m/>
    <n v="2"/>
    <m/>
    <m/>
    <m/>
    <n v="6"/>
    <m/>
  </r>
  <r>
    <x v="17"/>
    <x v="32"/>
    <m/>
    <m/>
    <m/>
    <m/>
    <m/>
    <m/>
    <m/>
    <m/>
    <m/>
    <m/>
    <m/>
    <m/>
    <m/>
    <m/>
    <m/>
    <m/>
    <m/>
  </r>
  <r>
    <x v="17"/>
    <x v="33"/>
    <m/>
    <m/>
    <m/>
    <m/>
    <m/>
    <m/>
    <m/>
    <m/>
    <m/>
    <m/>
    <m/>
    <m/>
    <m/>
    <m/>
    <m/>
    <m/>
    <m/>
  </r>
  <r>
    <x v="17"/>
    <x v="34"/>
    <m/>
    <m/>
    <m/>
    <m/>
    <m/>
    <m/>
    <m/>
    <m/>
    <m/>
    <m/>
    <m/>
    <m/>
    <m/>
    <m/>
    <m/>
    <m/>
    <m/>
  </r>
  <r>
    <x v="17"/>
    <x v="35"/>
    <m/>
    <m/>
    <m/>
    <m/>
    <m/>
    <m/>
    <m/>
    <m/>
    <m/>
    <m/>
    <m/>
    <m/>
    <m/>
    <m/>
    <m/>
    <m/>
    <m/>
  </r>
  <r>
    <x v="17"/>
    <x v="36"/>
    <m/>
    <m/>
    <m/>
    <m/>
    <m/>
    <m/>
    <m/>
    <m/>
    <m/>
    <m/>
    <m/>
    <m/>
    <m/>
    <m/>
    <m/>
    <m/>
    <m/>
  </r>
  <r>
    <x v="17"/>
    <x v="37"/>
    <m/>
    <m/>
    <m/>
    <m/>
    <m/>
    <m/>
    <m/>
    <m/>
    <m/>
    <m/>
    <m/>
    <m/>
    <m/>
    <m/>
    <m/>
    <m/>
    <m/>
  </r>
  <r>
    <x v="17"/>
    <x v="38"/>
    <m/>
    <m/>
    <m/>
    <m/>
    <m/>
    <m/>
    <m/>
    <m/>
    <m/>
    <m/>
    <m/>
    <m/>
    <m/>
    <m/>
    <m/>
    <m/>
    <m/>
  </r>
  <r>
    <x v="17"/>
    <x v="39"/>
    <m/>
    <m/>
    <m/>
    <m/>
    <m/>
    <m/>
    <m/>
    <m/>
    <m/>
    <m/>
    <m/>
    <m/>
    <m/>
    <m/>
    <m/>
    <m/>
    <m/>
  </r>
  <r>
    <x v="17"/>
    <x v="40"/>
    <m/>
    <m/>
    <m/>
    <m/>
    <m/>
    <m/>
    <m/>
    <m/>
    <m/>
    <m/>
    <m/>
    <m/>
    <m/>
    <m/>
    <m/>
    <m/>
    <m/>
  </r>
  <r>
    <x v="17"/>
    <x v="41"/>
    <m/>
    <m/>
    <m/>
    <m/>
    <m/>
    <m/>
    <m/>
    <m/>
    <m/>
    <m/>
    <m/>
    <m/>
    <m/>
    <m/>
    <m/>
    <m/>
    <m/>
  </r>
  <r>
    <x v="17"/>
    <x v="42"/>
    <m/>
    <m/>
    <m/>
    <m/>
    <m/>
    <m/>
    <m/>
    <m/>
    <m/>
    <m/>
    <m/>
    <m/>
    <m/>
    <m/>
    <m/>
    <m/>
    <m/>
  </r>
  <r>
    <x v="17"/>
    <x v="43"/>
    <m/>
    <m/>
    <m/>
    <m/>
    <m/>
    <m/>
    <m/>
    <m/>
    <m/>
    <m/>
    <m/>
    <m/>
    <m/>
    <m/>
    <m/>
    <m/>
    <m/>
  </r>
  <r>
    <x v="17"/>
    <x v="44"/>
    <m/>
    <m/>
    <m/>
    <m/>
    <m/>
    <m/>
    <m/>
    <m/>
    <m/>
    <m/>
    <m/>
    <m/>
    <m/>
    <m/>
    <m/>
    <m/>
    <m/>
  </r>
  <r>
    <x v="17"/>
    <x v="45"/>
    <m/>
    <m/>
    <m/>
    <m/>
    <m/>
    <m/>
    <m/>
    <m/>
    <m/>
    <m/>
    <m/>
    <m/>
    <m/>
    <m/>
    <m/>
    <m/>
    <m/>
  </r>
  <r>
    <x v="17"/>
    <x v="46"/>
    <m/>
    <m/>
    <m/>
    <m/>
    <m/>
    <m/>
    <m/>
    <m/>
    <m/>
    <m/>
    <m/>
    <m/>
    <m/>
    <m/>
    <m/>
    <m/>
    <m/>
  </r>
  <r>
    <x v="17"/>
    <x v="47"/>
    <m/>
    <m/>
    <m/>
    <m/>
    <m/>
    <m/>
    <m/>
    <m/>
    <m/>
    <m/>
    <m/>
    <m/>
    <m/>
    <m/>
    <m/>
    <m/>
    <m/>
  </r>
  <r>
    <x v="17"/>
    <x v="48"/>
    <m/>
    <m/>
    <m/>
    <m/>
    <m/>
    <m/>
    <m/>
    <m/>
    <m/>
    <m/>
    <m/>
    <m/>
    <m/>
    <m/>
    <m/>
    <m/>
    <m/>
  </r>
  <r>
    <x v="17"/>
    <x v="49"/>
    <m/>
    <m/>
    <m/>
    <m/>
    <m/>
    <m/>
    <m/>
    <m/>
    <m/>
    <m/>
    <m/>
    <m/>
    <m/>
    <m/>
    <m/>
    <m/>
    <m/>
  </r>
  <r>
    <x v="17"/>
    <x v="50"/>
    <m/>
    <m/>
    <m/>
    <m/>
    <m/>
    <m/>
    <m/>
    <m/>
    <m/>
    <m/>
    <m/>
    <m/>
    <m/>
    <m/>
    <m/>
    <m/>
    <m/>
  </r>
  <r>
    <x v="17"/>
    <x v="51"/>
    <m/>
    <m/>
    <m/>
    <m/>
    <m/>
    <m/>
    <m/>
    <m/>
    <m/>
    <m/>
    <m/>
    <m/>
    <m/>
    <m/>
    <m/>
    <m/>
    <m/>
  </r>
  <r>
    <x v="18"/>
    <x v="0"/>
    <m/>
    <m/>
    <m/>
    <m/>
    <m/>
    <m/>
    <m/>
    <m/>
    <m/>
    <m/>
    <m/>
    <m/>
    <m/>
    <m/>
    <m/>
    <m/>
    <m/>
  </r>
  <r>
    <x v="18"/>
    <x v="1"/>
    <m/>
    <m/>
    <m/>
    <m/>
    <m/>
    <m/>
    <m/>
    <m/>
    <m/>
    <m/>
    <m/>
    <m/>
    <m/>
    <m/>
    <m/>
    <m/>
    <m/>
  </r>
  <r>
    <x v="18"/>
    <x v="2"/>
    <n v="1"/>
    <n v="1"/>
    <n v="1"/>
    <n v="1"/>
    <n v="1"/>
    <n v="1"/>
    <n v="1"/>
    <n v="1"/>
    <m/>
    <n v="1"/>
    <n v="1"/>
    <n v="1"/>
    <m/>
    <n v="1"/>
    <m/>
    <m/>
    <m/>
  </r>
  <r>
    <x v="18"/>
    <x v="3"/>
    <m/>
    <m/>
    <m/>
    <m/>
    <m/>
    <m/>
    <m/>
    <m/>
    <m/>
    <m/>
    <m/>
    <m/>
    <m/>
    <m/>
    <m/>
    <m/>
    <m/>
  </r>
  <r>
    <x v="18"/>
    <x v="4"/>
    <m/>
    <m/>
    <m/>
    <m/>
    <m/>
    <m/>
    <m/>
    <m/>
    <m/>
    <m/>
    <m/>
    <m/>
    <m/>
    <m/>
    <m/>
    <m/>
    <m/>
  </r>
  <r>
    <x v="18"/>
    <x v="5"/>
    <m/>
    <m/>
    <m/>
    <m/>
    <m/>
    <m/>
    <n v="11"/>
    <m/>
    <n v="32"/>
    <m/>
    <n v="31"/>
    <n v="35"/>
    <n v="22"/>
    <n v="34"/>
    <n v="6"/>
    <n v="34"/>
    <m/>
  </r>
  <r>
    <x v="18"/>
    <x v="6"/>
    <m/>
    <m/>
    <m/>
    <m/>
    <m/>
    <m/>
    <m/>
    <m/>
    <m/>
    <m/>
    <m/>
    <m/>
    <m/>
    <m/>
    <m/>
    <m/>
    <m/>
  </r>
  <r>
    <x v="18"/>
    <x v="7"/>
    <m/>
    <m/>
    <m/>
    <m/>
    <m/>
    <m/>
    <m/>
    <m/>
    <m/>
    <m/>
    <m/>
    <m/>
    <m/>
    <m/>
    <n v="1"/>
    <m/>
    <m/>
  </r>
  <r>
    <x v="18"/>
    <x v="8"/>
    <m/>
    <m/>
    <m/>
    <m/>
    <m/>
    <m/>
    <m/>
    <m/>
    <m/>
    <m/>
    <m/>
    <m/>
    <m/>
    <m/>
    <m/>
    <m/>
    <m/>
  </r>
  <r>
    <x v="18"/>
    <x v="9"/>
    <m/>
    <m/>
    <m/>
    <m/>
    <m/>
    <m/>
    <m/>
    <m/>
    <m/>
    <m/>
    <m/>
    <m/>
    <m/>
    <m/>
    <n v="1"/>
    <m/>
    <m/>
  </r>
  <r>
    <x v="18"/>
    <x v="10"/>
    <m/>
    <m/>
    <m/>
    <m/>
    <m/>
    <m/>
    <m/>
    <m/>
    <m/>
    <m/>
    <m/>
    <m/>
    <m/>
    <m/>
    <m/>
    <m/>
    <m/>
  </r>
  <r>
    <x v="18"/>
    <x v="11"/>
    <m/>
    <m/>
    <m/>
    <m/>
    <m/>
    <m/>
    <m/>
    <m/>
    <m/>
    <m/>
    <m/>
    <m/>
    <m/>
    <m/>
    <m/>
    <m/>
    <m/>
  </r>
  <r>
    <x v="18"/>
    <x v="12"/>
    <m/>
    <m/>
    <m/>
    <m/>
    <m/>
    <m/>
    <m/>
    <m/>
    <m/>
    <m/>
    <m/>
    <m/>
    <m/>
    <m/>
    <m/>
    <m/>
    <m/>
  </r>
  <r>
    <x v="18"/>
    <x v="13"/>
    <m/>
    <m/>
    <m/>
    <m/>
    <m/>
    <m/>
    <m/>
    <m/>
    <m/>
    <m/>
    <m/>
    <m/>
    <m/>
    <m/>
    <m/>
    <m/>
    <m/>
  </r>
  <r>
    <x v="18"/>
    <x v="14"/>
    <m/>
    <m/>
    <m/>
    <m/>
    <m/>
    <m/>
    <m/>
    <m/>
    <m/>
    <m/>
    <m/>
    <m/>
    <m/>
    <m/>
    <n v="1"/>
    <m/>
    <m/>
  </r>
  <r>
    <x v="18"/>
    <x v="15"/>
    <m/>
    <m/>
    <m/>
    <m/>
    <m/>
    <m/>
    <m/>
    <m/>
    <m/>
    <m/>
    <m/>
    <m/>
    <m/>
    <m/>
    <m/>
    <m/>
    <m/>
  </r>
  <r>
    <x v="18"/>
    <x v="16"/>
    <m/>
    <m/>
    <m/>
    <m/>
    <m/>
    <m/>
    <m/>
    <m/>
    <m/>
    <m/>
    <m/>
    <m/>
    <m/>
    <m/>
    <m/>
    <m/>
    <m/>
  </r>
  <r>
    <x v="18"/>
    <x v="17"/>
    <m/>
    <m/>
    <m/>
    <m/>
    <m/>
    <m/>
    <m/>
    <m/>
    <m/>
    <m/>
    <m/>
    <m/>
    <m/>
    <m/>
    <m/>
    <m/>
    <m/>
  </r>
  <r>
    <x v="18"/>
    <x v="18"/>
    <m/>
    <m/>
    <m/>
    <m/>
    <m/>
    <m/>
    <m/>
    <m/>
    <m/>
    <m/>
    <m/>
    <m/>
    <m/>
    <m/>
    <m/>
    <m/>
    <m/>
  </r>
  <r>
    <x v="18"/>
    <x v="19"/>
    <m/>
    <m/>
    <m/>
    <m/>
    <m/>
    <m/>
    <m/>
    <m/>
    <m/>
    <m/>
    <m/>
    <m/>
    <m/>
    <m/>
    <m/>
    <m/>
    <m/>
  </r>
  <r>
    <x v="18"/>
    <x v="20"/>
    <n v="1"/>
    <m/>
    <n v="1"/>
    <m/>
    <n v="1"/>
    <m/>
    <m/>
    <m/>
    <n v="1"/>
    <m/>
    <m/>
    <m/>
    <m/>
    <m/>
    <n v="1"/>
    <m/>
    <m/>
  </r>
  <r>
    <x v="18"/>
    <x v="21"/>
    <m/>
    <m/>
    <m/>
    <m/>
    <m/>
    <m/>
    <m/>
    <m/>
    <m/>
    <m/>
    <m/>
    <m/>
    <m/>
    <m/>
    <m/>
    <m/>
    <m/>
  </r>
  <r>
    <x v="18"/>
    <x v="22"/>
    <m/>
    <m/>
    <m/>
    <m/>
    <m/>
    <m/>
    <m/>
    <m/>
    <m/>
    <m/>
    <m/>
    <m/>
    <m/>
    <m/>
    <m/>
    <m/>
    <m/>
  </r>
  <r>
    <x v="18"/>
    <x v="23"/>
    <m/>
    <m/>
    <m/>
    <m/>
    <m/>
    <m/>
    <n v="3"/>
    <n v="1"/>
    <n v="1"/>
    <m/>
    <n v="1"/>
    <n v="1"/>
    <m/>
    <m/>
    <n v="2"/>
    <m/>
    <m/>
  </r>
  <r>
    <x v="18"/>
    <x v="24"/>
    <m/>
    <m/>
    <m/>
    <m/>
    <m/>
    <m/>
    <m/>
    <m/>
    <m/>
    <m/>
    <m/>
    <m/>
    <m/>
    <m/>
    <m/>
    <m/>
    <m/>
  </r>
  <r>
    <x v="18"/>
    <x v="25"/>
    <m/>
    <m/>
    <m/>
    <m/>
    <m/>
    <m/>
    <m/>
    <m/>
    <m/>
    <m/>
    <m/>
    <m/>
    <m/>
    <m/>
    <m/>
    <m/>
    <m/>
  </r>
  <r>
    <x v="18"/>
    <x v="26"/>
    <m/>
    <m/>
    <m/>
    <m/>
    <m/>
    <m/>
    <m/>
    <m/>
    <m/>
    <m/>
    <m/>
    <m/>
    <m/>
    <m/>
    <m/>
    <m/>
    <m/>
  </r>
  <r>
    <x v="18"/>
    <x v="27"/>
    <m/>
    <m/>
    <m/>
    <m/>
    <m/>
    <m/>
    <m/>
    <m/>
    <m/>
    <m/>
    <m/>
    <m/>
    <m/>
    <m/>
    <m/>
    <m/>
    <m/>
  </r>
  <r>
    <x v="18"/>
    <x v="28"/>
    <m/>
    <m/>
    <m/>
    <m/>
    <m/>
    <m/>
    <m/>
    <m/>
    <m/>
    <m/>
    <m/>
    <m/>
    <m/>
    <m/>
    <m/>
    <m/>
    <m/>
  </r>
  <r>
    <x v="18"/>
    <x v="29"/>
    <m/>
    <m/>
    <m/>
    <m/>
    <m/>
    <m/>
    <m/>
    <m/>
    <m/>
    <m/>
    <m/>
    <m/>
    <m/>
    <m/>
    <m/>
    <m/>
    <m/>
  </r>
  <r>
    <x v="18"/>
    <x v="30"/>
    <m/>
    <m/>
    <m/>
    <m/>
    <m/>
    <m/>
    <m/>
    <m/>
    <m/>
    <m/>
    <m/>
    <m/>
    <m/>
    <m/>
    <m/>
    <m/>
    <m/>
  </r>
  <r>
    <x v="18"/>
    <x v="31"/>
    <m/>
    <m/>
    <m/>
    <m/>
    <m/>
    <m/>
    <n v="2"/>
    <m/>
    <n v="1"/>
    <m/>
    <m/>
    <n v="1"/>
    <n v="1"/>
    <n v="3"/>
    <m/>
    <n v="2"/>
    <m/>
  </r>
  <r>
    <x v="18"/>
    <x v="32"/>
    <n v="10"/>
    <n v="2"/>
    <m/>
    <m/>
    <m/>
    <m/>
    <n v="14"/>
    <n v="4"/>
    <n v="6"/>
    <m/>
    <n v="25"/>
    <n v="15"/>
    <n v="29"/>
    <n v="26"/>
    <n v="38"/>
    <n v="38"/>
    <m/>
  </r>
  <r>
    <x v="18"/>
    <x v="33"/>
    <m/>
    <m/>
    <m/>
    <m/>
    <m/>
    <m/>
    <m/>
    <m/>
    <m/>
    <m/>
    <m/>
    <m/>
    <m/>
    <m/>
    <m/>
    <m/>
    <m/>
  </r>
  <r>
    <x v="18"/>
    <x v="34"/>
    <m/>
    <m/>
    <m/>
    <m/>
    <m/>
    <m/>
    <m/>
    <m/>
    <m/>
    <m/>
    <m/>
    <m/>
    <m/>
    <m/>
    <m/>
    <m/>
    <m/>
  </r>
  <r>
    <x v="18"/>
    <x v="35"/>
    <m/>
    <m/>
    <m/>
    <m/>
    <m/>
    <m/>
    <m/>
    <m/>
    <m/>
    <m/>
    <m/>
    <m/>
    <m/>
    <m/>
    <m/>
    <m/>
    <m/>
  </r>
  <r>
    <x v="18"/>
    <x v="36"/>
    <m/>
    <m/>
    <m/>
    <m/>
    <m/>
    <m/>
    <m/>
    <m/>
    <m/>
    <m/>
    <m/>
    <m/>
    <m/>
    <m/>
    <m/>
    <m/>
    <m/>
  </r>
  <r>
    <x v="18"/>
    <x v="37"/>
    <m/>
    <m/>
    <m/>
    <m/>
    <m/>
    <m/>
    <m/>
    <m/>
    <m/>
    <m/>
    <m/>
    <m/>
    <m/>
    <m/>
    <m/>
    <m/>
    <m/>
  </r>
  <r>
    <x v="18"/>
    <x v="38"/>
    <m/>
    <m/>
    <m/>
    <m/>
    <m/>
    <m/>
    <m/>
    <m/>
    <m/>
    <m/>
    <m/>
    <m/>
    <m/>
    <m/>
    <m/>
    <m/>
    <m/>
  </r>
  <r>
    <x v="18"/>
    <x v="39"/>
    <m/>
    <m/>
    <m/>
    <m/>
    <m/>
    <m/>
    <m/>
    <m/>
    <m/>
    <m/>
    <m/>
    <m/>
    <m/>
    <m/>
    <m/>
    <m/>
    <m/>
  </r>
  <r>
    <x v="18"/>
    <x v="40"/>
    <m/>
    <m/>
    <m/>
    <m/>
    <m/>
    <m/>
    <m/>
    <m/>
    <m/>
    <m/>
    <m/>
    <m/>
    <m/>
    <m/>
    <m/>
    <m/>
    <m/>
  </r>
  <r>
    <x v="18"/>
    <x v="41"/>
    <m/>
    <m/>
    <m/>
    <m/>
    <m/>
    <m/>
    <m/>
    <m/>
    <m/>
    <m/>
    <m/>
    <m/>
    <m/>
    <m/>
    <m/>
    <m/>
    <m/>
  </r>
  <r>
    <x v="18"/>
    <x v="42"/>
    <m/>
    <m/>
    <m/>
    <m/>
    <m/>
    <m/>
    <m/>
    <m/>
    <n v="4"/>
    <m/>
    <n v="3"/>
    <n v="3"/>
    <m/>
    <n v="3"/>
    <n v="4"/>
    <m/>
    <m/>
  </r>
  <r>
    <x v="18"/>
    <x v="43"/>
    <m/>
    <m/>
    <m/>
    <m/>
    <m/>
    <m/>
    <m/>
    <m/>
    <m/>
    <m/>
    <m/>
    <m/>
    <m/>
    <m/>
    <m/>
    <m/>
    <m/>
  </r>
  <r>
    <x v="18"/>
    <x v="44"/>
    <m/>
    <m/>
    <m/>
    <m/>
    <m/>
    <m/>
    <m/>
    <m/>
    <m/>
    <m/>
    <m/>
    <m/>
    <m/>
    <m/>
    <m/>
    <m/>
    <m/>
  </r>
  <r>
    <x v="18"/>
    <x v="45"/>
    <m/>
    <m/>
    <m/>
    <m/>
    <m/>
    <m/>
    <m/>
    <m/>
    <m/>
    <m/>
    <m/>
    <m/>
    <m/>
    <m/>
    <m/>
    <m/>
    <m/>
  </r>
  <r>
    <x v="18"/>
    <x v="46"/>
    <m/>
    <m/>
    <m/>
    <m/>
    <m/>
    <m/>
    <m/>
    <m/>
    <m/>
    <m/>
    <m/>
    <m/>
    <m/>
    <m/>
    <m/>
    <m/>
    <m/>
  </r>
  <r>
    <x v="18"/>
    <x v="47"/>
    <m/>
    <m/>
    <m/>
    <m/>
    <m/>
    <m/>
    <m/>
    <m/>
    <m/>
    <m/>
    <m/>
    <m/>
    <m/>
    <m/>
    <m/>
    <m/>
    <m/>
  </r>
  <r>
    <x v="18"/>
    <x v="48"/>
    <m/>
    <m/>
    <m/>
    <m/>
    <m/>
    <m/>
    <m/>
    <m/>
    <m/>
    <m/>
    <m/>
    <m/>
    <m/>
    <m/>
    <m/>
    <m/>
    <m/>
  </r>
  <r>
    <x v="18"/>
    <x v="49"/>
    <m/>
    <m/>
    <m/>
    <m/>
    <m/>
    <m/>
    <m/>
    <m/>
    <m/>
    <m/>
    <m/>
    <m/>
    <m/>
    <m/>
    <n v="2"/>
    <m/>
    <m/>
  </r>
  <r>
    <x v="18"/>
    <x v="50"/>
    <m/>
    <m/>
    <m/>
    <m/>
    <m/>
    <m/>
    <m/>
    <m/>
    <m/>
    <m/>
    <m/>
    <m/>
    <m/>
    <m/>
    <m/>
    <m/>
    <m/>
  </r>
  <r>
    <x v="18"/>
    <x v="51"/>
    <m/>
    <m/>
    <m/>
    <m/>
    <m/>
    <m/>
    <m/>
    <n v="1"/>
    <n v="1"/>
    <m/>
    <m/>
    <n v="1"/>
    <m/>
    <n v="1"/>
    <n v="1"/>
    <n v="1"/>
    <m/>
  </r>
  <r>
    <x v="18"/>
    <x v="62"/>
    <m/>
    <m/>
    <m/>
    <m/>
    <m/>
    <m/>
    <n v="4"/>
    <m/>
    <m/>
    <m/>
    <n v="4"/>
    <n v="4"/>
    <n v="4"/>
    <n v="4"/>
    <n v="4"/>
    <n v="4"/>
    <m/>
  </r>
  <r>
    <x v="18"/>
    <x v="63"/>
    <n v="8"/>
    <n v="3"/>
    <n v="4"/>
    <n v="3"/>
    <n v="3"/>
    <n v="3"/>
    <n v="33"/>
    <n v="29"/>
    <n v="42"/>
    <n v="7"/>
    <n v="16"/>
    <n v="39"/>
    <n v="18"/>
    <n v="41"/>
    <n v="30"/>
    <n v="65"/>
    <m/>
  </r>
  <r>
    <x v="18"/>
    <x v="64"/>
    <n v="5"/>
    <n v="1"/>
    <n v="1"/>
    <n v="1"/>
    <n v="0"/>
    <n v="1"/>
    <n v="14"/>
    <n v="2"/>
    <n v="6"/>
    <n v="5"/>
    <n v="13"/>
    <n v="8"/>
    <n v="3"/>
    <n v="30"/>
    <n v="3"/>
    <n v="5"/>
    <m/>
  </r>
  <r>
    <x v="18"/>
    <x v="59"/>
    <n v="3"/>
    <m/>
    <m/>
    <m/>
    <m/>
    <m/>
    <n v="5"/>
    <n v="2"/>
    <m/>
    <m/>
    <n v="5"/>
    <n v="5"/>
    <n v="6"/>
    <n v="2"/>
    <n v="10"/>
    <n v="13"/>
    <m/>
  </r>
  <r>
    <x v="18"/>
    <x v="65"/>
    <m/>
    <m/>
    <m/>
    <m/>
    <m/>
    <m/>
    <n v="10"/>
    <n v="5"/>
    <m/>
    <m/>
    <m/>
    <m/>
    <n v="2"/>
    <n v="15"/>
    <n v="15"/>
    <n v="2"/>
    <m/>
  </r>
  <r>
    <x v="18"/>
    <x v="66"/>
    <m/>
    <m/>
    <m/>
    <m/>
    <m/>
    <m/>
    <m/>
    <m/>
    <m/>
    <m/>
    <n v="6"/>
    <n v="6"/>
    <n v="6"/>
    <n v="2"/>
    <n v="6"/>
    <n v="6"/>
    <m/>
  </r>
  <r>
    <x v="18"/>
    <x v="67"/>
    <m/>
    <m/>
    <m/>
    <m/>
    <m/>
    <m/>
    <m/>
    <m/>
    <m/>
    <m/>
    <n v="4"/>
    <n v="4"/>
    <n v="4"/>
    <n v="2"/>
    <n v="4"/>
    <n v="4"/>
    <m/>
  </r>
  <r>
    <x v="18"/>
    <x v="68"/>
    <n v="1"/>
    <n v="2"/>
    <m/>
    <n v="2"/>
    <n v="8"/>
    <m/>
    <n v="5"/>
    <n v="5"/>
    <m/>
    <m/>
    <n v="1"/>
    <m/>
    <n v="2"/>
    <n v="15"/>
    <n v="3"/>
    <n v="2"/>
    <m/>
  </r>
  <r>
    <x v="18"/>
    <x v="69"/>
    <m/>
    <m/>
    <m/>
    <m/>
    <m/>
    <m/>
    <m/>
    <n v="3"/>
    <n v="3"/>
    <m/>
    <n v="3"/>
    <n v="1"/>
    <m/>
    <n v="1"/>
    <m/>
    <m/>
    <m/>
  </r>
  <r>
    <x v="18"/>
    <x v="70"/>
    <n v="30"/>
    <m/>
    <m/>
    <m/>
    <n v="30"/>
    <m/>
    <n v="30"/>
    <n v="30"/>
    <n v="30"/>
    <m/>
    <n v="30"/>
    <n v="30"/>
    <m/>
    <n v="30"/>
    <m/>
    <m/>
    <m/>
  </r>
  <r>
    <x v="18"/>
    <x v="71"/>
    <m/>
    <m/>
    <m/>
    <m/>
    <n v="3"/>
    <m/>
    <n v="1"/>
    <m/>
    <m/>
    <m/>
    <m/>
    <m/>
    <m/>
    <m/>
    <m/>
    <m/>
    <m/>
  </r>
  <r>
    <x v="18"/>
    <x v="72"/>
    <m/>
    <n v="1"/>
    <m/>
    <n v="1"/>
    <m/>
    <n v="1"/>
    <n v="2"/>
    <n v="1"/>
    <n v="1"/>
    <m/>
    <n v="2"/>
    <n v="2"/>
    <n v="2"/>
    <m/>
    <n v="1"/>
    <n v="3"/>
    <m/>
  </r>
  <r>
    <x v="18"/>
    <x v="67"/>
    <m/>
    <m/>
    <m/>
    <m/>
    <m/>
    <m/>
    <m/>
    <m/>
    <m/>
    <m/>
    <n v="4"/>
    <n v="4"/>
    <n v="4"/>
    <n v="2"/>
    <n v="4"/>
    <n v="4"/>
    <m/>
  </r>
  <r>
    <x v="18"/>
    <x v="66"/>
    <m/>
    <m/>
    <m/>
    <m/>
    <m/>
    <m/>
    <n v="10"/>
    <m/>
    <n v="10"/>
    <m/>
    <n v="10"/>
    <n v="6"/>
    <n v="6"/>
    <n v="5"/>
    <n v="6"/>
    <n v="10"/>
    <m/>
  </r>
  <r>
    <x v="19"/>
    <x v="0"/>
    <m/>
    <m/>
    <m/>
    <m/>
    <m/>
    <m/>
    <m/>
    <m/>
    <m/>
    <m/>
    <m/>
    <m/>
    <m/>
    <m/>
    <m/>
    <m/>
    <m/>
  </r>
  <r>
    <x v="19"/>
    <x v="1"/>
    <m/>
    <m/>
    <m/>
    <m/>
    <m/>
    <m/>
    <m/>
    <m/>
    <m/>
    <m/>
    <m/>
    <m/>
    <m/>
    <m/>
    <m/>
    <m/>
    <m/>
  </r>
  <r>
    <x v="19"/>
    <x v="2"/>
    <m/>
    <m/>
    <m/>
    <m/>
    <m/>
    <m/>
    <m/>
    <m/>
    <m/>
    <m/>
    <m/>
    <m/>
    <m/>
    <m/>
    <m/>
    <m/>
    <m/>
  </r>
  <r>
    <x v="19"/>
    <x v="3"/>
    <m/>
    <m/>
    <m/>
    <m/>
    <m/>
    <m/>
    <m/>
    <m/>
    <m/>
    <m/>
    <m/>
    <m/>
    <m/>
    <m/>
    <m/>
    <m/>
    <m/>
  </r>
  <r>
    <x v="19"/>
    <x v="4"/>
    <m/>
    <m/>
    <m/>
    <m/>
    <m/>
    <m/>
    <m/>
    <m/>
    <m/>
    <m/>
    <m/>
    <m/>
    <m/>
    <m/>
    <m/>
    <m/>
    <m/>
  </r>
  <r>
    <x v="19"/>
    <x v="5"/>
    <m/>
    <m/>
    <m/>
    <m/>
    <m/>
    <m/>
    <m/>
    <m/>
    <m/>
    <m/>
    <m/>
    <m/>
    <m/>
    <m/>
    <m/>
    <m/>
    <m/>
  </r>
  <r>
    <x v="19"/>
    <x v="6"/>
    <m/>
    <m/>
    <m/>
    <m/>
    <m/>
    <m/>
    <m/>
    <m/>
    <m/>
    <m/>
    <m/>
    <m/>
    <m/>
    <m/>
    <m/>
    <m/>
    <m/>
  </r>
  <r>
    <x v="19"/>
    <x v="7"/>
    <m/>
    <m/>
    <m/>
    <m/>
    <m/>
    <m/>
    <m/>
    <m/>
    <m/>
    <m/>
    <m/>
    <m/>
    <m/>
    <m/>
    <m/>
    <m/>
    <m/>
  </r>
  <r>
    <x v="19"/>
    <x v="8"/>
    <m/>
    <m/>
    <m/>
    <m/>
    <m/>
    <m/>
    <m/>
    <m/>
    <m/>
    <m/>
    <m/>
    <m/>
    <m/>
    <m/>
    <m/>
    <m/>
    <m/>
  </r>
  <r>
    <x v="19"/>
    <x v="9"/>
    <m/>
    <m/>
    <m/>
    <m/>
    <m/>
    <m/>
    <m/>
    <m/>
    <m/>
    <m/>
    <m/>
    <m/>
    <m/>
    <m/>
    <m/>
    <m/>
    <m/>
  </r>
  <r>
    <x v="19"/>
    <x v="10"/>
    <m/>
    <m/>
    <m/>
    <m/>
    <m/>
    <m/>
    <m/>
    <m/>
    <m/>
    <m/>
    <m/>
    <m/>
    <m/>
    <m/>
    <m/>
    <m/>
    <m/>
  </r>
  <r>
    <x v="19"/>
    <x v="11"/>
    <m/>
    <m/>
    <m/>
    <m/>
    <m/>
    <m/>
    <m/>
    <m/>
    <m/>
    <m/>
    <m/>
    <m/>
    <m/>
    <m/>
    <m/>
    <m/>
    <m/>
  </r>
  <r>
    <x v="19"/>
    <x v="12"/>
    <m/>
    <m/>
    <m/>
    <m/>
    <m/>
    <m/>
    <m/>
    <m/>
    <m/>
    <m/>
    <m/>
    <m/>
    <m/>
    <m/>
    <m/>
    <m/>
    <m/>
  </r>
  <r>
    <x v="19"/>
    <x v="13"/>
    <m/>
    <m/>
    <m/>
    <m/>
    <m/>
    <m/>
    <m/>
    <m/>
    <m/>
    <m/>
    <m/>
    <m/>
    <m/>
    <m/>
    <m/>
    <m/>
    <m/>
  </r>
  <r>
    <x v="19"/>
    <x v="14"/>
    <m/>
    <m/>
    <m/>
    <m/>
    <m/>
    <m/>
    <m/>
    <m/>
    <m/>
    <m/>
    <m/>
    <m/>
    <m/>
    <m/>
    <m/>
    <m/>
    <m/>
  </r>
  <r>
    <x v="19"/>
    <x v="15"/>
    <m/>
    <m/>
    <m/>
    <m/>
    <m/>
    <m/>
    <m/>
    <m/>
    <m/>
    <m/>
    <m/>
    <m/>
    <m/>
    <m/>
    <m/>
    <m/>
    <m/>
  </r>
  <r>
    <x v="19"/>
    <x v="16"/>
    <m/>
    <m/>
    <m/>
    <m/>
    <m/>
    <m/>
    <m/>
    <m/>
    <m/>
    <m/>
    <m/>
    <m/>
    <m/>
    <m/>
    <m/>
    <m/>
    <m/>
  </r>
  <r>
    <x v="19"/>
    <x v="17"/>
    <m/>
    <m/>
    <m/>
    <m/>
    <m/>
    <m/>
    <m/>
    <m/>
    <m/>
    <m/>
    <m/>
    <m/>
    <m/>
    <m/>
    <m/>
    <m/>
    <m/>
  </r>
  <r>
    <x v="19"/>
    <x v="18"/>
    <m/>
    <m/>
    <m/>
    <m/>
    <m/>
    <m/>
    <m/>
    <m/>
    <m/>
    <m/>
    <m/>
    <m/>
    <m/>
    <m/>
    <m/>
    <m/>
    <m/>
  </r>
  <r>
    <x v="19"/>
    <x v="19"/>
    <m/>
    <m/>
    <m/>
    <m/>
    <m/>
    <m/>
    <m/>
    <m/>
    <m/>
    <m/>
    <m/>
    <m/>
    <m/>
    <m/>
    <m/>
    <m/>
    <m/>
  </r>
  <r>
    <x v="19"/>
    <x v="20"/>
    <m/>
    <m/>
    <m/>
    <m/>
    <m/>
    <m/>
    <n v="2"/>
    <m/>
    <m/>
    <m/>
    <n v="2"/>
    <n v="2"/>
    <n v="2"/>
    <n v="1"/>
    <n v="2"/>
    <n v="2"/>
    <m/>
  </r>
  <r>
    <x v="19"/>
    <x v="21"/>
    <m/>
    <m/>
    <m/>
    <m/>
    <m/>
    <m/>
    <m/>
    <m/>
    <m/>
    <m/>
    <m/>
    <m/>
    <m/>
    <m/>
    <m/>
    <m/>
    <m/>
  </r>
  <r>
    <x v="19"/>
    <x v="22"/>
    <m/>
    <m/>
    <m/>
    <m/>
    <m/>
    <m/>
    <m/>
    <m/>
    <m/>
    <m/>
    <m/>
    <m/>
    <m/>
    <m/>
    <m/>
    <m/>
    <m/>
  </r>
  <r>
    <x v="19"/>
    <x v="23"/>
    <m/>
    <m/>
    <m/>
    <m/>
    <m/>
    <m/>
    <m/>
    <m/>
    <m/>
    <m/>
    <m/>
    <m/>
    <m/>
    <m/>
    <m/>
    <m/>
    <m/>
  </r>
  <r>
    <x v="19"/>
    <x v="24"/>
    <m/>
    <m/>
    <m/>
    <m/>
    <m/>
    <m/>
    <m/>
    <m/>
    <m/>
    <m/>
    <m/>
    <m/>
    <m/>
    <m/>
    <m/>
    <m/>
    <m/>
  </r>
  <r>
    <x v="19"/>
    <x v="25"/>
    <m/>
    <m/>
    <m/>
    <m/>
    <m/>
    <m/>
    <m/>
    <m/>
    <m/>
    <m/>
    <m/>
    <m/>
    <m/>
    <m/>
    <m/>
    <m/>
    <m/>
  </r>
  <r>
    <x v="19"/>
    <x v="26"/>
    <m/>
    <m/>
    <m/>
    <m/>
    <m/>
    <m/>
    <m/>
    <m/>
    <m/>
    <m/>
    <m/>
    <m/>
    <m/>
    <m/>
    <m/>
    <m/>
    <m/>
  </r>
  <r>
    <x v="19"/>
    <x v="27"/>
    <m/>
    <m/>
    <m/>
    <m/>
    <m/>
    <m/>
    <m/>
    <m/>
    <m/>
    <m/>
    <m/>
    <m/>
    <m/>
    <m/>
    <m/>
    <m/>
    <m/>
  </r>
  <r>
    <x v="19"/>
    <x v="28"/>
    <m/>
    <m/>
    <m/>
    <m/>
    <m/>
    <m/>
    <m/>
    <m/>
    <m/>
    <m/>
    <m/>
    <m/>
    <m/>
    <m/>
    <m/>
    <m/>
    <m/>
  </r>
  <r>
    <x v="19"/>
    <x v="29"/>
    <m/>
    <m/>
    <m/>
    <m/>
    <m/>
    <m/>
    <m/>
    <m/>
    <m/>
    <m/>
    <m/>
    <m/>
    <m/>
    <m/>
    <m/>
    <m/>
    <m/>
  </r>
  <r>
    <x v="19"/>
    <x v="30"/>
    <m/>
    <m/>
    <m/>
    <m/>
    <m/>
    <m/>
    <m/>
    <m/>
    <m/>
    <m/>
    <m/>
    <m/>
    <m/>
    <m/>
    <m/>
    <m/>
    <m/>
  </r>
  <r>
    <x v="19"/>
    <x v="31"/>
    <m/>
    <m/>
    <m/>
    <m/>
    <m/>
    <m/>
    <n v="2"/>
    <m/>
    <m/>
    <m/>
    <n v="3"/>
    <n v="2"/>
    <n v="3"/>
    <n v="3"/>
    <n v="3"/>
    <n v="5"/>
    <m/>
  </r>
  <r>
    <x v="19"/>
    <x v="32"/>
    <m/>
    <m/>
    <m/>
    <m/>
    <m/>
    <m/>
    <m/>
    <m/>
    <m/>
    <m/>
    <m/>
    <m/>
    <m/>
    <m/>
    <m/>
    <m/>
    <m/>
  </r>
  <r>
    <x v="19"/>
    <x v="33"/>
    <m/>
    <m/>
    <m/>
    <m/>
    <m/>
    <m/>
    <m/>
    <m/>
    <m/>
    <m/>
    <m/>
    <m/>
    <m/>
    <m/>
    <m/>
    <m/>
    <m/>
  </r>
  <r>
    <x v="19"/>
    <x v="34"/>
    <m/>
    <m/>
    <m/>
    <m/>
    <m/>
    <m/>
    <n v="2"/>
    <n v="1"/>
    <m/>
    <m/>
    <n v="1"/>
    <n v="2"/>
    <m/>
    <n v="1"/>
    <n v="2"/>
    <n v="1"/>
    <m/>
  </r>
  <r>
    <x v="19"/>
    <x v="35"/>
    <m/>
    <m/>
    <m/>
    <m/>
    <m/>
    <m/>
    <m/>
    <m/>
    <m/>
    <m/>
    <m/>
    <m/>
    <m/>
    <m/>
    <m/>
    <m/>
    <m/>
  </r>
  <r>
    <x v="19"/>
    <x v="36"/>
    <m/>
    <m/>
    <m/>
    <m/>
    <m/>
    <m/>
    <m/>
    <m/>
    <m/>
    <m/>
    <m/>
    <m/>
    <m/>
    <m/>
    <m/>
    <m/>
    <m/>
  </r>
  <r>
    <x v="19"/>
    <x v="37"/>
    <m/>
    <m/>
    <m/>
    <m/>
    <m/>
    <m/>
    <m/>
    <m/>
    <m/>
    <m/>
    <m/>
    <m/>
    <m/>
    <m/>
    <m/>
    <m/>
    <m/>
  </r>
  <r>
    <x v="19"/>
    <x v="38"/>
    <m/>
    <m/>
    <m/>
    <m/>
    <m/>
    <m/>
    <m/>
    <m/>
    <m/>
    <m/>
    <m/>
    <m/>
    <m/>
    <m/>
    <m/>
    <m/>
    <m/>
  </r>
  <r>
    <x v="19"/>
    <x v="39"/>
    <m/>
    <m/>
    <m/>
    <m/>
    <m/>
    <m/>
    <m/>
    <m/>
    <m/>
    <m/>
    <m/>
    <m/>
    <m/>
    <m/>
    <m/>
    <m/>
    <m/>
  </r>
  <r>
    <x v="19"/>
    <x v="40"/>
    <m/>
    <m/>
    <m/>
    <m/>
    <m/>
    <m/>
    <m/>
    <m/>
    <m/>
    <m/>
    <m/>
    <m/>
    <m/>
    <m/>
    <m/>
    <m/>
    <m/>
  </r>
  <r>
    <x v="19"/>
    <x v="41"/>
    <m/>
    <m/>
    <m/>
    <m/>
    <m/>
    <m/>
    <m/>
    <m/>
    <m/>
    <m/>
    <m/>
    <m/>
    <m/>
    <m/>
    <m/>
    <m/>
    <m/>
  </r>
  <r>
    <x v="19"/>
    <x v="42"/>
    <m/>
    <m/>
    <m/>
    <m/>
    <m/>
    <m/>
    <n v="3"/>
    <n v="10"/>
    <m/>
    <m/>
    <n v="10"/>
    <n v="5"/>
    <n v="5"/>
    <n v="5"/>
    <n v="2"/>
    <n v="10"/>
    <m/>
  </r>
  <r>
    <x v="19"/>
    <x v="43"/>
    <m/>
    <m/>
    <m/>
    <m/>
    <m/>
    <m/>
    <m/>
    <m/>
    <m/>
    <m/>
    <m/>
    <m/>
    <m/>
    <m/>
    <m/>
    <m/>
    <m/>
  </r>
  <r>
    <x v="19"/>
    <x v="44"/>
    <m/>
    <m/>
    <m/>
    <m/>
    <m/>
    <m/>
    <m/>
    <m/>
    <m/>
    <m/>
    <m/>
    <m/>
    <m/>
    <m/>
    <m/>
    <m/>
    <m/>
  </r>
  <r>
    <x v="19"/>
    <x v="45"/>
    <m/>
    <m/>
    <m/>
    <m/>
    <m/>
    <m/>
    <m/>
    <m/>
    <m/>
    <m/>
    <m/>
    <m/>
    <m/>
    <m/>
    <m/>
    <m/>
    <m/>
  </r>
  <r>
    <x v="19"/>
    <x v="46"/>
    <m/>
    <m/>
    <m/>
    <m/>
    <m/>
    <m/>
    <m/>
    <m/>
    <m/>
    <m/>
    <m/>
    <m/>
    <m/>
    <m/>
    <m/>
    <m/>
    <m/>
  </r>
  <r>
    <x v="19"/>
    <x v="47"/>
    <m/>
    <m/>
    <m/>
    <m/>
    <m/>
    <m/>
    <m/>
    <m/>
    <m/>
    <m/>
    <m/>
    <n v="3"/>
    <n v="2"/>
    <n v="3"/>
    <n v="2"/>
    <n v="13"/>
    <m/>
  </r>
  <r>
    <x v="19"/>
    <x v="48"/>
    <m/>
    <m/>
    <m/>
    <m/>
    <m/>
    <m/>
    <m/>
    <m/>
    <m/>
    <m/>
    <m/>
    <m/>
    <m/>
    <m/>
    <m/>
    <m/>
    <m/>
  </r>
  <r>
    <x v="19"/>
    <x v="49"/>
    <m/>
    <m/>
    <m/>
    <m/>
    <m/>
    <m/>
    <m/>
    <m/>
    <m/>
    <m/>
    <m/>
    <m/>
    <m/>
    <m/>
    <m/>
    <m/>
    <m/>
  </r>
  <r>
    <x v="19"/>
    <x v="50"/>
    <m/>
    <m/>
    <m/>
    <m/>
    <m/>
    <m/>
    <n v="6"/>
    <m/>
    <m/>
    <m/>
    <n v="2"/>
    <n v="2"/>
    <n v="2"/>
    <n v="2"/>
    <n v="2"/>
    <n v="2"/>
    <m/>
  </r>
  <r>
    <x v="19"/>
    <x v="51"/>
    <m/>
    <m/>
    <m/>
    <m/>
    <m/>
    <m/>
    <m/>
    <m/>
    <m/>
    <m/>
    <m/>
    <m/>
    <m/>
    <m/>
    <m/>
    <m/>
    <m/>
  </r>
  <r>
    <x v="20"/>
    <x v="0"/>
    <m/>
    <m/>
    <m/>
    <m/>
    <m/>
    <m/>
    <m/>
    <m/>
    <m/>
    <m/>
    <m/>
    <m/>
    <m/>
    <m/>
    <m/>
    <m/>
    <m/>
  </r>
  <r>
    <x v="20"/>
    <x v="1"/>
    <m/>
    <m/>
    <m/>
    <m/>
    <m/>
    <m/>
    <m/>
    <m/>
    <m/>
    <m/>
    <m/>
    <m/>
    <m/>
    <m/>
    <m/>
    <m/>
    <m/>
  </r>
  <r>
    <x v="20"/>
    <x v="2"/>
    <m/>
    <m/>
    <m/>
    <m/>
    <m/>
    <m/>
    <m/>
    <m/>
    <m/>
    <m/>
    <m/>
    <m/>
    <m/>
    <m/>
    <m/>
    <m/>
    <m/>
  </r>
  <r>
    <x v="20"/>
    <x v="3"/>
    <m/>
    <m/>
    <m/>
    <m/>
    <m/>
    <m/>
    <m/>
    <m/>
    <m/>
    <m/>
    <m/>
    <m/>
    <m/>
    <m/>
    <m/>
    <m/>
    <m/>
  </r>
  <r>
    <x v="20"/>
    <x v="4"/>
    <m/>
    <m/>
    <m/>
    <m/>
    <m/>
    <m/>
    <m/>
    <m/>
    <m/>
    <m/>
    <m/>
    <m/>
    <m/>
    <m/>
    <m/>
    <m/>
    <m/>
  </r>
  <r>
    <x v="20"/>
    <x v="5"/>
    <m/>
    <m/>
    <m/>
    <m/>
    <m/>
    <m/>
    <m/>
    <m/>
    <m/>
    <m/>
    <m/>
    <m/>
    <m/>
    <m/>
    <m/>
    <m/>
    <m/>
  </r>
  <r>
    <x v="20"/>
    <x v="6"/>
    <m/>
    <m/>
    <m/>
    <m/>
    <m/>
    <m/>
    <m/>
    <m/>
    <m/>
    <m/>
    <m/>
    <m/>
    <m/>
    <m/>
    <m/>
    <m/>
    <m/>
  </r>
  <r>
    <x v="20"/>
    <x v="7"/>
    <m/>
    <m/>
    <m/>
    <m/>
    <m/>
    <m/>
    <m/>
    <m/>
    <m/>
    <m/>
    <m/>
    <m/>
    <m/>
    <m/>
    <m/>
    <m/>
    <m/>
  </r>
  <r>
    <x v="20"/>
    <x v="8"/>
    <m/>
    <m/>
    <m/>
    <m/>
    <m/>
    <m/>
    <m/>
    <m/>
    <m/>
    <m/>
    <m/>
    <m/>
    <m/>
    <m/>
    <m/>
    <m/>
    <m/>
  </r>
  <r>
    <x v="20"/>
    <x v="9"/>
    <m/>
    <m/>
    <m/>
    <m/>
    <m/>
    <m/>
    <m/>
    <m/>
    <m/>
    <m/>
    <m/>
    <m/>
    <m/>
    <m/>
    <m/>
    <m/>
    <m/>
  </r>
  <r>
    <x v="20"/>
    <x v="10"/>
    <m/>
    <m/>
    <m/>
    <m/>
    <m/>
    <m/>
    <m/>
    <m/>
    <m/>
    <m/>
    <m/>
    <m/>
    <m/>
    <m/>
    <m/>
    <m/>
    <m/>
  </r>
  <r>
    <x v="20"/>
    <x v="11"/>
    <m/>
    <m/>
    <m/>
    <m/>
    <m/>
    <m/>
    <m/>
    <m/>
    <m/>
    <m/>
    <m/>
    <m/>
    <m/>
    <m/>
    <m/>
    <m/>
    <m/>
  </r>
  <r>
    <x v="20"/>
    <x v="12"/>
    <m/>
    <m/>
    <m/>
    <m/>
    <m/>
    <m/>
    <m/>
    <m/>
    <m/>
    <m/>
    <m/>
    <m/>
    <m/>
    <m/>
    <m/>
    <m/>
    <m/>
  </r>
  <r>
    <x v="20"/>
    <x v="13"/>
    <m/>
    <m/>
    <m/>
    <m/>
    <m/>
    <m/>
    <m/>
    <m/>
    <m/>
    <m/>
    <m/>
    <m/>
    <m/>
    <m/>
    <m/>
    <m/>
    <m/>
  </r>
  <r>
    <x v="20"/>
    <x v="14"/>
    <m/>
    <m/>
    <m/>
    <m/>
    <m/>
    <m/>
    <m/>
    <m/>
    <m/>
    <m/>
    <m/>
    <m/>
    <m/>
    <m/>
    <m/>
    <m/>
    <m/>
  </r>
  <r>
    <x v="20"/>
    <x v="15"/>
    <m/>
    <m/>
    <m/>
    <m/>
    <m/>
    <m/>
    <m/>
    <m/>
    <m/>
    <m/>
    <m/>
    <m/>
    <m/>
    <m/>
    <m/>
    <m/>
    <m/>
  </r>
  <r>
    <x v="20"/>
    <x v="16"/>
    <m/>
    <m/>
    <m/>
    <m/>
    <m/>
    <m/>
    <m/>
    <m/>
    <m/>
    <m/>
    <m/>
    <m/>
    <m/>
    <m/>
    <m/>
    <m/>
    <m/>
  </r>
  <r>
    <x v="20"/>
    <x v="17"/>
    <m/>
    <m/>
    <m/>
    <m/>
    <m/>
    <m/>
    <m/>
    <m/>
    <m/>
    <m/>
    <m/>
    <m/>
    <m/>
    <m/>
    <m/>
    <m/>
    <m/>
  </r>
  <r>
    <x v="20"/>
    <x v="18"/>
    <m/>
    <m/>
    <m/>
    <m/>
    <m/>
    <m/>
    <m/>
    <m/>
    <m/>
    <m/>
    <m/>
    <m/>
    <m/>
    <m/>
    <m/>
    <m/>
    <m/>
  </r>
  <r>
    <x v="20"/>
    <x v="19"/>
    <m/>
    <m/>
    <m/>
    <m/>
    <m/>
    <m/>
    <m/>
    <m/>
    <m/>
    <m/>
    <m/>
    <m/>
    <m/>
    <m/>
    <m/>
    <m/>
    <m/>
  </r>
  <r>
    <x v="20"/>
    <x v="20"/>
    <m/>
    <m/>
    <m/>
    <m/>
    <m/>
    <m/>
    <m/>
    <m/>
    <m/>
    <m/>
    <m/>
    <m/>
    <m/>
    <m/>
    <m/>
    <m/>
    <m/>
  </r>
  <r>
    <x v="20"/>
    <x v="21"/>
    <m/>
    <m/>
    <m/>
    <m/>
    <m/>
    <m/>
    <m/>
    <m/>
    <m/>
    <m/>
    <m/>
    <m/>
    <m/>
    <m/>
    <m/>
    <m/>
    <m/>
  </r>
  <r>
    <x v="20"/>
    <x v="22"/>
    <m/>
    <m/>
    <m/>
    <m/>
    <m/>
    <m/>
    <m/>
    <m/>
    <m/>
    <m/>
    <m/>
    <m/>
    <m/>
    <m/>
    <m/>
    <m/>
    <m/>
  </r>
  <r>
    <x v="20"/>
    <x v="23"/>
    <m/>
    <m/>
    <m/>
    <m/>
    <m/>
    <m/>
    <m/>
    <m/>
    <m/>
    <m/>
    <m/>
    <m/>
    <m/>
    <m/>
    <m/>
    <m/>
    <m/>
  </r>
  <r>
    <x v="20"/>
    <x v="24"/>
    <m/>
    <m/>
    <m/>
    <m/>
    <m/>
    <m/>
    <m/>
    <m/>
    <m/>
    <m/>
    <m/>
    <m/>
    <m/>
    <m/>
    <m/>
    <m/>
    <m/>
  </r>
  <r>
    <x v="20"/>
    <x v="25"/>
    <m/>
    <m/>
    <m/>
    <m/>
    <m/>
    <m/>
    <m/>
    <m/>
    <m/>
    <m/>
    <m/>
    <m/>
    <m/>
    <m/>
    <m/>
    <m/>
    <m/>
  </r>
  <r>
    <x v="20"/>
    <x v="26"/>
    <m/>
    <m/>
    <m/>
    <m/>
    <m/>
    <m/>
    <m/>
    <m/>
    <m/>
    <m/>
    <m/>
    <m/>
    <m/>
    <m/>
    <m/>
    <m/>
    <m/>
  </r>
  <r>
    <x v="20"/>
    <x v="27"/>
    <m/>
    <m/>
    <m/>
    <m/>
    <m/>
    <m/>
    <m/>
    <m/>
    <m/>
    <m/>
    <m/>
    <m/>
    <m/>
    <m/>
    <m/>
    <m/>
    <m/>
  </r>
  <r>
    <x v="20"/>
    <x v="28"/>
    <m/>
    <m/>
    <m/>
    <m/>
    <m/>
    <m/>
    <m/>
    <m/>
    <m/>
    <m/>
    <m/>
    <m/>
    <m/>
    <m/>
    <m/>
    <m/>
    <m/>
  </r>
  <r>
    <x v="20"/>
    <x v="29"/>
    <m/>
    <m/>
    <m/>
    <m/>
    <m/>
    <m/>
    <m/>
    <m/>
    <m/>
    <m/>
    <m/>
    <m/>
    <m/>
    <m/>
    <m/>
    <m/>
    <m/>
  </r>
  <r>
    <x v="20"/>
    <x v="30"/>
    <m/>
    <m/>
    <m/>
    <m/>
    <m/>
    <m/>
    <m/>
    <m/>
    <m/>
    <m/>
    <m/>
    <m/>
    <m/>
    <m/>
    <m/>
    <m/>
    <m/>
  </r>
  <r>
    <x v="20"/>
    <x v="31"/>
    <m/>
    <m/>
    <m/>
    <m/>
    <m/>
    <m/>
    <m/>
    <m/>
    <m/>
    <m/>
    <m/>
    <m/>
    <m/>
    <m/>
    <m/>
    <m/>
    <m/>
  </r>
  <r>
    <x v="20"/>
    <x v="32"/>
    <m/>
    <m/>
    <m/>
    <m/>
    <m/>
    <m/>
    <m/>
    <m/>
    <m/>
    <m/>
    <m/>
    <m/>
    <m/>
    <m/>
    <m/>
    <m/>
    <m/>
  </r>
  <r>
    <x v="20"/>
    <x v="33"/>
    <m/>
    <m/>
    <m/>
    <m/>
    <m/>
    <m/>
    <m/>
    <m/>
    <m/>
    <m/>
    <m/>
    <m/>
    <m/>
    <m/>
    <m/>
    <m/>
    <m/>
  </r>
  <r>
    <x v="20"/>
    <x v="34"/>
    <m/>
    <m/>
    <m/>
    <m/>
    <m/>
    <m/>
    <m/>
    <m/>
    <m/>
    <m/>
    <m/>
    <m/>
    <m/>
    <m/>
    <m/>
    <m/>
    <m/>
  </r>
  <r>
    <x v="20"/>
    <x v="35"/>
    <m/>
    <m/>
    <m/>
    <m/>
    <m/>
    <m/>
    <m/>
    <m/>
    <m/>
    <m/>
    <m/>
    <m/>
    <m/>
    <m/>
    <m/>
    <m/>
    <m/>
  </r>
  <r>
    <x v="20"/>
    <x v="36"/>
    <m/>
    <m/>
    <m/>
    <m/>
    <m/>
    <m/>
    <m/>
    <m/>
    <m/>
    <m/>
    <m/>
    <m/>
    <m/>
    <m/>
    <m/>
    <m/>
    <m/>
  </r>
  <r>
    <x v="20"/>
    <x v="37"/>
    <m/>
    <m/>
    <m/>
    <m/>
    <m/>
    <m/>
    <m/>
    <m/>
    <m/>
    <m/>
    <m/>
    <m/>
    <m/>
    <m/>
    <m/>
    <m/>
    <m/>
  </r>
  <r>
    <x v="20"/>
    <x v="38"/>
    <m/>
    <m/>
    <m/>
    <m/>
    <m/>
    <m/>
    <m/>
    <m/>
    <m/>
    <m/>
    <m/>
    <m/>
    <m/>
    <m/>
    <m/>
    <m/>
    <m/>
  </r>
  <r>
    <x v="20"/>
    <x v="39"/>
    <m/>
    <m/>
    <m/>
    <m/>
    <m/>
    <m/>
    <m/>
    <m/>
    <m/>
    <m/>
    <m/>
    <m/>
    <m/>
    <m/>
    <m/>
    <m/>
    <m/>
  </r>
  <r>
    <x v="20"/>
    <x v="40"/>
    <m/>
    <m/>
    <m/>
    <m/>
    <m/>
    <m/>
    <m/>
    <m/>
    <m/>
    <m/>
    <m/>
    <m/>
    <m/>
    <m/>
    <m/>
    <m/>
    <m/>
  </r>
  <r>
    <x v="20"/>
    <x v="41"/>
    <m/>
    <m/>
    <m/>
    <m/>
    <m/>
    <m/>
    <m/>
    <m/>
    <m/>
    <m/>
    <m/>
    <m/>
    <m/>
    <m/>
    <m/>
    <m/>
    <m/>
  </r>
  <r>
    <x v="20"/>
    <x v="42"/>
    <m/>
    <m/>
    <m/>
    <m/>
    <m/>
    <m/>
    <m/>
    <m/>
    <m/>
    <m/>
    <m/>
    <m/>
    <m/>
    <m/>
    <m/>
    <m/>
    <m/>
  </r>
  <r>
    <x v="20"/>
    <x v="43"/>
    <m/>
    <m/>
    <m/>
    <m/>
    <m/>
    <m/>
    <m/>
    <m/>
    <m/>
    <m/>
    <m/>
    <m/>
    <m/>
    <m/>
    <m/>
    <m/>
    <m/>
  </r>
  <r>
    <x v="20"/>
    <x v="44"/>
    <m/>
    <m/>
    <m/>
    <m/>
    <m/>
    <m/>
    <m/>
    <m/>
    <m/>
    <m/>
    <m/>
    <m/>
    <m/>
    <m/>
    <m/>
    <m/>
    <m/>
  </r>
  <r>
    <x v="20"/>
    <x v="45"/>
    <m/>
    <m/>
    <m/>
    <m/>
    <m/>
    <m/>
    <m/>
    <m/>
    <m/>
    <m/>
    <m/>
    <m/>
    <m/>
    <m/>
    <m/>
    <m/>
    <m/>
  </r>
  <r>
    <x v="20"/>
    <x v="46"/>
    <m/>
    <m/>
    <m/>
    <m/>
    <m/>
    <m/>
    <m/>
    <m/>
    <m/>
    <m/>
    <m/>
    <m/>
    <m/>
    <m/>
    <m/>
    <m/>
    <m/>
  </r>
  <r>
    <x v="20"/>
    <x v="47"/>
    <m/>
    <m/>
    <m/>
    <m/>
    <m/>
    <m/>
    <m/>
    <m/>
    <m/>
    <m/>
    <m/>
    <m/>
    <m/>
    <m/>
    <m/>
    <m/>
    <m/>
  </r>
  <r>
    <x v="20"/>
    <x v="48"/>
    <m/>
    <m/>
    <m/>
    <m/>
    <m/>
    <m/>
    <m/>
    <m/>
    <m/>
    <m/>
    <m/>
    <m/>
    <m/>
    <m/>
    <m/>
    <m/>
    <m/>
  </r>
  <r>
    <x v="20"/>
    <x v="49"/>
    <m/>
    <m/>
    <m/>
    <m/>
    <m/>
    <m/>
    <m/>
    <m/>
    <m/>
    <m/>
    <m/>
    <m/>
    <m/>
    <m/>
    <m/>
    <m/>
    <m/>
  </r>
  <r>
    <x v="20"/>
    <x v="50"/>
    <m/>
    <m/>
    <m/>
    <m/>
    <m/>
    <m/>
    <m/>
    <m/>
    <m/>
    <m/>
    <m/>
    <m/>
    <m/>
    <m/>
    <m/>
    <m/>
    <m/>
  </r>
  <r>
    <x v="20"/>
    <x v="51"/>
    <m/>
    <m/>
    <m/>
    <m/>
    <m/>
    <m/>
    <m/>
    <m/>
    <m/>
    <m/>
    <m/>
    <m/>
    <m/>
    <m/>
    <m/>
    <m/>
    <m/>
  </r>
  <r>
    <x v="20"/>
    <x v="73"/>
    <m/>
    <m/>
    <m/>
    <m/>
    <m/>
    <m/>
    <m/>
    <n v="1"/>
    <m/>
    <m/>
    <m/>
    <m/>
    <m/>
    <m/>
    <m/>
    <m/>
    <m/>
  </r>
  <r>
    <x v="21"/>
    <x v="0"/>
    <m/>
    <m/>
    <m/>
    <m/>
    <m/>
    <m/>
    <m/>
    <m/>
    <m/>
    <m/>
    <m/>
    <m/>
    <m/>
    <m/>
    <m/>
    <m/>
    <m/>
  </r>
  <r>
    <x v="21"/>
    <x v="1"/>
    <m/>
    <m/>
    <m/>
    <m/>
    <m/>
    <m/>
    <m/>
    <m/>
    <m/>
    <m/>
    <m/>
    <m/>
    <m/>
    <m/>
    <m/>
    <m/>
    <m/>
  </r>
  <r>
    <x v="21"/>
    <x v="2"/>
    <m/>
    <m/>
    <m/>
    <m/>
    <m/>
    <m/>
    <m/>
    <m/>
    <m/>
    <m/>
    <m/>
    <m/>
    <m/>
    <m/>
    <m/>
    <m/>
    <m/>
  </r>
  <r>
    <x v="21"/>
    <x v="3"/>
    <m/>
    <m/>
    <m/>
    <m/>
    <m/>
    <m/>
    <m/>
    <m/>
    <m/>
    <m/>
    <m/>
    <m/>
    <m/>
    <m/>
    <m/>
    <m/>
    <m/>
  </r>
  <r>
    <x v="21"/>
    <x v="4"/>
    <m/>
    <m/>
    <m/>
    <m/>
    <m/>
    <m/>
    <m/>
    <m/>
    <m/>
    <m/>
    <m/>
    <m/>
    <m/>
    <m/>
    <m/>
    <m/>
    <m/>
  </r>
  <r>
    <x v="21"/>
    <x v="5"/>
    <m/>
    <m/>
    <m/>
    <m/>
    <m/>
    <m/>
    <m/>
    <m/>
    <m/>
    <m/>
    <m/>
    <m/>
    <m/>
    <m/>
    <m/>
    <m/>
    <m/>
  </r>
  <r>
    <x v="21"/>
    <x v="6"/>
    <m/>
    <m/>
    <m/>
    <m/>
    <m/>
    <m/>
    <m/>
    <m/>
    <m/>
    <m/>
    <m/>
    <m/>
    <m/>
    <m/>
    <m/>
    <m/>
    <m/>
  </r>
  <r>
    <x v="21"/>
    <x v="7"/>
    <m/>
    <m/>
    <m/>
    <m/>
    <m/>
    <m/>
    <m/>
    <m/>
    <m/>
    <m/>
    <m/>
    <m/>
    <m/>
    <m/>
    <m/>
    <m/>
    <m/>
  </r>
  <r>
    <x v="21"/>
    <x v="8"/>
    <m/>
    <m/>
    <m/>
    <m/>
    <m/>
    <m/>
    <m/>
    <m/>
    <m/>
    <m/>
    <m/>
    <m/>
    <m/>
    <m/>
    <m/>
    <m/>
    <m/>
  </r>
  <r>
    <x v="21"/>
    <x v="9"/>
    <m/>
    <m/>
    <m/>
    <m/>
    <m/>
    <m/>
    <m/>
    <m/>
    <m/>
    <m/>
    <m/>
    <m/>
    <m/>
    <m/>
    <m/>
    <m/>
    <m/>
  </r>
  <r>
    <x v="21"/>
    <x v="10"/>
    <m/>
    <m/>
    <m/>
    <m/>
    <m/>
    <m/>
    <m/>
    <m/>
    <m/>
    <m/>
    <m/>
    <m/>
    <m/>
    <m/>
    <m/>
    <m/>
    <m/>
  </r>
  <r>
    <x v="21"/>
    <x v="11"/>
    <m/>
    <m/>
    <m/>
    <m/>
    <m/>
    <m/>
    <m/>
    <m/>
    <m/>
    <m/>
    <m/>
    <m/>
    <m/>
    <m/>
    <m/>
    <m/>
    <m/>
  </r>
  <r>
    <x v="21"/>
    <x v="12"/>
    <m/>
    <m/>
    <m/>
    <m/>
    <m/>
    <m/>
    <m/>
    <m/>
    <m/>
    <m/>
    <m/>
    <m/>
    <m/>
    <m/>
    <m/>
    <m/>
    <m/>
  </r>
  <r>
    <x v="21"/>
    <x v="13"/>
    <m/>
    <m/>
    <m/>
    <m/>
    <m/>
    <m/>
    <m/>
    <m/>
    <m/>
    <m/>
    <m/>
    <m/>
    <m/>
    <m/>
    <m/>
    <m/>
    <m/>
  </r>
  <r>
    <x v="21"/>
    <x v="14"/>
    <m/>
    <m/>
    <m/>
    <m/>
    <m/>
    <m/>
    <m/>
    <m/>
    <m/>
    <m/>
    <m/>
    <m/>
    <m/>
    <m/>
    <m/>
    <m/>
    <m/>
  </r>
  <r>
    <x v="21"/>
    <x v="15"/>
    <m/>
    <m/>
    <m/>
    <m/>
    <m/>
    <m/>
    <m/>
    <m/>
    <m/>
    <m/>
    <m/>
    <m/>
    <m/>
    <m/>
    <m/>
    <m/>
    <m/>
  </r>
  <r>
    <x v="21"/>
    <x v="16"/>
    <m/>
    <m/>
    <m/>
    <m/>
    <m/>
    <m/>
    <m/>
    <m/>
    <m/>
    <m/>
    <m/>
    <m/>
    <m/>
    <m/>
    <m/>
    <m/>
    <m/>
  </r>
  <r>
    <x v="21"/>
    <x v="17"/>
    <m/>
    <m/>
    <m/>
    <m/>
    <m/>
    <m/>
    <m/>
    <m/>
    <m/>
    <m/>
    <m/>
    <m/>
    <m/>
    <m/>
    <m/>
    <m/>
    <m/>
  </r>
  <r>
    <x v="21"/>
    <x v="18"/>
    <m/>
    <m/>
    <m/>
    <m/>
    <m/>
    <m/>
    <m/>
    <m/>
    <m/>
    <m/>
    <m/>
    <m/>
    <m/>
    <m/>
    <m/>
    <m/>
    <m/>
  </r>
  <r>
    <x v="21"/>
    <x v="19"/>
    <m/>
    <m/>
    <m/>
    <m/>
    <m/>
    <m/>
    <m/>
    <m/>
    <m/>
    <m/>
    <m/>
    <m/>
    <m/>
    <m/>
    <m/>
    <m/>
    <m/>
  </r>
  <r>
    <x v="21"/>
    <x v="20"/>
    <m/>
    <m/>
    <m/>
    <m/>
    <m/>
    <m/>
    <m/>
    <m/>
    <m/>
    <m/>
    <m/>
    <m/>
    <m/>
    <m/>
    <m/>
    <m/>
    <m/>
  </r>
  <r>
    <x v="21"/>
    <x v="21"/>
    <m/>
    <m/>
    <m/>
    <m/>
    <m/>
    <m/>
    <m/>
    <m/>
    <m/>
    <m/>
    <m/>
    <m/>
    <m/>
    <m/>
    <m/>
    <m/>
    <m/>
  </r>
  <r>
    <x v="21"/>
    <x v="22"/>
    <m/>
    <m/>
    <m/>
    <m/>
    <m/>
    <m/>
    <m/>
    <m/>
    <m/>
    <m/>
    <m/>
    <m/>
    <m/>
    <m/>
    <m/>
    <m/>
    <m/>
  </r>
  <r>
    <x v="21"/>
    <x v="23"/>
    <m/>
    <m/>
    <m/>
    <m/>
    <m/>
    <m/>
    <m/>
    <m/>
    <m/>
    <m/>
    <m/>
    <m/>
    <m/>
    <m/>
    <m/>
    <m/>
    <m/>
  </r>
  <r>
    <x v="21"/>
    <x v="24"/>
    <m/>
    <m/>
    <m/>
    <m/>
    <m/>
    <m/>
    <m/>
    <m/>
    <m/>
    <m/>
    <m/>
    <m/>
    <m/>
    <m/>
    <m/>
    <m/>
    <m/>
  </r>
  <r>
    <x v="21"/>
    <x v="25"/>
    <m/>
    <m/>
    <m/>
    <m/>
    <m/>
    <m/>
    <m/>
    <m/>
    <m/>
    <m/>
    <m/>
    <m/>
    <m/>
    <m/>
    <m/>
    <m/>
    <m/>
  </r>
  <r>
    <x v="21"/>
    <x v="26"/>
    <m/>
    <m/>
    <m/>
    <m/>
    <m/>
    <m/>
    <m/>
    <m/>
    <m/>
    <m/>
    <m/>
    <m/>
    <m/>
    <m/>
    <m/>
    <m/>
    <m/>
  </r>
  <r>
    <x v="21"/>
    <x v="27"/>
    <m/>
    <m/>
    <m/>
    <m/>
    <m/>
    <m/>
    <m/>
    <m/>
    <m/>
    <m/>
    <m/>
    <m/>
    <m/>
    <m/>
    <m/>
    <m/>
    <m/>
  </r>
  <r>
    <x v="21"/>
    <x v="28"/>
    <m/>
    <m/>
    <m/>
    <m/>
    <m/>
    <m/>
    <m/>
    <m/>
    <m/>
    <m/>
    <m/>
    <m/>
    <m/>
    <m/>
    <m/>
    <m/>
    <m/>
  </r>
  <r>
    <x v="21"/>
    <x v="29"/>
    <m/>
    <m/>
    <m/>
    <m/>
    <m/>
    <m/>
    <m/>
    <m/>
    <m/>
    <m/>
    <m/>
    <m/>
    <m/>
    <m/>
    <m/>
    <m/>
    <m/>
  </r>
  <r>
    <x v="21"/>
    <x v="30"/>
    <m/>
    <m/>
    <m/>
    <m/>
    <m/>
    <m/>
    <m/>
    <m/>
    <m/>
    <m/>
    <m/>
    <m/>
    <m/>
    <m/>
    <m/>
    <m/>
    <m/>
  </r>
  <r>
    <x v="21"/>
    <x v="31"/>
    <m/>
    <m/>
    <m/>
    <m/>
    <m/>
    <m/>
    <m/>
    <m/>
    <m/>
    <m/>
    <m/>
    <m/>
    <m/>
    <m/>
    <m/>
    <m/>
    <m/>
  </r>
  <r>
    <x v="21"/>
    <x v="32"/>
    <m/>
    <m/>
    <m/>
    <m/>
    <m/>
    <m/>
    <m/>
    <m/>
    <m/>
    <m/>
    <m/>
    <m/>
    <m/>
    <m/>
    <m/>
    <m/>
    <m/>
  </r>
  <r>
    <x v="21"/>
    <x v="33"/>
    <m/>
    <m/>
    <m/>
    <m/>
    <m/>
    <m/>
    <m/>
    <m/>
    <m/>
    <m/>
    <m/>
    <m/>
    <m/>
    <m/>
    <m/>
    <m/>
    <m/>
  </r>
  <r>
    <x v="21"/>
    <x v="34"/>
    <m/>
    <m/>
    <m/>
    <m/>
    <m/>
    <m/>
    <m/>
    <m/>
    <m/>
    <m/>
    <m/>
    <m/>
    <m/>
    <m/>
    <m/>
    <m/>
    <m/>
  </r>
  <r>
    <x v="21"/>
    <x v="35"/>
    <m/>
    <m/>
    <m/>
    <m/>
    <m/>
    <m/>
    <n v="6"/>
    <n v="5"/>
    <n v="2"/>
    <m/>
    <n v="2"/>
    <m/>
    <n v="2"/>
    <n v="3"/>
    <n v="2"/>
    <n v="5"/>
    <m/>
  </r>
  <r>
    <x v="21"/>
    <x v="36"/>
    <m/>
    <m/>
    <m/>
    <m/>
    <m/>
    <m/>
    <m/>
    <m/>
    <m/>
    <m/>
    <m/>
    <m/>
    <m/>
    <m/>
    <m/>
    <m/>
    <m/>
  </r>
  <r>
    <x v="21"/>
    <x v="37"/>
    <m/>
    <m/>
    <m/>
    <m/>
    <m/>
    <m/>
    <m/>
    <m/>
    <m/>
    <m/>
    <m/>
    <m/>
    <m/>
    <m/>
    <m/>
    <m/>
    <m/>
  </r>
  <r>
    <x v="21"/>
    <x v="38"/>
    <m/>
    <m/>
    <m/>
    <m/>
    <m/>
    <m/>
    <m/>
    <m/>
    <m/>
    <m/>
    <m/>
    <m/>
    <m/>
    <m/>
    <m/>
    <m/>
    <m/>
  </r>
  <r>
    <x v="21"/>
    <x v="39"/>
    <m/>
    <m/>
    <m/>
    <m/>
    <m/>
    <m/>
    <m/>
    <m/>
    <m/>
    <m/>
    <m/>
    <m/>
    <m/>
    <m/>
    <m/>
    <m/>
    <m/>
  </r>
  <r>
    <x v="21"/>
    <x v="40"/>
    <m/>
    <m/>
    <m/>
    <m/>
    <m/>
    <m/>
    <m/>
    <m/>
    <m/>
    <m/>
    <m/>
    <m/>
    <m/>
    <m/>
    <m/>
    <m/>
    <m/>
  </r>
  <r>
    <x v="21"/>
    <x v="41"/>
    <m/>
    <m/>
    <m/>
    <m/>
    <m/>
    <m/>
    <m/>
    <m/>
    <m/>
    <m/>
    <m/>
    <m/>
    <m/>
    <m/>
    <m/>
    <m/>
    <m/>
  </r>
  <r>
    <x v="21"/>
    <x v="42"/>
    <m/>
    <m/>
    <m/>
    <m/>
    <m/>
    <m/>
    <m/>
    <m/>
    <m/>
    <m/>
    <m/>
    <m/>
    <m/>
    <m/>
    <m/>
    <m/>
    <m/>
  </r>
  <r>
    <x v="21"/>
    <x v="43"/>
    <m/>
    <m/>
    <m/>
    <m/>
    <m/>
    <m/>
    <m/>
    <m/>
    <m/>
    <m/>
    <m/>
    <m/>
    <m/>
    <m/>
    <m/>
    <m/>
    <m/>
  </r>
  <r>
    <x v="21"/>
    <x v="44"/>
    <m/>
    <m/>
    <m/>
    <m/>
    <m/>
    <m/>
    <m/>
    <m/>
    <m/>
    <m/>
    <m/>
    <m/>
    <m/>
    <m/>
    <m/>
    <m/>
    <m/>
  </r>
  <r>
    <x v="21"/>
    <x v="45"/>
    <m/>
    <m/>
    <m/>
    <m/>
    <m/>
    <m/>
    <m/>
    <m/>
    <m/>
    <m/>
    <m/>
    <m/>
    <m/>
    <m/>
    <m/>
    <m/>
    <m/>
  </r>
  <r>
    <x v="21"/>
    <x v="46"/>
    <m/>
    <m/>
    <m/>
    <m/>
    <m/>
    <m/>
    <m/>
    <m/>
    <m/>
    <m/>
    <m/>
    <m/>
    <m/>
    <m/>
    <m/>
    <m/>
    <m/>
  </r>
  <r>
    <x v="21"/>
    <x v="47"/>
    <m/>
    <m/>
    <m/>
    <m/>
    <m/>
    <m/>
    <m/>
    <m/>
    <m/>
    <m/>
    <m/>
    <m/>
    <m/>
    <m/>
    <m/>
    <m/>
    <m/>
  </r>
  <r>
    <x v="21"/>
    <x v="48"/>
    <m/>
    <m/>
    <m/>
    <m/>
    <m/>
    <m/>
    <m/>
    <m/>
    <m/>
    <m/>
    <m/>
    <m/>
    <m/>
    <m/>
    <m/>
    <m/>
    <m/>
  </r>
  <r>
    <x v="21"/>
    <x v="49"/>
    <m/>
    <m/>
    <m/>
    <m/>
    <m/>
    <m/>
    <m/>
    <m/>
    <m/>
    <m/>
    <m/>
    <m/>
    <m/>
    <m/>
    <m/>
    <m/>
    <m/>
  </r>
  <r>
    <x v="21"/>
    <x v="50"/>
    <m/>
    <m/>
    <m/>
    <m/>
    <m/>
    <m/>
    <m/>
    <m/>
    <m/>
    <m/>
    <m/>
    <m/>
    <m/>
    <m/>
    <m/>
    <m/>
    <m/>
  </r>
  <r>
    <x v="21"/>
    <x v="51"/>
    <m/>
    <m/>
    <m/>
    <m/>
    <m/>
    <m/>
    <m/>
    <m/>
    <m/>
    <m/>
    <m/>
    <m/>
    <m/>
    <m/>
    <m/>
    <m/>
    <m/>
  </r>
  <r>
    <x v="22"/>
    <x v="0"/>
    <m/>
    <n v="1"/>
    <m/>
    <n v="1"/>
    <m/>
    <n v="1"/>
    <m/>
    <m/>
    <m/>
    <m/>
    <m/>
    <m/>
    <m/>
    <m/>
    <m/>
    <m/>
    <m/>
  </r>
  <r>
    <x v="22"/>
    <x v="1"/>
    <m/>
    <m/>
    <m/>
    <m/>
    <m/>
    <m/>
    <m/>
    <m/>
    <m/>
    <m/>
    <m/>
    <m/>
    <m/>
    <m/>
    <m/>
    <m/>
    <m/>
  </r>
  <r>
    <x v="22"/>
    <x v="2"/>
    <m/>
    <m/>
    <m/>
    <m/>
    <m/>
    <m/>
    <m/>
    <m/>
    <m/>
    <m/>
    <m/>
    <m/>
    <m/>
    <m/>
    <m/>
    <m/>
    <m/>
  </r>
  <r>
    <x v="22"/>
    <x v="3"/>
    <m/>
    <m/>
    <m/>
    <m/>
    <m/>
    <m/>
    <m/>
    <m/>
    <m/>
    <m/>
    <m/>
    <m/>
    <m/>
    <m/>
    <m/>
    <m/>
    <m/>
  </r>
  <r>
    <x v="22"/>
    <x v="4"/>
    <m/>
    <m/>
    <m/>
    <m/>
    <m/>
    <m/>
    <m/>
    <m/>
    <m/>
    <m/>
    <m/>
    <m/>
    <m/>
    <m/>
    <m/>
    <m/>
    <m/>
  </r>
  <r>
    <x v="22"/>
    <x v="5"/>
    <m/>
    <m/>
    <m/>
    <m/>
    <m/>
    <m/>
    <m/>
    <m/>
    <m/>
    <m/>
    <m/>
    <m/>
    <m/>
    <m/>
    <m/>
    <m/>
    <m/>
  </r>
  <r>
    <x v="22"/>
    <x v="6"/>
    <m/>
    <m/>
    <m/>
    <m/>
    <m/>
    <m/>
    <m/>
    <m/>
    <m/>
    <m/>
    <m/>
    <m/>
    <m/>
    <m/>
    <m/>
    <m/>
    <m/>
  </r>
  <r>
    <x v="22"/>
    <x v="7"/>
    <m/>
    <m/>
    <m/>
    <m/>
    <m/>
    <m/>
    <m/>
    <m/>
    <m/>
    <m/>
    <m/>
    <m/>
    <m/>
    <m/>
    <m/>
    <m/>
    <m/>
  </r>
  <r>
    <x v="22"/>
    <x v="8"/>
    <m/>
    <m/>
    <m/>
    <m/>
    <m/>
    <m/>
    <m/>
    <m/>
    <m/>
    <m/>
    <m/>
    <m/>
    <m/>
    <m/>
    <m/>
    <m/>
    <m/>
  </r>
  <r>
    <x v="22"/>
    <x v="9"/>
    <m/>
    <m/>
    <m/>
    <m/>
    <m/>
    <m/>
    <m/>
    <m/>
    <m/>
    <m/>
    <m/>
    <m/>
    <m/>
    <m/>
    <m/>
    <m/>
    <m/>
  </r>
  <r>
    <x v="22"/>
    <x v="10"/>
    <m/>
    <m/>
    <m/>
    <m/>
    <m/>
    <m/>
    <m/>
    <m/>
    <m/>
    <m/>
    <m/>
    <m/>
    <m/>
    <m/>
    <m/>
    <m/>
    <m/>
  </r>
  <r>
    <x v="22"/>
    <x v="11"/>
    <m/>
    <m/>
    <m/>
    <m/>
    <m/>
    <m/>
    <m/>
    <m/>
    <m/>
    <m/>
    <m/>
    <m/>
    <m/>
    <m/>
    <m/>
    <m/>
    <m/>
  </r>
  <r>
    <x v="22"/>
    <x v="12"/>
    <m/>
    <m/>
    <m/>
    <m/>
    <m/>
    <m/>
    <m/>
    <m/>
    <m/>
    <m/>
    <m/>
    <m/>
    <m/>
    <m/>
    <m/>
    <m/>
    <m/>
  </r>
  <r>
    <x v="22"/>
    <x v="13"/>
    <m/>
    <m/>
    <m/>
    <m/>
    <m/>
    <m/>
    <m/>
    <m/>
    <m/>
    <m/>
    <m/>
    <m/>
    <m/>
    <m/>
    <m/>
    <m/>
    <m/>
  </r>
  <r>
    <x v="22"/>
    <x v="14"/>
    <m/>
    <m/>
    <m/>
    <m/>
    <m/>
    <m/>
    <m/>
    <m/>
    <m/>
    <m/>
    <m/>
    <m/>
    <m/>
    <m/>
    <m/>
    <m/>
    <m/>
  </r>
  <r>
    <x v="22"/>
    <x v="15"/>
    <m/>
    <m/>
    <m/>
    <m/>
    <m/>
    <m/>
    <m/>
    <m/>
    <m/>
    <m/>
    <m/>
    <m/>
    <m/>
    <m/>
    <m/>
    <m/>
    <m/>
  </r>
  <r>
    <x v="22"/>
    <x v="16"/>
    <m/>
    <m/>
    <m/>
    <m/>
    <m/>
    <m/>
    <m/>
    <m/>
    <m/>
    <m/>
    <m/>
    <m/>
    <m/>
    <m/>
    <m/>
    <m/>
    <m/>
  </r>
  <r>
    <x v="22"/>
    <x v="17"/>
    <m/>
    <m/>
    <m/>
    <m/>
    <m/>
    <m/>
    <m/>
    <m/>
    <m/>
    <m/>
    <m/>
    <m/>
    <m/>
    <m/>
    <m/>
    <m/>
    <m/>
  </r>
  <r>
    <x v="22"/>
    <x v="18"/>
    <m/>
    <n v="1"/>
    <n v="1"/>
    <m/>
    <m/>
    <n v="1"/>
    <n v="13"/>
    <n v="3"/>
    <m/>
    <m/>
    <m/>
    <m/>
    <m/>
    <m/>
    <n v="2"/>
    <n v="2"/>
    <m/>
  </r>
  <r>
    <x v="22"/>
    <x v="19"/>
    <m/>
    <m/>
    <m/>
    <m/>
    <m/>
    <m/>
    <m/>
    <m/>
    <m/>
    <m/>
    <m/>
    <m/>
    <m/>
    <m/>
    <m/>
    <m/>
    <m/>
  </r>
  <r>
    <x v="22"/>
    <x v="20"/>
    <m/>
    <m/>
    <m/>
    <m/>
    <m/>
    <m/>
    <m/>
    <m/>
    <m/>
    <m/>
    <m/>
    <m/>
    <m/>
    <m/>
    <m/>
    <m/>
    <m/>
  </r>
  <r>
    <x v="22"/>
    <x v="21"/>
    <m/>
    <m/>
    <m/>
    <m/>
    <m/>
    <m/>
    <m/>
    <m/>
    <m/>
    <m/>
    <m/>
    <m/>
    <m/>
    <m/>
    <m/>
    <m/>
    <m/>
  </r>
  <r>
    <x v="22"/>
    <x v="22"/>
    <m/>
    <m/>
    <m/>
    <m/>
    <m/>
    <m/>
    <m/>
    <m/>
    <m/>
    <m/>
    <m/>
    <m/>
    <m/>
    <m/>
    <m/>
    <m/>
    <m/>
  </r>
  <r>
    <x v="22"/>
    <x v="23"/>
    <m/>
    <m/>
    <m/>
    <m/>
    <m/>
    <m/>
    <m/>
    <m/>
    <m/>
    <m/>
    <m/>
    <m/>
    <m/>
    <m/>
    <m/>
    <m/>
    <m/>
  </r>
  <r>
    <x v="22"/>
    <x v="24"/>
    <m/>
    <m/>
    <m/>
    <m/>
    <m/>
    <m/>
    <m/>
    <m/>
    <m/>
    <m/>
    <m/>
    <m/>
    <m/>
    <m/>
    <m/>
    <m/>
    <m/>
  </r>
  <r>
    <x v="22"/>
    <x v="25"/>
    <m/>
    <m/>
    <m/>
    <m/>
    <m/>
    <m/>
    <m/>
    <m/>
    <m/>
    <m/>
    <m/>
    <m/>
    <m/>
    <m/>
    <m/>
    <m/>
    <m/>
  </r>
  <r>
    <x v="22"/>
    <x v="26"/>
    <m/>
    <m/>
    <m/>
    <m/>
    <m/>
    <m/>
    <m/>
    <m/>
    <m/>
    <m/>
    <m/>
    <m/>
    <m/>
    <m/>
    <m/>
    <m/>
    <m/>
  </r>
  <r>
    <x v="22"/>
    <x v="27"/>
    <m/>
    <m/>
    <m/>
    <m/>
    <m/>
    <m/>
    <m/>
    <m/>
    <m/>
    <m/>
    <m/>
    <m/>
    <m/>
    <m/>
    <m/>
    <m/>
    <m/>
  </r>
  <r>
    <x v="22"/>
    <x v="28"/>
    <m/>
    <m/>
    <m/>
    <m/>
    <m/>
    <m/>
    <m/>
    <m/>
    <m/>
    <m/>
    <m/>
    <m/>
    <m/>
    <m/>
    <m/>
    <m/>
    <m/>
  </r>
  <r>
    <x v="22"/>
    <x v="29"/>
    <m/>
    <m/>
    <m/>
    <m/>
    <m/>
    <m/>
    <m/>
    <m/>
    <m/>
    <m/>
    <m/>
    <m/>
    <m/>
    <m/>
    <m/>
    <m/>
    <m/>
  </r>
  <r>
    <x v="22"/>
    <x v="30"/>
    <m/>
    <m/>
    <m/>
    <m/>
    <m/>
    <m/>
    <m/>
    <m/>
    <m/>
    <m/>
    <m/>
    <m/>
    <m/>
    <m/>
    <m/>
    <m/>
    <m/>
  </r>
  <r>
    <x v="22"/>
    <x v="31"/>
    <m/>
    <m/>
    <m/>
    <m/>
    <m/>
    <m/>
    <m/>
    <m/>
    <m/>
    <m/>
    <m/>
    <m/>
    <m/>
    <m/>
    <m/>
    <m/>
    <m/>
  </r>
  <r>
    <x v="22"/>
    <x v="32"/>
    <m/>
    <m/>
    <m/>
    <m/>
    <m/>
    <m/>
    <m/>
    <m/>
    <m/>
    <m/>
    <m/>
    <m/>
    <m/>
    <m/>
    <m/>
    <m/>
    <m/>
  </r>
  <r>
    <x v="22"/>
    <x v="33"/>
    <m/>
    <m/>
    <m/>
    <m/>
    <m/>
    <m/>
    <m/>
    <m/>
    <m/>
    <m/>
    <m/>
    <m/>
    <m/>
    <m/>
    <m/>
    <m/>
    <m/>
  </r>
  <r>
    <x v="22"/>
    <x v="34"/>
    <m/>
    <n v="1"/>
    <m/>
    <n v="1"/>
    <m/>
    <n v="1"/>
    <m/>
    <m/>
    <m/>
    <m/>
    <m/>
    <m/>
    <m/>
    <m/>
    <m/>
    <m/>
    <m/>
  </r>
  <r>
    <x v="22"/>
    <x v="35"/>
    <m/>
    <m/>
    <m/>
    <m/>
    <m/>
    <m/>
    <m/>
    <m/>
    <m/>
    <m/>
    <m/>
    <m/>
    <m/>
    <m/>
    <m/>
    <m/>
    <m/>
  </r>
  <r>
    <x v="22"/>
    <x v="36"/>
    <m/>
    <m/>
    <m/>
    <m/>
    <m/>
    <m/>
    <m/>
    <m/>
    <m/>
    <m/>
    <m/>
    <m/>
    <m/>
    <m/>
    <m/>
    <m/>
    <m/>
  </r>
  <r>
    <x v="22"/>
    <x v="37"/>
    <m/>
    <m/>
    <m/>
    <m/>
    <m/>
    <m/>
    <m/>
    <m/>
    <m/>
    <m/>
    <m/>
    <m/>
    <m/>
    <m/>
    <m/>
    <m/>
    <m/>
  </r>
  <r>
    <x v="22"/>
    <x v="38"/>
    <m/>
    <m/>
    <m/>
    <m/>
    <m/>
    <m/>
    <m/>
    <m/>
    <m/>
    <m/>
    <m/>
    <m/>
    <m/>
    <m/>
    <m/>
    <m/>
    <m/>
  </r>
  <r>
    <x v="22"/>
    <x v="39"/>
    <m/>
    <m/>
    <m/>
    <m/>
    <m/>
    <m/>
    <m/>
    <m/>
    <m/>
    <m/>
    <m/>
    <m/>
    <m/>
    <m/>
    <m/>
    <m/>
    <m/>
  </r>
  <r>
    <x v="22"/>
    <x v="40"/>
    <m/>
    <m/>
    <m/>
    <m/>
    <m/>
    <m/>
    <m/>
    <m/>
    <m/>
    <m/>
    <m/>
    <m/>
    <m/>
    <m/>
    <m/>
    <m/>
    <m/>
  </r>
  <r>
    <x v="22"/>
    <x v="41"/>
    <m/>
    <m/>
    <m/>
    <m/>
    <m/>
    <m/>
    <m/>
    <m/>
    <m/>
    <m/>
    <m/>
    <m/>
    <m/>
    <m/>
    <m/>
    <m/>
    <m/>
  </r>
  <r>
    <x v="22"/>
    <x v="42"/>
    <m/>
    <m/>
    <m/>
    <m/>
    <m/>
    <m/>
    <m/>
    <m/>
    <m/>
    <m/>
    <m/>
    <m/>
    <m/>
    <m/>
    <m/>
    <m/>
    <m/>
  </r>
  <r>
    <x v="22"/>
    <x v="43"/>
    <m/>
    <m/>
    <m/>
    <m/>
    <m/>
    <m/>
    <m/>
    <m/>
    <m/>
    <m/>
    <m/>
    <m/>
    <m/>
    <m/>
    <m/>
    <m/>
    <m/>
  </r>
  <r>
    <x v="22"/>
    <x v="44"/>
    <m/>
    <m/>
    <m/>
    <m/>
    <m/>
    <m/>
    <m/>
    <m/>
    <m/>
    <m/>
    <m/>
    <m/>
    <m/>
    <m/>
    <m/>
    <m/>
    <m/>
  </r>
  <r>
    <x v="22"/>
    <x v="45"/>
    <m/>
    <m/>
    <m/>
    <m/>
    <m/>
    <m/>
    <m/>
    <m/>
    <m/>
    <m/>
    <m/>
    <m/>
    <m/>
    <m/>
    <m/>
    <m/>
    <m/>
  </r>
  <r>
    <x v="22"/>
    <x v="46"/>
    <m/>
    <m/>
    <m/>
    <m/>
    <m/>
    <m/>
    <m/>
    <m/>
    <m/>
    <m/>
    <m/>
    <m/>
    <m/>
    <m/>
    <m/>
    <m/>
    <m/>
  </r>
  <r>
    <x v="22"/>
    <x v="47"/>
    <m/>
    <m/>
    <m/>
    <m/>
    <m/>
    <m/>
    <m/>
    <m/>
    <m/>
    <m/>
    <m/>
    <m/>
    <m/>
    <m/>
    <m/>
    <m/>
    <m/>
  </r>
  <r>
    <x v="22"/>
    <x v="48"/>
    <m/>
    <m/>
    <m/>
    <m/>
    <m/>
    <m/>
    <m/>
    <m/>
    <m/>
    <m/>
    <m/>
    <m/>
    <m/>
    <m/>
    <m/>
    <m/>
    <m/>
  </r>
  <r>
    <x v="22"/>
    <x v="49"/>
    <n v="1"/>
    <n v="1"/>
    <n v="1"/>
    <n v="1"/>
    <n v="1"/>
    <n v="1"/>
    <n v="3"/>
    <n v="4"/>
    <m/>
    <m/>
    <n v="1"/>
    <m/>
    <m/>
    <m/>
    <n v="1"/>
    <n v="4"/>
    <m/>
  </r>
  <r>
    <x v="23"/>
    <x v="3"/>
    <m/>
    <m/>
    <n v="1"/>
    <n v="1"/>
    <m/>
    <m/>
    <n v="1"/>
    <n v="1"/>
    <n v="1"/>
    <m/>
    <n v="1"/>
    <n v="1"/>
    <m/>
    <m/>
    <n v="1"/>
    <m/>
    <m/>
  </r>
  <r>
    <x v="23"/>
    <x v="4"/>
    <m/>
    <m/>
    <n v="1"/>
    <n v="1"/>
    <m/>
    <m/>
    <n v="1"/>
    <n v="1"/>
    <n v="1"/>
    <m/>
    <n v="1"/>
    <n v="1"/>
    <m/>
    <m/>
    <n v="1"/>
    <m/>
    <m/>
  </r>
  <r>
    <x v="23"/>
    <x v="5"/>
    <m/>
    <m/>
    <m/>
    <m/>
    <m/>
    <m/>
    <m/>
    <m/>
    <m/>
    <m/>
    <m/>
    <m/>
    <m/>
    <m/>
    <m/>
    <m/>
    <m/>
  </r>
  <r>
    <x v="23"/>
    <x v="6"/>
    <m/>
    <m/>
    <m/>
    <m/>
    <m/>
    <m/>
    <m/>
    <m/>
    <m/>
    <m/>
    <m/>
    <m/>
    <m/>
    <m/>
    <m/>
    <m/>
    <m/>
  </r>
  <r>
    <x v="23"/>
    <x v="7"/>
    <m/>
    <m/>
    <m/>
    <m/>
    <m/>
    <m/>
    <m/>
    <m/>
    <m/>
    <m/>
    <m/>
    <m/>
    <m/>
    <m/>
    <m/>
    <m/>
    <m/>
  </r>
  <r>
    <x v="23"/>
    <x v="8"/>
    <m/>
    <m/>
    <m/>
    <m/>
    <m/>
    <m/>
    <m/>
    <m/>
    <m/>
    <m/>
    <m/>
    <m/>
    <m/>
    <m/>
    <m/>
    <m/>
    <m/>
  </r>
  <r>
    <x v="23"/>
    <x v="9"/>
    <m/>
    <m/>
    <m/>
    <m/>
    <m/>
    <m/>
    <m/>
    <m/>
    <m/>
    <m/>
    <m/>
    <m/>
    <m/>
    <m/>
    <m/>
    <m/>
    <m/>
  </r>
  <r>
    <x v="23"/>
    <x v="10"/>
    <m/>
    <m/>
    <m/>
    <m/>
    <m/>
    <m/>
    <m/>
    <m/>
    <m/>
    <m/>
    <m/>
    <m/>
    <m/>
    <m/>
    <m/>
    <m/>
    <m/>
  </r>
  <r>
    <x v="23"/>
    <x v="11"/>
    <m/>
    <m/>
    <m/>
    <m/>
    <m/>
    <m/>
    <m/>
    <m/>
    <m/>
    <m/>
    <m/>
    <m/>
    <m/>
    <m/>
    <m/>
    <m/>
    <m/>
  </r>
  <r>
    <x v="23"/>
    <x v="12"/>
    <m/>
    <m/>
    <m/>
    <m/>
    <m/>
    <m/>
    <m/>
    <m/>
    <m/>
    <m/>
    <m/>
    <m/>
    <m/>
    <m/>
    <m/>
    <m/>
    <m/>
  </r>
  <r>
    <x v="23"/>
    <x v="13"/>
    <m/>
    <m/>
    <m/>
    <m/>
    <m/>
    <m/>
    <m/>
    <m/>
    <m/>
    <m/>
    <m/>
    <m/>
    <m/>
    <m/>
    <m/>
    <m/>
    <m/>
  </r>
  <r>
    <x v="23"/>
    <x v="14"/>
    <m/>
    <m/>
    <m/>
    <m/>
    <m/>
    <m/>
    <m/>
    <m/>
    <n v="1"/>
    <m/>
    <m/>
    <m/>
    <m/>
    <m/>
    <m/>
    <m/>
    <m/>
  </r>
  <r>
    <x v="23"/>
    <x v="15"/>
    <m/>
    <m/>
    <n v="3"/>
    <n v="3"/>
    <n v="3"/>
    <n v="2"/>
    <n v="5"/>
    <n v="5"/>
    <n v="10"/>
    <m/>
    <n v="2"/>
    <n v="6"/>
    <n v="6"/>
    <n v="2"/>
    <n v="10"/>
    <n v="15"/>
    <m/>
  </r>
  <r>
    <x v="23"/>
    <x v="16"/>
    <m/>
    <m/>
    <m/>
    <m/>
    <m/>
    <m/>
    <m/>
    <m/>
    <m/>
    <m/>
    <m/>
    <m/>
    <m/>
    <m/>
    <m/>
    <m/>
    <m/>
  </r>
  <r>
    <x v="23"/>
    <x v="17"/>
    <m/>
    <m/>
    <m/>
    <m/>
    <m/>
    <m/>
    <m/>
    <m/>
    <m/>
    <m/>
    <m/>
    <m/>
    <m/>
    <m/>
    <m/>
    <m/>
    <m/>
  </r>
  <r>
    <x v="23"/>
    <x v="18"/>
    <m/>
    <m/>
    <m/>
    <m/>
    <m/>
    <m/>
    <m/>
    <m/>
    <m/>
    <m/>
    <m/>
    <m/>
    <m/>
    <m/>
    <m/>
    <m/>
    <m/>
  </r>
  <r>
    <x v="23"/>
    <x v="19"/>
    <m/>
    <m/>
    <m/>
    <m/>
    <m/>
    <m/>
    <m/>
    <m/>
    <m/>
    <m/>
    <m/>
    <m/>
    <m/>
    <m/>
    <m/>
    <m/>
    <m/>
  </r>
  <r>
    <x v="23"/>
    <x v="20"/>
    <m/>
    <m/>
    <m/>
    <m/>
    <m/>
    <m/>
    <n v="1"/>
    <n v="1"/>
    <n v="1"/>
    <m/>
    <m/>
    <n v="1"/>
    <m/>
    <m/>
    <n v="1"/>
    <m/>
    <m/>
  </r>
  <r>
    <x v="23"/>
    <x v="21"/>
    <m/>
    <m/>
    <m/>
    <m/>
    <m/>
    <m/>
    <m/>
    <m/>
    <m/>
    <m/>
    <m/>
    <m/>
    <m/>
    <m/>
    <m/>
    <m/>
    <m/>
  </r>
  <r>
    <x v="23"/>
    <x v="22"/>
    <m/>
    <m/>
    <m/>
    <m/>
    <m/>
    <m/>
    <m/>
    <m/>
    <m/>
    <m/>
    <m/>
    <m/>
    <m/>
    <m/>
    <m/>
    <m/>
    <m/>
  </r>
  <r>
    <x v="23"/>
    <x v="23"/>
    <m/>
    <m/>
    <m/>
    <m/>
    <m/>
    <m/>
    <m/>
    <m/>
    <m/>
    <m/>
    <m/>
    <m/>
    <m/>
    <m/>
    <m/>
    <m/>
    <m/>
  </r>
  <r>
    <x v="23"/>
    <x v="24"/>
    <m/>
    <m/>
    <m/>
    <m/>
    <m/>
    <m/>
    <m/>
    <m/>
    <m/>
    <m/>
    <m/>
    <m/>
    <m/>
    <m/>
    <m/>
    <m/>
    <m/>
  </r>
  <r>
    <x v="23"/>
    <x v="25"/>
    <m/>
    <m/>
    <m/>
    <m/>
    <m/>
    <m/>
    <m/>
    <m/>
    <m/>
    <m/>
    <m/>
    <m/>
    <m/>
    <m/>
    <m/>
    <m/>
    <m/>
  </r>
  <r>
    <x v="23"/>
    <x v="26"/>
    <m/>
    <m/>
    <m/>
    <m/>
    <m/>
    <m/>
    <m/>
    <m/>
    <m/>
    <m/>
    <m/>
    <m/>
    <m/>
    <m/>
    <m/>
    <m/>
    <m/>
  </r>
  <r>
    <x v="23"/>
    <x v="27"/>
    <m/>
    <m/>
    <m/>
    <m/>
    <m/>
    <m/>
    <m/>
    <m/>
    <m/>
    <m/>
    <m/>
    <m/>
    <m/>
    <m/>
    <m/>
    <m/>
    <m/>
  </r>
  <r>
    <x v="23"/>
    <x v="28"/>
    <m/>
    <m/>
    <m/>
    <m/>
    <m/>
    <m/>
    <m/>
    <m/>
    <m/>
    <m/>
    <m/>
    <m/>
    <m/>
    <m/>
    <m/>
    <m/>
    <m/>
  </r>
  <r>
    <x v="23"/>
    <x v="29"/>
    <m/>
    <m/>
    <m/>
    <m/>
    <m/>
    <m/>
    <m/>
    <m/>
    <m/>
    <m/>
    <m/>
    <m/>
    <m/>
    <m/>
    <m/>
    <m/>
    <m/>
  </r>
  <r>
    <x v="23"/>
    <x v="30"/>
    <m/>
    <m/>
    <m/>
    <m/>
    <m/>
    <m/>
    <m/>
    <m/>
    <m/>
    <m/>
    <m/>
    <m/>
    <m/>
    <m/>
    <m/>
    <m/>
    <m/>
  </r>
  <r>
    <x v="23"/>
    <x v="31"/>
    <m/>
    <m/>
    <m/>
    <m/>
    <m/>
    <m/>
    <m/>
    <m/>
    <m/>
    <m/>
    <m/>
    <m/>
    <m/>
    <m/>
    <m/>
    <m/>
    <m/>
  </r>
  <r>
    <x v="23"/>
    <x v="32"/>
    <m/>
    <m/>
    <m/>
    <m/>
    <m/>
    <m/>
    <n v="1"/>
    <n v="1"/>
    <n v="1"/>
    <m/>
    <m/>
    <n v="1"/>
    <m/>
    <m/>
    <n v="1"/>
    <m/>
    <m/>
  </r>
  <r>
    <x v="23"/>
    <x v="33"/>
    <m/>
    <m/>
    <m/>
    <m/>
    <m/>
    <m/>
    <m/>
    <m/>
    <m/>
    <m/>
    <m/>
    <m/>
    <m/>
    <m/>
    <m/>
    <m/>
    <m/>
  </r>
  <r>
    <x v="23"/>
    <x v="34"/>
    <m/>
    <m/>
    <m/>
    <m/>
    <m/>
    <m/>
    <m/>
    <m/>
    <m/>
    <m/>
    <m/>
    <m/>
    <m/>
    <m/>
    <m/>
    <m/>
    <m/>
  </r>
  <r>
    <x v="23"/>
    <x v="35"/>
    <m/>
    <m/>
    <m/>
    <m/>
    <m/>
    <m/>
    <m/>
    <n v="1"/>
    <n v="1"/>
    <m/>
    <m/>
    <m/>
    <m/>
    <m/>
    <n v="1"/>
    <m/>
    <m/>
  </r>
  <r>
    <x v="23"/>
    <x v="36"/>
    <m/>
    <m/>
    <m/>
    <m/>
    <m/>
    <m/>
    <m/>
    <m/>
    <m/>
    <m/>
    <m/>
    <m/>
    <m/>
    <m/>
    <m/>
    <m/>
    <m/>
  </r>
  <r>
    <x v="23"/>
    <x v="37"/>
    <m/>
    <m/>
    <m/>
    <m/>
    <m/>
    <m/>
    <m/>
    <m/>
    <m/>
    <m/>
    <m/>
    <m/>
    <m/>
    <m/>
    <m/>
    <m/>
    <m/>
  </r>
  <r>
    <x v="23"/>
    <x v="38"/>
    <m/>
    <m/>
    <m/>
    <m/>
    <m/>
    <m/>
    <m/>
    <m/>
    <m/>
    <m/>
    <m/>
    <m/>
    <m/>
    <m/>
    <m/>
    <m/>
    <m/>
  </r>
  <r>
    <x v="23"/>
    <x v="39"/>
    <m/>
    <m/>
    <m/>
    <m/>
    <m/>
    <m/>
    <m/>
    <m/>
    <m/>
    <m/>
    <m/>
    <m/>
    <m/>
    <m/>
    <m/>
    <m/>
    <m/>
  </r>
  <r>
    <x v="23"/>
    <x v="40"/>
    <m/>
    <m/>
    <m/>
    <m/>
    <m/>
    <m/>
    <m/>
    <m/>
    <m/>
    <m/>
    <m/>
    <m/>
    <m/>
    <m/>
    <m/>
    <m/>
    <m/>
  </r>
  <r>
    <x v="23"/>
    <x v="41"/>
    <m/>
    <m/>
    <m/>
    <m/>
    <m/>
    <m/>
    <m/>
    <m/>
    <m/>
    <m/>
    <m/>
    <m/>
    <m/>
    <m/>
    <m/>
    <m/>
    <m/>
  </r>
  <r>
    <x v="23"/>
    <x v="42"/>
    <m/>
    <m/>
    <m/>
    <m/>
    <m/>
    <m/>
    <n v="1"/>
    <n v="1"/>
    <n v="1"/>
    <m/>
    <n v="1"/>
    <n v="1"/>
    <m/>
    <m/>
    <n v="1"/>
    <m/>
    <m/>
  </r>
  <r>
    <x v="23"/>
    <x v="43"/>
    <m/>
    <m/>
    <m/>
    <m/>
    <m/>
    <m/>
    <m/>
    <m/>
    <m/>
    <m/>
    <m/>
    <m/>
    <m/>
    <m/>
    <m/>
    <m/>
    <m/>
  </r>
  <r>
    <x v="23"/>
    <x v="44"/>
    <m/>
    <m/>
    <m/>
    <m/>
    <m/>
    <m/>
    <m/>
    <m/>
    <m/>
    <m/>
    <m/>
    <m/>
    <m/>
    <m/>
    <m/>
    <m/>
    <m/>
  </r>
  <r>
    <x v="23"/>
    <x v="45"/>
    <m/>
    <m/>
    <m/>
    <m/>
    <m/>
    <m/>
    <m/>
    <m/>
    <m/>
    <m/>
    <m/>
    <m/>
    <m/>
    <m/>
    <m/>
    <m/>
    <m/>
  </r>
  <r>
    <x v="23"/>
    <x v="46"/>
    <m/>
    <m/>
    <m/>
    <m/>
    <m/>
    <m/>
    <m/>
    <m/>
    <m/>
    <m/>
    <m/>
    <m/>
    <m/>
    <m/>
    <m/>
    <m/>
    <m/>
  </r>
  <r>
    <x v="23"/>
    <x v="47"/>
    <m/>
    <m/>
    <m/>
    <m/>
    <m/>
    <m/>
    <m/>
    <m/>
    <m/>
    <m/>
    <m/>
    <m/>
    <m/>
    <m/>
    <m/>
    <m/>
    <m/>
  </r>
  <r>
    <x v="23"/>
    <x v="48"/>
    <m/>
    <m/>
    <m/>
    <m/>
    <m/>
    <m/>
    <m/>
    <m/>
    <m/>
    <m/>
    <m/>
    <m/>
    <m/>
    <m/>
    <m/>
    <m/>
    <m/>
  </r>
  <r>
    <x v="23"/>
    <x v="49"/>
    <m/>
    <m/>
    <m/>
    <m/>
    <m/>
    <m/>
    <m/>
    <m/>
    <m/>
    <m/>
    <m/>
    <m/>
    <m/>
    <m/>
    <m/>
    <m/>
    <m/>
  </r>
  <r>
    <x v="23"/>
    <x v="50"/>
    <m/>
    <m/>
    <m/>
    <m/>
    <m/>
    <m/>
    <n v="1"/>
    <n v="1"/>
    <n v="1"/>
    <m/>
    <n v="1"/>
    <n v="1"/>
    <m/>
    <m/>
    <n v="1"/>
    <m/>
    <m/>
  </r>
  <r>
    <x v="23"/>
    <x v="51"/>
    <m/>
    <m/>
    <m/>
    <m/>
    <m/>
    <m/>
    <n v="1"/>
    <n v="1"/>
    <n v="1"/>
    <m/>
    <n v="1"/>
    <n v="1"/>
    <m/>
    <m/>
    <n v="1"/>
    <m/>
    <m/>
  </r>
  <r>
    <x v="24"/>
    <x v="0"/>
    <m/>
    <n v="1"/>
    <m/>
    <n v="1"/>
    <m/>
    <n v="1"/>
    <m/>
    <m/>
    <m/>
    <m/>
    <m/>
    <m/>
    <m/>
    <m/>
    <m/>
    <m/>
    <m/>
  </r>
  <r>
    <x v="24"/>
    <x v="1"/>
    <m/>
    <m/>
    <m/>
    <m/>
    <m/>
    <m/>
    <m/>
    <m/>
    <m/>
    <m/>
    <m/>
    <m/>
    <m/>
    <m/>
    <m/>
    <m/>
    <m/>
  </r>
  <r>
    <x v="24"/>
    <x v="2"/>
    <m/>
    <m/>
    <m/>
    <m/>
    <m/>
    <m/>
    <n v="2"/>
    <n v="1"/>
    <n v="1"/>
    <m/>
    <n v="1"/>
    <n v="1"/>
    <m/>
    <n v="2"/>
    <n v="1"/>
    <n v="1"/>
    <m/>
  </r>
  <r>
    <x v="24"/>
    <x v="3"/>
    <m/>
    <m/>
    <n v="1"/>
    <n v="1"/>
    <m/>
    <m/>
    <n v="5"/>
    <n v="2"/>
    <n v="2"/>
    <m/>
    <n v="2"/>
    <n v="1"/>
    <n v="5"/>
    <n v="1"/>
    <n v="2"/>
    <n v="6"/>
    <m/>
  </r>
  <r>
    <x v="24"/>
    <x v="4"/>
    <m/>
    <m/>
    <n v="1"/>
    <n v="1"/>
    <m/>
    <m/>
    <n v="1"/>
    <n v="1"/>
    <n v="1"/>
    <m/>
    <n v="1"/>
    <n v="1"/>
    <m/>
    <m/>
    <n v="1"/>
    <m/>
    <m/>
  </r>
  <r>
    <x v="24"/>
    <x v="5"/>
    <m/>
    <m/>
    <m/>
    <m/>
    <m/>
    <m/>
    <m/>
    <m/>
    <m/>
    <m/>
    <m/>
    <m/>
    <m/>
    <m/>
    <m/>
    <m/>
    <m/>
  </r>
  <r>
    <x v="24"/>
    <x v="73"/>
    <m/>
    <m/>
    <m/>
    <m/>
    <m/>
    <m/>
    <m/>
    <n v="1"/>
    <m/>
    <m/>
    <m/>
    <m/>
    <m/>
    <m/>
    <n v="1"/>
    <n v="1"/>
    <m/>
  </r>
  <r>
    <x v="24"/>
    <x v="6"/>
    <m/>
    <m/>
    <m/>
    <m/>
    <m/>
    <m/>
    <n v="1"/>
    <m/>
    <m/>
    <m/>
    <m/>
    <m/>
    <m/>
    <m/>
    <m/>
    <m/>
    <m/>
  </r>
  <r>
    <x v="24"/>
    <x v="7"/>
    <m/>
    <n v="1"/>
    <m/>
    <n v="1"/>
    <m/>
    <n v="1"/>
    <m/>
    <m/>
    <m/>
    <m/>
    <n v="1"/>
    <m/>
    <m/>
    <m/>
    <m/>
    <m/>
    <m/>
  </r>
  <r>
    <x v="24"/>
    <x v="8"/>
    <m/>
    <m/>
    <m/>
    <m/>
    <m/>
    <m/>
    <m/>
    <m/>
    <m/>
    <m/>
    <m/>
    <m/>
    <m/>
    <m/>
    <m/>
    <m/>
    <m/>
  </r>
  <r>
    <x v="24"/>
    <x v="9"/>
    <m/>
    <m/>
    <m/>
    <m/>
    <m/>
    <m/>
    <n v="1"/>
    <m/>
    <m/>
    <m/>
    <n v="1"/>
    <m/>
    <n v="1"/>
    <m/>
    <m/>
    <n v="1"/>
    <m/>
  </r>
  <r>
    <x v="24"/>
    <x v="10"/>
    <m/>
    <m/>
    <m/>
    <m/>
    <m/>
    <m/>
    <m/>
    <m/>
    <m/>
    <m/>
    <m/>
    <m/>
    <m/>
    <m/>
    <m/>
    <m/>
    <m/>
  </r>
  <r>
    <x v="24"/>
    <x v="11"/>
    <m/>
    <m/>
    <m/>
    <m/>
    <m/>
    <m/>
    <m/>
    <m/>
    <m/>
    <m/>
    <m/>
    <m/>
    <m/>
    <m/>
    <m/>
    <m/>
    <m/>
  </r>
  <r>
    <x v="24"/>
    <x v="12"/>
    <m/>
    <m/>
    <m/>
    <m/>
    <m/>
    <m/>
    <m/>
    <m/>
    <m/>
    <m/>
    <m/>
    <m/>
    <m/>
    <m/>
    <m/>
    <m/>
    <m/>
  </r>
  <r>
    <x v="24"/>
    <x v="13"/>
    <m/>
    <m/>
    <m/>
    <m/>
    <m/>
    <m/>
    <m/>
    <m/>
    <m/>
    <m/>
    <m/>
    <m/>
    <m/>
    <m/>
    <m/>
    <m/>
    <m/>
  </r>
  <r>
    <x v="24"/>
    <x v="56"/>
    <n v="1"/>
    <m/>
    <n v="1"/>
    <m/>
    <n v="1"/>
    <m/>
    <n v="1"/>
    <m/>
    <m/>
    <n v="1"/>
    <m/>
    <n v="1"/>
    <n v="1"/>
    <n v="1"/>
    <m/>
    <n v="1"/>
    <m/>
  </r>
  <r>
    <x v="24"/>
    <x v="14"/>
    <m/>
    <m/>
    <m/>
    <m/>
    <m/>
    <m/>
    <n v="3"/>
    <n v="3"/>
    <n v="1"/>
    <m/>
    <m/>
    <m/>
    <n v="1"/>
    <m/>
    <n v="1"/>
    <n v="1"/>
    <m/>
  </r>
  <r>
    <x v="24"/>
    <x v="15"/>
    <m/>
    <m/>
    <n v="3"/>
    <n v="3"/>
    <n v="3"/>
    <n v="2"/>
    <n v="5"/>
    <n v="5"/>
    <n v="10"/>
    <m/>
    <n v="2"/>
    <n v="6"/>
    <n v="6"/>
    <n v="2"/>
    <n v="10"/>
    <n v="15"/>
    <m/>
  </r>
  <r>
    <x v="24"/>
    <x v="16"/>
    <n v="1"/>
    <m/>
    <n v="1"/>
    <m/>
    <n v="1"/>
    <m/>
    <m/>
    <m/>
    <m/>
    <m/>
    <m/>
    <m/>
    <m/>
    <m/>
    <m/>
    <m/>
    <m/>
  </r>
  <r>
    <x v="24"/>
    <x v="17"/>
    <n v="1"/>
    <m/>
    <n v="1"/>
    <m/>
    <n v="1"/>
    <m/>
    <m/>
    <m/>
    <m/>
    <m/>
    <m/>
    <m/>
    <m/>
    <m/>
    <n v="1"/>
    <m/>
    <m/>
  </r>
  <r>
    <x v="24"/>
    <x v="18"/>
    <m/>
    <n v="1"/>
    <n v="13"/>
    <n v="3"/>
    <m/>
    <m/>
    <m/>
    <m/>
    <m/>
    <m/>
    <n v="2"/>
    <n v="2"/>
    <m/>
    <m/>
    <m/>
    <m/>
    <m/>
  </r>
  <r>
    <x v="24"/>
    <x v="19"/>
    <m/>
    <m/>
    <m/>
    <m/>
    <m/>
    <m/>
    <m/>
    <m/>
    <m/>
    <m/>
    <m/>
    <m/>
    <m/>
    <m/>
    <m/>
    <m/>
    <m/>
  </r>
  <r>
    <x v="24"/>
    <x v="20"/>
    <n v="1"/>
    <n v="1"/>
    <n v="1"/>
    <n v="1"/>
    <n v="1"/>
    <n v="1"/>
    <n v="1"/>
    <n v="1"/>
    <n v="1"/>
    <m/>
    <m/>
    <n v="2"/>
    <n v="1"/>
    <m/>
    <n v="2"/>
    <n v="1"/>
    <m/>
  </r>
  <r>
    <x v="24"/>
    <x v="21"/>
    <m/>
    <m/>
    <m/>
    <m/>
    <m/>
    <m/>
    <m/>
    <m/>
    <m/>
    <m/>
    <m/>
    <m/>
    <m/>
    <m/>
    <m/>
    <m/>
    <m/>
  </r>
  <r>
    <x v="24"/>
    <x v="22"/>
    <m/>
    <m/>
    <m/>
    <m/>
    <m/>
    <m/>
    <m/>
    <m/>
    <m/>
    <m/>
    <m/>
    <m/>
    <m/>
    <m/>
    <m/>
    <m/>
    <m/>
  </r>
  <r>
    <x v="24"/>
    <x v="57"/>
    <n v="1"/>
    <n v="1"/>
    <n v="1"/>
    <n v="1"/>
    <n v="1"/>
    <n v="1"/>
    <m/>
    <m/>
    <n v="1"/>
    <m/>
    <m/>
    <m/>
    <n v="1"/>
    <m/>
    <n v="1"/>
    <n v="1"/>
    <m/>
  </r>
  <r>
    <x v="24"/>
    <x v="23"/>
    <m/>
    <m/>
    <m/>
    <m/>
    <m/>
    <m/>
    <m/>
    <m/>
    <m/>
    <m/>
    <m/>
    <m/>
    <n v="1"/>
    <m/>
    <m/>
    <n v="1"/>
    <m/>
  </r>
  <r>
    <x v="24"/>
    <x v="24"/>
    <n v="1"/>
    <m/>
    <n v="1"/>
    <m/>
    <n v="1"/>
    <m/>
    <n v="1"/>
    <m/>
    <m/>
    <m/>
    <m/>
    <m/>
    <m/>
    <m/>
    <m/>
    <m/>
    <m/>
  </r>
  <r>
    <x v="24"/>
    <x v="25"/>
    <m/>
    <m/>
    <m/>
    <m/>
    <m/>
    <m/>
    <m/>
    <m/>
    <m/>
    <m/>
    <m/>
    <m/>
    <m/>
    <m/>
    <m/>
    <m/>
    <m/>
  </r>
  <r>
    <x v="24"/>
    <x v="26"/>
    <n v="1"/>
    <m/>
    <n v="1"/>
    <m/>
    <n v="1"/>
    <m/>
    <m/>
    <m/>
    <m/>
    <m/>
    <m/>
    <m/>
    <m/>
    <m/>
    <m/>
    <m/>
    <m/>
  </r>
  <r>
    <x v="24"/>
    <x v="52"/>
    <n v="1"/>
    <m/>
    <n v="1"/>
    <m/>
    <n v="1"/>
    <m/>
    <n v="3"/>
    <n v="3"/>
    <m/>
    <m/>
    <n v="1"/>
    <n v="1"/>
    <n v="1"/>
    <m/>
    <n v="1"/>
    <n v="1"/>
    <m/>
  </r>
  <r>
    <x v="24"/>
    <x v="58"/>
    <m/>
    <m/>
    <m/>
    <m/>
    <m/>
    <m/>
    <m/>
    <m/>
    <n v="1"/>
    <m/>
    <n v="1"/>
    <m/>
    <n v="1"/>
    <n v="1"/>
    <m/>
    <n v="1"/>
    <m/>
  </r>
  <r>
    <x v="24"/>
    <x v="27"/>
    <m/>
    <n v="1"/>
    <m/>
    <n v="1"/>
    <m/>
    <n v="1"/>
    <m/>
    <m/>
    <m/>
    <m/>
    <m/>
    <n v="2"/>
    <m/>
    <m/>
    <m/>
    <m/>
    <m/>
  </r>
  <r>
    <x v="24"/>
    <x v="28"/>
    <m/>
    <n v="2"/>
    <m/>
    <n v="1"/>
    <n v="3"/>
    <n v="2"/>
    <n v="3"/>
    <n v="3"/>
    <n v="2"/>
    <m/>
    <n v="2"/>
    <n v="2"/>
    <m/>
    <n v="1"/>
    <n v="2"/>
    <n v="1"/>
    <m/>
  </r>
  <r>
    <x v="24"/>
    <x v="29"/>
    <m/>
    <m/>
    <m/>
    <m/>
    <m/>
    <m/>
    <n v="3"/>
    <n v="3"/>
    <m/>
    <m/>
    <m/>
    <m/>
    <n v="1"/>
    <m/>
    <n v="1"/>
    <n v="1"/>
    <m/>
  </r>
  <r>
    <x v="24"/>
    <x v="59"/>
    <m/>
    <m/>
    <m/>
    <m/>
    <m/>
    <m/>
    <n v="3"/>
    <n v="1"/>
    <n v="1"/>
    <m/>
    <m/>
    <m/>
    <n v="1"/>
    <m/>
    <n v="1"/>
    <n v="1"/>
    <m/>
  </r>
  <r>
    <x v="24"/>
    <x v="30"/>
    <m/>
    <m/>
    <m/>
    <m/>
    <m/>
    <m/>
    <n v="3"/>
    <n v="3"/>
    <m/>
    <m/>
    <m/>
    <m/>
    <n v="1"/>
    <m/>
    <n v="1"/>
    <n v="1"/>
    <m/>
  </r>
  <r>
    <x v="24"/>
    <x v="31"/>
    <n v="1"/>
    <n v="3"/>
    <n v="1"/>
    <n v="2"/>
    <n v="1"/>
    <n v="2"/>
    <n v="23"/>
    <n v="15"/>
    <m/>
    <n v="1"/>
    <n v="2"/>
    <n v="2"/>
    <n v="11"/>
    <n v="1"/>
    <n v="15"/>
    <n v="12"/>
    <m/>
  </r>
  <r>
    <x v="24"/>
    <x v="32"/>
    <m/>
    <m/>
    <m/>
    <m/>
    <m/>
    <m/>
    <n v="3"/>
    <n v="1"/>
    <n v="2"/>
    <m/>
    <m/>
    <n v="1"/>
    <m/>
    <m/>
    <n v="1"/>
    <m/>
    <m/>
  </r>
  <r>
    <x v="24"/>
    <x v="33"/>
    <n v="1"/>
    <m/>
    <n v="1"/>
    <m/>
    <n v="1"/>
    <m/>
    <m/>
    <n v="1"/>
    <m/>
    <m/>
    <n v="1"/>
    <m/>
    <n v="2"/>
    <m/>
    <n v="1"/>
    <n v="1"/>
    <m/>
  </r>
  <r>
    <x v="24"/>
    <x v="34"/>
    <m/>
    <n v="1"/>
    <m/>
    <n v="1"/>
    <m/>
    <n v="1"/>
    <m/>
    <m/>
    <m/>
    <m/>
    <m/>
    <m/>
    <m/>
    <m/>
    <m/>
    <m/>
    <m/>
  </r>
  <r>
    <x v="24"/>
    <x v="35"/>
    <m/>
    <m/>
    <m/>
    <n v="6"/>
    <n v="5"/>
    <n v="2"/>
    <n v="1"/>
    <n v="3"/>
    <m/>
    <n v="2"/>
    <n v="3"/>
    <n v="2"/>
    <n v="5"/>
    <m/>
    <n v="2"/>
    <m/>
    <m/>
  </r>
  <r>
    <x v="24"/>
    <x v="36"/>
    <n v="1"/>
    <n v="1"/>
    <n v="1"/>
    <n v="1"/>
    <n v="5"/>
    <n v="7"/>
    <n v="6"/>
    <n v="6"/>
    <n v="4"/>
    <m/>
    <m/>
    <m/>
    <n v="1"/>
    <m/>
    <m/>
    <n v="17"/>
    <m/>
  </r>
  <r>
    <x v="24"/>
    <x v="53"/>
    <n v="1"/>
    <n v="2"/>
    <m/>
    <n v="1"/>
    <n v="1"/>
    <n v="3"/>
    <n v="9"/>
    <n v="6"/>
    <n v="8"/>
    <m/>
    <n v="1"/>
    <m/>
    <n v="2"/>
    <n v="1"/>
    <n v="2"/>
    <n v="2"/>
    <m/>
  </r>
  <r>
    <x v="24"/>
    <x v="61"/>
    <m/>
    <m/>
    <m/>
    <m/>
    <m/>
    <m/>
    <m/>
    <m/>
    <m/>
    <m/>
    <m/>
    <m/>
    <n v="1"/>
    <m/>
    <m/>
    <n v="1"/>
    <m/>
  </r>
  <r>
    <x v="24"/>
    <x v="37"/>
    <m/>
    <m/>
    <m/>
    <m/>
    <m/>
    <m/>
    <m/>
    <m/>
    <m/>
    <m/>
    <m/>
    <m/>
    <m/>
    <m/>
    <m/>
    <m/>
    <m/>
  </r>
  <r>
    <x v="24"/>
    <x v="38"/>
    <m/>
    <m/>
    <m/>
    <m/>
    <m/>
    <m/>
    <m/>
    <n v="1"/>
    <n v="1"/>
    <m/>
    <m/>
    <m/>
    <n v="2"/>
    <n v="1"/>
    <n v="2"/>
    <m/>
    <m/>
  </r>
  <r>
    <x v="24"/>
    <x v="39"/>
    <n v="1"/>
    <m/>
    <n v="1"/>
    <m/>
    <n v="1"/>
    <m/>
    <n v="3"/>
    <n v="4"/>
    <m/>
    <m/>
    <n v="2"/>
    <m/>
    <m/>
    <n v="1"/>
    <n v="1"/>
    <n v="1"/>
    <m/>
  </r>
  <r>
    <x v="24"/>
    <x v="40"/>
    <m/>
    <n v="3"/>
    <m/>
    <m/>
    <m/>
    <m/>
    <n v="2"/>
    <n v="2"/>
    <n v="1"/>
    <m/>
    <n v="1"/>
    <n v="1"/>
    <m/>
    <n v="2"/>
    <n v="1"/>
    <n v="1"/>
    <m/>
  </r>
  <r>
    <x v="24"/>
    <x v="41"/>
    <m/>
    <m/>
    <m/>
    <m/>
    <m/>
    <m/>
    <m/>
    <m/>
    <m/>
    <m/>
    <m/>
    <m/>
    <m/>
    <m/>
    <m/>
    <m/>
    <m/>
  </r>
  <r>
    <x v="24"/>
    <x v="42"/>
    <m/>
    <m/>
    <m/>
    <m/>
    <m/>
    <m/>
    <n v="1"/>
    <n v="1"/>
    <n v="1"/>
    <m/>
    <n v="1"/>
    <n v="1"/>
    <m/>
    <m/>
    <n v="1"/>
    <m/>
    <m/>
  </r>
  <r>
    <x v="24"/>
    <x v="43"/>
    <m/>
    <m/>
    <m/>
    <n v="1"/>
    <m/>
    <m/>
    <m/>
    <n v="1"/>
    <m/>
    <m/>
    <m/>
    <m/>
    <m/>
    <m/>
    <m/>
    <m/>
    <m/>
  </r>
  <r>
    <x v="24"/>
    <x v="44"/>
    <m/>
    <m/>
    <m/>
    <m/>
    <m/>
    <m/>
    <m/>
    <m/>
    <m/>
    <m/>
    <m/>
    <m/>
    <m/>
    <m/>
    <m/>
    <m/>
    <m/>
  </r>
  <r>
    <x v="24"/>
    <x v="45"/>
    <m/>
    <n v="2"/>
    <m/>
    <m/>
    <n v="1"/>
    <m/>
    <n v="7"/>
    <n v="3"/>
    <n v="4"/>
    <m/>
    <n v="3"/>
    <n v="2"/>
    <m/>
    <n v="2"/>
    <n v="1"/>
    <n v="1"/>
    <m/>
  </r>
  <r>
    <x v="24"/>
    <x v="46"/>
    <m/>
    <n v="2"/>
    <m/>
    <m/>
    <n v="1"/>
    <m/>
    <n v="4"/>
    <n v="1"/>
    <n v="7"/>
    <m/>
    <n v="1"/>
    <n v="1"/>
    <m/>
    <n v="2"/>
    <n v="1"/>
    <n v="1"/>
    <m/>
  </r>
  <r>
    <x v="24"/>
    <x v="47"/>
    <m/>
    <m/>
    <m/>
    <m/>
    <m/>
    <m/>
    <m/>
    <m/>
    <m/>
    <m/>
    <m/>
    <m/>
    <m/>
    <m/>
    <m/>
    <m/>
    <m/>
  </r>
  <r>
    <x v="24"/>
    <x v="48"/>
    <m/>
    <m/>
    <m/>
    <m/>
    <m/>
    <m/>
    <n v="1"/>
    <m/>
    <m/>
    <m/>
    <m/>
    <m/>
    <m/>
    <m/>
    <m/>
    <m/>
    <m/>
  </r>
  <r>
    <x v="24"/>
    <x v="49"/>
    <n v="1"/>
    <n v="1"/>
    <n v="1"/>
    <n v="1"/>
    <n v="1"/>
    <n v="1"/>
    <n v="3"/>
    <n v="4"/>
    <m/>
    <m/>
    <n v="1"/>
    <m/>
    <m/>
    <m/>
    <n v="1"/>
    <n v="4"/>
    <m/>
  </r>
  <r>
    <x v="24"/>
    <x v="50"/>
    <m/>
    <m/>
    <m/>
    <m/>
    <m/>
    <m/>
    <n v="1"/>
    <n v="1"/>
    <n v="1"/>
    <m/>
    <n v="1"/>
    <n v="1"/>
    <m/>
    <m/>
    <n v="1"/>
    <m/>
    <m/>
  </r>
  <r>
    <x v="24"/>
    <x v="60"/>
    <m/>
    <m/>
    <m/>
    <m/>
    <m/>
    <m/>
    <m/>
    <m/>
    <m/>
    <m/>
    <m/>
    <m/>
    <n v="1"/>
    <m/>
    <n v="1"/>
    <n v="1"/>
    <m/>
  </r>
  <r>
    <x v="24"/>
    <x v="51"/>
    <m/>
    <n v="1"/>
    <m/>
    <m/>
    <m/>
    <m/>
    <n v="2"/>
    <n v="2"/>
    <n v="2"/>
    <m/>
    <n v="1"/>
    <n v="1"/>
    <m/>
    <m/>
    <n v="1"/>
    <m/>
    <m/>
  </r>
  <r>
    <x v="25"/>
    <x v="0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"/>
    <n v="0"/>
    <n v="0"/>
    <n v="0"/>
    <n v="0"/>
    <n v="0"/>
    <n v="0"/>
    <n v="1"/>
    <n v="1"/>
    <n v="0"/>
    <n v="0"/>
    <n v="1"/>
    <n v="0"/>
    <n v="1"/>
    <n v="0"/>
    <n v="1"/>
    <n v="4"/>
    <m/>
  </r>
  <r>
    <x v="25"/>
    <x v="3"/>
    <n v="4"/>
    <n v="6"/>
    <n v="0"/>
    <n v="0"/>
    <n v="0"/>
    <n v="0"/>
    <n v="3"/>
    <n v="2"/>
    <n v="3"/>
    <n v="6"/>
    <n v="13"/>
    <n v="3"/>
    <n v="10"/>
    <n v="6"/>
    <n v="5"/>
    <n v="11"/>
    <m/>
  </r>
  <r>
    <x v="25"/>
    <x v="4"/>
    <n v="0"/>
    <n v="0"/>
    <n v="0"/>
    <n v="0"/>
    <n v="0"/>
    <n v="0"/>
    <n v="2"/>
    <n v="2"/>
    <n v="0"/>
    <n v="0"/>
    <n v="25"/>
    <n v="0"/>
    <n v="0"/>
    <n v="0"/>
    <n v="6"/>
    <n v="4"/>
    <m/>
  </r>
  <r>
    <x v="25"/>
    <x v="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6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7"/>
    <n v="0"/>
    <n v="0"/>
    <n v="0"/>
    <n v="0"/>
    <n v="0"/>
    <n v="0"/>
    <n v="0"/>
    <n v="0"/>
    <n v="0"/>
    <n v="0"/>
    <n v="0"/>
    <n v="0"/>
    <n v="1"/>
    <n v="0"/>
    <n v="1"/>
    <n v="0"/>
    <m/>
  </r>
  <r>
    <x v="25"/>
    <x v="8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9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0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2"/>
    <n v="0"/>
    <n v="0"/>
    <n v="0"/>
    <n v="0"/>
    <n v="0"/>
    <n v="0"/>
    <n v="0"/>
    <n v="0"/>
    <n v="0"/>
    <n v="0"/>
    <n v="0"/>
    <n v="0"/>
    <n v="0"/>
    <n v="0"/>
    <n v="0"/>
    <n v="1"/>
    <m/>
  </r>
  <r>
    <x v="25"/>
    <x v="13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4"/>
    <n v="0"/>
    <n v="0"/>
    <n v="0"/>
    <n v="0"/>
    <n v="0"/>
    <n v="0"/>
    <n v="1"/>
    <n v="1"/>
    <n v="0"/>
    <n v="0"/>
    <n v="2"/>
    <n v="0"/>
    <n v="2"/>
    <n v="0"/>
    <n v="0"/>
    <n v="2"/>
    <m/>
  </r>
  <r>
    <x v="25"/>
    <x v="1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6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18"/>
    <n v="0"/>
    <n v="0"/>
    <n v="0"/>
    <n v="0"/>
    <n v="2"/>
    <n v="0"/>
    <n v="25"/>
    <n v="6"/>
    <n v="9"/>
    <n v="0"/>
    <n v="4"/>
    <n v="3"/>
    <n v="1"/>
    <n v="3"/>
    <n v="1"/>
    <n v="12"/>
    <m/>
  </r>
  <r>
    <x v="25"/>
    <x v="19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0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2"/>
    <n v="2"/>
    <n v="0"/>
    <n v="2"/>
    <n v="0"/>
    <n v="0"/>
    <n v="0"/>
    <n v="3"/>
    <n v="2"/>
    <n v="0"/>
    <n v="0"/>
    <n v="3"/>
    <n v="0"/>
    <n v="0"/>
    <n v="0"/>
    <n v="2"/>
    <n v="7"/>
    <m/>
  </r>
  <r>
    <x v="25"/>
    <x v="23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4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6"/>
    <n v="0"/>
    <n v="0"/>
    <n v="0"/>
    <n v="0"/>
    <n v="0"/>
    <n v="0"/>
    <n v="4"/>
    <n v="2"/>
    <n v="1"/>
    <n v="0"/>
    <n v="4"/>
    <n v="5"/>
    <n v="0"/>
    <n v="2"/>
    <n v="5"/>
    <n v="1"/>
    <m/>
  </r>
  <r>
    <x v="25"/>
    <x v="2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28"/>
    <n v="0"/>
    <n v="0"/>
    <n v="0"/>
    <n v="0"/>
    <n v="0"/>
    <n v="0"/>
    <n v="0"/>
    <n v="0"/>
    <n v="0"/>
    <n v="0"/>
    <n v="2"/>
    <n v="0"/>
    <n v="2"/>
    <n v="0"/>
    <n v="1"/>
    <n v="2"/>
    <m/>
  </r>
  <r>
    <x v="25"/>
    <x v="29"/>
    <n v="0"/>
    <n v="0"/>
    <n v="0"/>
    <n v="0"/>
    <n v="0"/>
    <n v="0"/>
    <n v="0"/>
    <n v="0"/>
    <n v="0"/>
    <n v="0"/>
    <n v="0"/>
    <n v="1"/>
    <n v="3"/>
    <n v="0"/>
    <n v="1"/>
    <n v="3"/>
    <m/>
  </r>
  <r>
    <x v="25"/>
    <x v="30"/>
    <n v="1"/>
    <n v="2"/>
    <n v="0"/>
    <n v="1"/>
    <n v="0"/>
    <n v="0"/>
    <n v="0"/>
    <n v="2"/>
    <n v="2"/>
    <n v="0"/>
    <n v="9"/>
    <n v="1"/>
    <n v="1"/>
    <n v="2"/>
    <n v="1"/>
    <n v="9"/>
    <m/>
  </r>
  <r>
    <x v="25"/>
    <x v="31"/>
    <n v="0"/>
    <n v="2"/>
    <n v="0"/>
    <n v="2"/>
    <n v="0"/>
    <n v="2"/>
    <n v="10"/>
    <n v="12"/>
    <n v="0"/>
    <n v="0"/>
    <n v="17"/>
    <n v="9"/>
    <n v="16"/>
    <n v="10"/>
    <n v="20"/>
    <n v="52"/>
    <m/>
  </r>
  <r>
    <x v="25"/>
    <x v="32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33"/>
    <n v="0"/>
    <n v="0"/>
    <n v="0"/>
    <n v="0"/>
    <n v="0"/>
    <n v="0"/>
    <n v="2"/>
    <n v="0"/>
    <n v="1"/>
    <n v="0"/>
    <n v="1"/>
    <n v="1"/>
    <n v="0"/>
    <n v="1"/>
    <n v="2"/>
    <n v="2"/>
    <m/>
  </r>
  <r>
    <x v="25"/>
    <x v="34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35"/>
    <n v="2"/>
    <n v="5"/>
    <n v="2"/>
    <n v="5"/>
    <n v="2"/>
    <n v="5"/>
    <n v="2"/>
    <n v="5"/>
    <n v="2"/>
    <n v="0"/>
    <n v="4"/>
    <n v="3"/>
    <n v="1"/>
    <n v="2"/>
    <n v="4"/>
    <n v="4"/>
    <m/>
  </r>
  <r>
    <x v="25"/>
    <x v="36"/>
    <n v="0"/>
    <n v="0"/>
    <n v="0"/>
    <n v="0"/>
    <n v="0"/>
    <n v="0"/>
    <n v="0"/>
    <n v="0"/>
    <n v="1"/>
    <n v="0"/>
    <n v="1"/>
    <n v="1"/>
    <n v="1"/>
    <n v="0"/>
    <n v="2"/>
    <n v="0"/>
    <m/>
  </r>
  <r>
    <x v="25"/>
    <x v="3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38"/>
    <n v="0"/>
    <n v="0"/>
    <n v="0"/>
    <n v="0"/>
    <n v="0"/>
    <n v="0"/>
    <n v="1"/>
    <n v="0"/>
    <n v="2"/>
    <n v="0"/>
    <n v="3"/>
    <n v="1"/>
    <n v="3"/>
    <n v="1"/>
    <n v="2"/>
    <n v="3"/>
    <m/>
  </r>
  <r>
    <x v="25"/>
    <x v="39"/>
    <n v="0"/>
    <n v="0"/>
    <n v="0"/>
    <n v="0"/>
    <n v="0"/>
    <n v="0"/>
    <n v="7"/>
    <n v="5"/>
    <n v="2"/>
    <n v="0"/>
    <n v="5"/>
    <n v="7"/>
    <n v="31"/>
    <n v="2"/>
    <n v="7"/>
    <n v="31"/>
    <m/>
  </r>
  <r>
    <x v="25"/>
    <x v="40"/>
    <n v="0"/>
    <n v="0"/>
    <n v="0"/>
    <n v="0"/>
    <n v="0"/>
    <n v="0"/>
    <n v="2"/>
    <n v="1"/>
    <n v="0"/>
    <n v="0"/>
    <n v="1"/>
    <n v="0"/>
    <n v="1"/>
    <n v="0"/>
    <n v="1"/>
    <n v="4"/>
    <m/>
  </r>
  <r>
    <x v="25"/>
    <x v="41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2"/>
    <n v="0"/>
    <n v="0"/>
    <n v="1"/>
    <n v="0"/>
    <n v="0"/>
    <n v="0"/>
    <n v="11"/>
    <n v="10"/>
    <n v="0"/>
    <n v="0"/>
    <n v="2"/>
    <n v="4"/>
    <n v="9"/>
    <n v="10"/>
    <n v="13"/>
    <n v="18"/>
    <m/>
  </r>
  <r>
    <x v="25"/>
    <x v="43"/>
    <n v="0"/>
    <n v="0"/>
    <n v="0"/>
    <n v="0"/>
    <n v="0"/>
    <n v="0"/>
    <n v="2"/>
    <n v="2"/>
    <n v="0"/>
    <n v="0"/>
    <n v="2"/>
    <n v="1"/>
    <n v="1"/>
    <n v="0"/>
    <n v="1"/>
    <n v="3"/>
    <m/>
  </r>
  <r>
    <x v="25"/>
    <x v="44"/>
    <n v="0"/>
    <n v="0"/>
    <n v="0"/>
    <n v="0"/>
    <n v="0"/>
    <n v="0"/>
    <n v="0"/>
    <n v="0"/>
    <n v="0"/>
    <n v="0"/>
    <n v="2"/>
    <n v="0"/>
    <n v="1"/>
    <n v="0"/>
    <n v="1"/>
    <n v="3"/>
    <m/>
  </r>
  <r>
    <x v="25"/>
    <x v="45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6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7"/>
    <n v="0"/>
    <n v="0"/>
    <n v="0"/>
    <n v="0"/>
    <n v="0"/>
    <n v="0"/>
    <n v="0"/>
    <n v="0"/>
    <n v="0"/>
    <n v="0"/>
    <n v="0"/>
    <n v="0"/>
    <n v="0"/>
    <n v="0"/>
    <n v="0"/>
    <n v="0"/>
    <m/>
  </r>
  <r>
    <x v="25"/>
    <x v="48"/>
    <n v="0"/>
    <n v="0"/>
    <n v="0"/>
    <n v="0"/>
    <n v="0"/>
    <n v="0"/>
    <n v="1"/>
    <n v="0"/>
    <n v="0"/>
    <n v="0"/>
    <n v="0"/>
    <n v="0"/>
    <n v="0"/>
    <n v="1"/>
    <n v="0"/>
    <n v="0"/>
    <m/>
  </r>
  <r>
    <x v="25"/>
    <x v="49"/>
    <n v="0"/>
    <n v="0"/>
    <n v="0"/>
    <n v="0"/>
    <n v="0"/>
    <n v="0"/>
    <n v="0"/>
    <n v="0"/>
    <n v="0"/>
    <n v="0"/>
    <n v="0"/>
    <n v="0"/>
    <n v="0"/>
    <n v="0"/>
    <n v="0"/>
    <n v="1"/>
    <m/>
  </r>
  <r>
    <x v="25"/>
    <x v="50"/>
    <n v="0"/>
    <n v="0"/>
    <n v="0"/>
    <n v="0"/>
    <n v="0"/>
    <n v="0"/>
    <n v="0"/>
    <n v="0"/>
    <n v="0"/>
    <n v="0"/>
    <n v="0"/>
    <n v="0"/>
    <n v="0"/>
    <n v="0"/>
    <n v="0"/>
    <n v="5"/>
    <m/>
  </r>
  <r>
    <x v="25"/>
    <x v="51"/>
    <n v="0"/>
    <n v="1"/>
    <n v="0"/>
    <n v="0"/>
    <n v="1"/>
    <n v="1"/>
    <n v="4"/>
    <n v="3"/>
    <n v="0"/>
    <n v="0"/>
    <n v="4"/>
    <n v="2"/>
    <n v="4"/>
    <n v="2"/>
    <n v="4"/>
    <n v="20"/>
    <m/>
  </r>
  <r>
    <x v="25"/>
    <x v="74"/>
    <n v="0"/>
    <n v="0"/>
    <n v="0"/>
    <n v="0"/>
    <n v="0"/>
    <n v="0"/>
    <n v="2"/>
    <n v="2"/>
    <n v="0"/>
    <n v="0"/>
    <n v="0"/>
    <n v="1"/>
    <n v="1"/>
    <n v="2"/>
    <n v="2"/>
    <n v="1"/>
    <m/>
  </r>
  <r>
    <x v="26"/>
    <x v="0"/>
    <m/>
    <m/>
    <m/>
    <m/>
    <m/>
    <m/>
    <m/>
    <m/>
    <m/>
    <m/>
    <m/>
    <m/>
    <m/>
    <m/>
    <m/>
    <m/>
    <m/>
  </r>
  <r>
    <x v="26"/>
    <x v="1"/>
    <m/>
    <m/>
    <m/>
    <m/>
    <m/>
    <m/>
    <m/>
    <m/>
    <m/>
    <m/>
    <m/>
    <m/>
    <m/>
    <m/>
    <m/>
    <m/>
    <m/>
  </r>
  <r>
    <x v="26"/>
    <x v="2"/>
    <m/>
    <m/>
    <m/>
    <m/>
    <m/>
    <m/>
    <m/>
    <m/>
    <m/>
    <m/>
    <m/>
    <m/>
    <m/>
    <m/>
    <m/>
    <m/>
    <m/>
  </r>
  <r>
    <x v="26"/>
    <x v="3"/>
    <m/>
    <m/>
    <m/>
    <m/>
    <m/>
    <m/>
    <m/>
    <m/>
    <m/>
    <m/>
    <m/>
    <m/>
    <m/>
    <m/>
    <m/>
    <m/>
    <m/>
  </r>
  <r>
    <x v="26"/>
    <x v="4"/>
    <m/>
    <m/>
    <m/>
    <m/>
    <m/>
    <m/>
    <m/>
    <m/>
    <m/>
    <m/>
    <m/>
    <m/>
    <m/>
    <m/>
    <m/>
    <m/>
    <m/>
  </r>
  <r>
    <x v="26"/>
    <x v="5"/>
    <m/>
    <m/>
    <m/>
    <m/>
    <m/>
    <m/>
    <m/>
    <m/>
    <m/>
    <m/>
    <m/>
    <m/>
    <m/>
    <m/>
    <m/>
    <m/>
    <m/>
  </r>
  <r>
    <x v="26"/>
    <x v="6"/>
    <m/>
    <m/>
    <m/>
    <m/>
    <m/>
    <m/>
    <m/>
    <m/>
    <m/>
    <m/>
    <m/>
    <m/>
    <m/>
    <m/>
    <m/>
    <m/>
    <m/>
  </r>
  <r>
    <x v="26"/>
    <x v="7"/>
    <m/>
    <m/>
    <m/>
    <m/>
    <m/>
    <m/>
    <m/>
    <m/>
    <m/>
    <m/>
    <m/>
    <m/>
    <m/>
    <m/>
    <m/>
    <m/>
    <m/>
  </r>
  <r>
    <x v="26"/>
    <x v="8"/>
    <m/>
    <m/>
    <m/>
    <m/>
    <m/>
    <m/>
    <m/>
    <m/>
    <m/>
    <m/>
    <m/>
    <m/>
    <m/>
    <m/>
    <m/>
    <m/>
    <m/>
  </r>
  <r>
    <x v="26"/>
    <x v="9"/>
    <m/>
    <m/>
    <m/>
    <m/>
    <m/>
    <m/>
    <m/>
    <m/>
    <m/>
    <m/>
    <m/>
    <m/>
    <m/>
    <m/>
    <m/>
    <m/>
    <m/>
  </r>
  <r>
    <x v="26"/>
    <x v="10"/>
    <m/>
    <m/>
    <m/>
    <m/>
    <m/>
    <m/>
    <m/>
    <m/>
    <m/>
    <m/>
    <m/>
    <m/>
    <m/>
    <m/>
    <m/>
    <m/>
    <m/>
  </r>
  <r>
    <x v="26"/>
    <x v="11"/>
    <m/>
    <m/>
    <m/>
    <m/>
    <m/>
    <m/>
    <m/>
    <m/>
    <m/>
    <m/>
    <m/>
    <m/>
    <m/>
    <m/>
    <m/>
    <m/>
    <m/>
  </r>
  <r>
    <x v="26"/>
    <x v="12"/>
    <m/>
    <m/>
    <m/>
    <m/>
    <m/>
    <m/>
    <m/>
    <m/>
    <m/>
    <m/>
    <m/>
    <m/>
    <m/>
    <m/>
    <m/>
    <m/>
    <m/>
  </r>
  <r>
    <x v="26"/>
    <x v="13"/>
    <m/>
    <m/>
    <m/>
    <m/>
    <m/>
    <m/>
    <m/>
    <m/>
    <m/>
    <m/>
    <m/>
    <m/>
    <m/>
    <m/>
    <m/>
    <m/>
    <m/>
  </r>
  <r>
    <x v="26"/>
    <x v="14"/>
    <m/>
    <m/>
    <m/>
    <m/>
    <m/>
    <m/>
    <m/>
    <m/>
    <m/>
    <m/>
    <m/>
    <m/>
    <m/>
    <m/>
    <m/>
    <m/>
    <m/>
  </r>
  <r>
    <x v="26"/>
    <x v="15"/>
    <m/>
    <m/>
    <m/>
    <m/>
    <m/>
    <m/>
    <m/>
    <m/>
    <m/>
    <m/>
    <m/>
    <m/>
    <m/>
    <m/>
    <m/>
    <m/>
    <m/>
  </r>
  <r>
    <x v="26"/>
    <x v="16"/>
    <m/>
    <m/>
    <m/>
    <m/>
    <m/>
    <m/>
    <m/>
    <m/>
    <m/>
    <m/>
    <m/>
    <m/>
    <m/>
    <m/>
    <m/>
    <m/>
    <m/>
  </r>
  <r>
    <x v="26"/>
    <x v="17"/>
    <m/>
    <m/>
    <m/>
    <m/>
    <m/>
    <m/>
    <m/>
    <m/>
    <m/>
    <m/>
    <m/>
    <m/>
    <m/>
    <m/>
    <m/>
    <m/>
    <m/>
  </r>
  <r>
    <x v="26"/>
    <x v="18"/>
    <m/>
    <m/>
    <m/>
    <m/>
    <m/>
    <m/>
    <m/>
    <m/>
    <m/>
    <m/>
    <m/>
    <m/>
    <m/>
    <m/>
    <m/>
    <m/>
    <m/>
  </r>
  <r>
    <x v="26"/>
    <x v="19"/>
    <m/>
    <m/>
    <m/>
    <m/>
    <m/>
    <m/>
    <m/>
    <m/>
    <m/>
    <m/>
    <m/>
    <m/>
    <m/>
    <m/>
    <m/>
    <m/>
    <m/>
  </r>
  <r>
    <x v="26"/>
    <x v="20"/>
    <m/>
    <m/>
    <m/>
    <m/>
    <m/>
    <m/>
    <m/>
    <m/>
    <m/>
    <m/>
    <m/>
    <m/>
    <m/>
    <m/>
    <m/>
    <m/>
    <m/>
  </r>
  <r>
    <x v="26"/>
    <x v="21"/>
    <m/>
    <m/>
    <m/>
    <m/>
    <m/>
    <m/>
    <m/>
    <m/>
    <m/>
    <m/>
    <m/>
    <m/>
    <m/>
    <m/>
    <m/>
    <m/>
    <m/>
  </r>
  <r>
    <x v="26"/>
    <x v="22"/>
    <m/>
    <m/>
    <m/>
    <m/>
    <m/>
    <m/>
    <m/>
    <m/>
    <m/>
    <m/>
    <m/>
    <m/>
    <m/>
    <m/>
    <m/>
    <m/>
    <m/>
  </r>
  <r>
    <x v="26"/>
    <x v="23"/>
    <m/>
    <m/>
    <m/>
    <m/>
    <m/>
    <m/>
    <m/>
    <m/>
    <m/>
    <m/>
    <m/>
    <m/>
    <m/>
    <m/>
    <m/>
    <m/>
    <m/>
  </r>
  <r>
    <x v="26"/>
    <x v="24"/>
    <m/>
    <m/>
    <m/>
    <m/>
    <m/>
    <m/>
    <m/>
    <m/>
    <m/>
    <m/>
    <m/>
    <m/>
    <m/>
    <m/>
    <m/>
    <m/>
    <m/>
  </r>
  <r>
    <x v="26"/>
    <x v="25"/>
    <m/>
    <m/>
    <m/>
    <m/>
    <m/>
    <m/>
    <m/>
    <m/>
    <m/>
    <m/>
    <m/>
    <m/>
    <m/>
    <m/>
    <m/>
    <m/>
    <m/>
  </r>
  <r>
    <x v="26"/>
    <x v="26"/>
    <m/>
    <m/>
    <m/>
    <m/>
    <m/>
    <m/>
    <m/>
    <m/>
    <m/>
    <m/>
    <m/>
    <m/>
    <m/>
    <m/>
    <m/>
    <m/>
    <m/>
  </r>
  <r>
    <x v="26"/>
    <x v="27"/>
    <m/>
    <m/>
    <m/>
    <m/>
    <m/>
    <m/>
    <m/>
    <m/>
    <m/>
    <m/>
    <m/>
    <m/>
    <m/>
    <m/>
    <m/>
    <m/>
    <m/>
  </r>
  <r>
    <x v="26"/>
    <x v="28"/>
    <m/>
    <m/>
    <m/>
    <m/>
    <m/>
    <m/>
    <m/>
    <m/>
    <m/>
    <m/>
    <m/>
    <m/>
    <m/>
    <m/>
    <m/>
    <m/>
    <m/>
  </r>
  <r>
    <x v="26"/>
    <x v="29"/>
    <m/>
    <m/>
    <m/>
    <m/>
    <m/>
    <m/>
    <m/>
    <m/>
    <m/>
    <m/>
    <m/>
    <m/>
    <m/>
    <m/>
    <m/>
    <m/>
    <m/>
  </r>
  <r>
    <x v="26"/>
    <x v="30"/>
    <m/>
    <m/>
    <m/>
    <m/>
    <m/>
    <m/>
    <m/>
    <m/>
    <m/>
    <m/>
    <m/>
    <m/>
    <m/>
    <m/>
    <m/>
    <m/>
    <m/>
  </r>
  <r>
    <x v="26"/>
    <x v="31"/>
    <m/>
    <m/>
    <m/>
    <m/>
    <m/>
    <m/>
    <m/>
    <n v="1"/>
    <n v="1"/>
    <m/>
    <m/>
    <n v="1"/>
    <m/>
    <m/>
    <n v="1"/>
    <n v="4"/>
    <m/>
  </r>
  <r>
    <x v="26"/>
    <x v="32"/>
    <m/>
    <m/>
    <m/>
    <m/>
    <m/>
    <m/>
    <m/>
    <m/>
    <m/>
    <m/>
    <m/>
    <m/>
    <m/>
    <m/>
    <m/>
    <m/>
    <m/>
  </r>
  <r>
    <x v="26"/>
    <x v="33"/>
    <m/>
    <m/>
    <m/>
    <m/>
    <m/>
    <m/>
    <m/>
    <m/>
    <m/>
    <m/>
    <m/>
    <m/>
    <m/>
    <m/>
    <m/>
    <m/>
    <m/>
  </r>
  <r>
    <x v="26"/>
    <x v="34"/>
    <m/>
    <m/>
    <m/>
    <m/>
    <m/>
    <m/>
    <m/>
    <m/>
    <m/>
    <m/>
    <m/>
    <m/>
    <m/>
    <m/>
    <m/>
    <m/>
    <m/>
  </r>
  <r>
    <x v="26"/>
    <x v="35"/>
    <m/>
    <m/>
    <m/>
    <m/>
    <m/>
    <m/>
    <m/>
    <m/>
    <m/>
    <m/>
    <m/>
    <m/>
    <m/>
    <m/>
    <m/>
    <m/>
    <m/>
  </r>
  <r>
    <x v="26"/>
    <x v="36"/>
    <m/>
    <m/>
    <m/>
    <m/>
    <m/>
    <m/>
    <m/>
    <m/>
    <m/>
    <m/>
    <m/>
    <m/>
    <m/>
    <m/>
    <m/>
    <m/>
    <m/>
  </r>
  <r>
    <x v="26"/>
    <x v="37"/>
    <m/>
    <m/>
    <m/>
    <m/>
    <m/>
    <m/>
    <m/>
    <m/>
    <m/>
    <m/>
    <m/>
    <m/>
    <m/>
    <m/>
    <m/>
    <m/>
    <m/>
  </r>
  <r>
    <x v="26"/>
    <x v="38"/>
    <m/>
    <m/>
    <m/>
    <m/>
    <m/>
    <m/>
    <m/>
    <m/>
    <m/>
    <m/>
    <m/>
    <m/>
    <m/>
    <m/>
    <m/>
    <m/>
    <m/>
  </r>
  <r>
    <x v="26"/>
    <x v="39"/>
    <m/>
    <m/>
    <m/>
    <m/>
    <m/>
    <m/>
    <m/>
    <m/>
    <m/>
    <m/>
    <m/>
    <m/>
    <m/>
    <m/>
    <m/>
    <m/>
    <m/>
  </r>
  <r>
    <x v="26"/>
    <x v="40"/>
    <m/>
    <m/>
    <m/>
    <m/>
    <m/>
    <m/>
    <m/>
    <m/>
    <m/>
    <m/>
    <m/>
    <m/>
    <m/>
    <m/>
    <m/>
    <m/>
    <m/>
  </r>
  <r>
    <x v="26"/>
    <x v="41"/>
    <m/>
    <m/>
    <m/>
    <m/>
    <m/>
    <m/>
    <m/>
    <m/>
    <m/>
    <m/>
    <m/>
    <m/>
    <m/>
    <m/>
    <m/>
    <m/>
    <m/>
  </r>
  <r>
    <x v="26"/>
    <x v="42"/>
    <m/>
    <m/>
    <m/>
    <m/>
    <m/>
    <m/>
    <n v="3"/>
    <n v="2"/>
    <n v="2"/>
    <m/>
    <n v="2"/>
    <m/>
    <n v="1"/>
    <n v="2"/>
    <n v="2"/>
    <n v="7"/>
    <m/>
  </r>
  <r>
    <x v="26"/>
    <x v="43"/>
    <m/>
    <m/>
    <m/>
    <m/>
    <m/>
    <m/>
    <m/>
    <m/>
    <m/>
    <m/>
    <m/>
    <m/>
    <m/>
    <m/>
    <m/>
    <m/>
    <m/>
  </r>
  <r>
    <x v="26"/>
    <x v="44"/>
    <m/>
    <m/>
    <m/>
    <m/>
    <m/>
    <m/>
    <m/>
    <m/>
    <m/>
    <m/>
    <m/>
    <m/>
    <m/>
    <m/>
    <m/>
    <m/>
    <m/>
  </r>
  <r>
    <x v="26"/>
    <x v="45"/>
    <m/>
    <m/>
    <m/>
    <m/>
    <m/>
    <m/>
    <m/>
    <m/>
    <m/>
    <m/>
    <m/>
    <m/>
    <m/>
    <m/>
    <m/>
    <m/>
    <m/>
  </r>
  <r>
    <x v="26"/>
    <x v="46"/>
    <m/>
    <m/>
    <m/>
    <m/>
    <m/>
    <m/>
    <m/>
    <m/>
    <m/>
    <m/>
    <m/>
    <m/>
    <m/>
    <m/>
    <m/>
    <m/>
    <m/>
  </r>
  <r>
    <x v="26"/>
    <x v="47"/>
    <m/>
    <m/>
    <m/>
    <m/>
    <m/>
    <m/>
    <m/>
    <m/>
    <m/>
    <m/>
    <m/>
    <m/>
    <m/>
    <m/>
    <m/>
    <m/>
    <m/>
  </r>
  <r>
    <x v="26"/>
    <x v="48"/>
    <m/>
    <m/>
    <m/>
    <m/>
    <m/>
    <m/>
    <m/>
    <m/>
    <m/>
    <m/>
    <m/>
    <m/>
    <m/>
    <m/>
    <m/>
    <m/>
    <m/>
  </r>
  <r>
    <x v="26"/>
    <x v="49"/>
    <m/>
    <m/>
    <m/>
    <m/>
    <m/>
    <m/>
    <n v="3"/>
    <m/>
    <m/>
    <m/>
    <n v="3"/>
    <n v="1"/>
    <n v="2"/>
    <m/>
    <n v="3"/>
    <n v="2"/>
    <m/>
  </r>
  <r>
    <x v="26"/>
    <x v="50"/>
    <m/>
    <m/>
    <m/>
    <m/>
    <m/>
    <m/>
    <m/>
    <m/>
    <m/>
    <m/>
    <m/>
    <m/>
    <m/>
    <m/>
    <m/>
    <m/>
    <m/>
  </r>
  <r>
    <x v="26"/>
    <x v="51"/>
    <m/>
    <m/>
    <m/>
    <m/>
    <m/>
    <m/>
    <m/>
    <m/>
    <m/>
    <m/>
    <m/>
    <m/>
    <m/>
    <m/>
    <m/>
    <m/>
    <m/>
  </r>
  <r>
    <x v="27"/>
    <x v="0"/>
    <m/>
    <m/>
    <m/>
    <m/>
    <m/>
    <m/>
    <m/>
    <m/>
    <m/>
    <m/>
    <m/>
    <m/>
    <m/>
    <m/>
    <m/>
    <m/>
    <m/>
  </r>
  <r>
    <x v="27"/>
    <x v="1"/>
    <m/>
    <m/>
    <m/>
    <m/>
    <m/>
    <m/>
    <m/>
    <m/>
    <m/>
    <m/>
    <m/>
    <m/>
    <m/>
    <m/>
    <m/>
    <m/>
    <m/>
  </r>
  <r>
    <x v="27"/>
    <x v="2"/>
    <m/>
    <m/>
    <m/>
    <m/>
    <m/>
    <m/>
    <m/>
    <m/>
    <m/>
    <m/>
    <m/>
    <m/>
    <m/>
    <m/>
    <m/>
    <m/>
    <m/>
  </r>
  <r>
    <x v="27"/>
    <x v="3"/>
    <m/>
    <m/>
    <m/>
    <m/>
    <m/>
    <m/>
    <m/>
    <m/>
    <m/>
    <m/>
    <m/>
    <m/>
    <m/>
    <m/>
    <m/>
    <m/>
    <m/>
  </r>
  <r>
    <x v="27"/>
    <x v="4"/>
    <m/>
    <m/>
    <m/>
    <m/>
    <m/>
    <m/>
    <m/>
    <m/>
    <m/>
    <m/>
    <m/>
    <m/>
    <m/>
    <m/>
    <m/>
    <m/>
    <m/>
  </r>
  <r>
    <x v="27"/>
    <x v="5"/>
    <m/>
    <m/>
    <m/>
    <m/>
    <m/>
    <m/>
    <m/>
    <m/>
    <m/>
    <m/>
    <m/>
    <m/>
    <m/>
    <m/>
    <m/>
    <m/>
    <m/>
  </r>
  <r>
    <x v="27"/>
    <x v="6"/>
    <m/>
    <m/>
    <m/>
    <m/>
    <m/>
    <m/>
    <n v="1"/>
    <m/>
    <m/>
    <m/>
    <m/>
    <m/>
    <m/>
    <m/>
    <m/>
    <m/>
    <m/>
  </r>
  <r>
    <x v="27"/>
    <x v="7"/>
    <m/>
    <m/>
    <m/>
    <m/>
    <m/>
    <m/>
    <m/>
    <m/>
    <m/>
    <m/>
    <m/>
    <m/>
    <m/>
    <m/>
    <m/>
    <m/>
    <m/>
  </r>
  <r>
    <x v="27"/>
    <x v="8"/>
    <m/>
    <m/>
    <m/>
    <m/>
    <m/>
    <m/>
    <m/>
    <m/>
    <m/>
    <m/>
    <m/>
    <m/>
    <m/>
    <m/>
    <m/>
    <m/>
    <m/>
  </r>
  <r>
    <x v="27"/>
    <x v="9"/>
    <m/>
    <m/>
    <m/>
    <m/>
    <m/>
    <m/>
    <m/>
    <m/>
    <m/>
    <m/>
    <m/>
    <m/>
    <m/>
    <m/>
    <m/>
    <m/>
    <m/>
  </r>
  <r>
    <x v="27"/>
    <x v="10"/>
    <m/>
    <m/>
    <m/>
    <m/>
    <m/>
    <m/>
    <m/>
    <m/>
    <m/>
    <m/>
    <m/>
    <m/>
    <m/>
    <m/>
    <m/>
    <m/>
    <m/>
  </r>
  <r>
    <x v="27"/>
    <x v="11"/>
    <m/>
    <m/>
    <m/>
    <m/>
    <m/>
    <m/>
    <m/>
    <m/>
    <m/>
    <m/>
    <m/>
    <m/>
    <m/>
    <m/>
    <m/>
    <m/>
    <m/>
  </r>
  <r>
    <x v="27"/>
    <x v="12"/>
    <m/>
    <m/>
    <m/>
    <m/>
    <m/>
    <m/>
    <m/>
    <m/>
    <m/>
    <m/>
    <m/>
    <m/>
    <m/>
    <m/>
    <m/>
    <m/>
    <m/>
  </r>
  <r>
    <x v="27"/>
    <x v="13"/>
    <m/>
    <m/>
    <m/>
    <m/>
    <m/>
    <m/>
    <m/>
    <m/>
    <m/>
    <m/>
    <m/>
    <m/>
    <m/>
    <m/>
    <m/>
    <m/>
    <m/>
  </r>
  <r>
    <x v="27"/>
    <x v="14"/>
    <m/>
    <m/>
    <m/>
    <m/>
    <m/>
    <m/>
    <m/>
    <m/>
    <m/>
    <m/>
    <m/>
    <m/>
    <m/>
    <m/>
    <m/>
    <m/>
    <m/>
  </r>
  <r>
    <x v="27"/>
    <x v="15"/>
    <m/>
    <m/>
    <m/>
    <m/>
    <m/>
    <m/>
    <m/>
    <m/>
    <m/>
    <m/>
    <m/>
    <m/>
    <m/>
    <m/>
    <m/>
    <m/>
    <m/>
  </r>
  <r>
    <x v="27"/>
    <x v="16"/>
    <m/>
    <m/>
    <m/>
    <m/>
    <m/>
    <m/>
    <m/>
    <m/>
    <m/>
    <m/>
    <m/>
    <m/>
    <m/>
    <m/>
    <m/>
    <m/>
    <m/>
  </r>
  <r>
    <x v="27"/>
    <x v="17"/>
    <m/>
    <m/>
    <m/>
    <m/>
    <m/>
    <m/>
    <m/>
    <m/>
    <m/>
    <m/>
    <m/>
    <m/>
    <m/>
    <m/>
    <m/>
    <m/>
    <m/>
  </r>
  <r>
    <x v="27"/>
    <x v="18"/>
    <m/>
    <m/>
    <m/>
    <m/>
    <m/>
    <m/>
    <m/>
    <m/>
    <m/>
    <m/>
    <m/>
    <m/>
    <m/>
    <m/>
    <m/>
    <m/>
    <m/>
  </r>
  <r>
    <x v="27"/>
    <x v="19"/>
    <m/>
    <m/>
    <m/>
    <m/>
    <m/>
    <m/>
    <m/>
    <m/>
    <m/>
    <m/>
    <m/>
    <m/>
    <m/>
    <m/>
    <m/>
    <m/>
    <m/>
  </r>
  <r>
    <x v="27"/>
    <x v="20"/>
    <m/>
    <m/>
    <m/>
    <m/>
    <m/>
    <m/>
    <m/>
    <m/>
    <m/>
    <m/>
    <m/>
    <m/>
    <m/>
    <m/>
    <m/>
    <m/>
    <m/>
  </r>
  <r>
    <x v="27"/>
    <x v="21"/>
    <m/>
    <m/>
    <m/>
    <m/>
    <m/>
    <m/>
    <m/>
    <m/>
    <m/>
    <m/>
    <m/>
    <m/>
    <m/>
    <m/>
    <m/>
    <m/>
    <m/>
  </r>
  <r>
    <x v="27"/>
    <x v="22"/>
    <m/>
    <m/>
    <m/>
    <m/>
    <m/>
    <m/>
    <m/>
    <m/>
    <m/>
    <m/>
    <m/>
    <m/>
    <m/>
    <m/>
    <m/>
    <m/>
    <m/>
  </r>
  <r>
    <x v="27"/>
    <x v="23"/>
    <m/>
    <m/>
    <m/>
    <m/>
    <m/>
    <m/>
    <m/>
    <m/>
    <m/>
    <m/>
    <m/>
    <m/>
    <m/>
    <m/>
    <m/>
    <m/>
    <m/>
  </r>
  <r>
    <x v="27"/>
    <x v="24"/>
    <m/>
    <m/>
    <m/>
    <m/>
    <m/>
    <m/>
    <m/>
    <m/>
    <m/>
    <m/>
    <m/>
    <m/>
    <m/>
    <m/>
    <m/>
    <m/>
    <m/>
  </r>
  <r>
    <x v="27"/>
    <x v="25"/>
    <m/>
    <m/>
    <m/>
    <m/>
    <m/>
    <m/>
    <m/>
    <m/>
    <m/>
    <m/>
    <m/>
    <m/>
    <m/>
    <m/>
    <m/>
    <m/>
    <m/>
  </r>
  <r>
    <x v="27"/>
    <x v="26"/>
    <m/>
    <m/>
    <m/>
    <m/>
    <m/>
    <m/>
    <m/>
    <m/>
    <m/>
    <m/>
    <m/>
    <m/>
    <m/>
    <m/>
    <m/>
    <m/>
    <m/>
  </r>
  <r>
    <x v="27"/>
    <x v="27"/>
    <m/>
    <m/>
    <m/>
    <m/>
    <m/>
    <m/>
    <m/>
    <m/>
    <m/>
    <m/>
    <m/>
    <m/>
    <m/>
    <m/>
    <m/>
    <m/>
    <m/>
  </r>
  <r>
    <x v="27"/>
    <x v="28"/>
    <m/>
    <m/>
    <m/>
    <m/>
    <m/>
    <m/>
    <m/>
    <m/>
    <m/>
    <m/>
    <m/>
    <m/>
    <m/>
    <m/>
    <m/>
    <m/>
    <m/>
  </r>
  <r>
    <x v="27"/>
    <x v="29"/>
    <m/>
    <m/>
    <m/>
    <m/>
    <m/>
    <m/>
    <m/>
    <m/>
    <m/>
    <m/>
    <m/>
    <m/>
    <m/>
    <m/>
    <m/>
    <m/>
    <m/>
  </r>
  <r>
    <x v="27"/>
    <x v="30"/>
    <m/>
    <m/>
    <m/>
    <m/>
    <m/>
    <m/>
    <m/>
    <m/>
    <m/>
    <m/>
    <m/>
    <m/>
    <m/>
    <m/>
    <m/>
    <m/>
    <m/>
  </r>
  <r>
    <x v="27"/>
    <x v="31"/>
    <m/>
    <m/>
    <m/>
    <m/>
    <m/>
    <m/>
    <m/>
    <m/>
    <m/>
    <m/>
    <m/>
    <m/>
    <m/>
    <m/>
    <m/>
    <m/>
    <m/>
  </r>
  <r>
    <x v="27"/>
    <x v="32"/>
    <m/>
    <m/>
    <m/>
    <m/>
    <m/>
    <m/>
    <n v="1"/>
    <m/>
    <n v="1"/>
    <m/>
    <m/>
    <m/>
    <m/>
    <m/>
    <m/>
    <m/>
    <m/>
  </r>
  <r>
    <x v="27"/>
    <x v="33"/>
    <m/>
    <m/>
    <m/>
    <m/>
    <m/>
    <m/>
    <m/>
    <m/>
    <m/>
    <m/>
    <m/>
    <m/>
    <m/>
    <m/>
    <m/>
    <m/>
    <m/>
  </r>
  <r>
    <x v="27"/>
    <x v="34"/>
    <m/>
    <m/>
    <m/>
    <m/>
    <m/>
    <m/>
    <m/>
    <m/>
    <m/>
    <m/>
    <m/>
    <m/>
    <m/>
    <m/>
    <m/>
    <m/>
    <m/>
  </r>
  <r>
    <x v="27"/>
    <x v="35"/>
    <m/>
    <m/>
    <m/>
    <m/>
    <m/>
    <m/>
    <m/>
    <m/>
    <m/>
    <m/>
    <m/>
    <m/>
    <m/>
    <m/>
    <m/>
    <m/>
    <m/>
  </r>
  <r>
    <x v="27"/>
    <x v="36"/>
    <m/>
    <m/>
    <m/>
    <m/>
    <m/>
    <m/>
    <m/>
    <m/>
    <m/>
    <m/>
    <m/>
    <m/>
    <m/>
    <m/>
    <m/>
    <m/>
    <m/>
  </r>
  <r>
    <x v="27"/>
    <x v="37"/>
    <m/>
    <m/>
    <m/>
    <m/>
    <m/>
    <m/>
    <m/>
    <m/>
    <m/>
    <m/>
    <m/>
    <m/>
    <m/>
    <m/>
    <m/>
    <m/>
    <m/>
  </r>
  <r>
    <x v="27"/>
    <x v="38"/>
    <m/>
    <m/>
    <m/>
    <m/>
    <m/>
    <m/>
    <m/>
    <m/>
    <m/>
    <m/>
    <m/>
    <m/>
    <m/>
    <m/>
    <m/>
    <m/>
    <m/>
  </r>
  <r>
    <x v="27"/>
    <x v="39"/>
    <m/>
    <m/>
    <m/>
    <m/>
    <m/>
    <m/>
    <m/>
    <m/>
    <m/>
    <m/>
    <m/>
    <m/>
    <m/>
    <m/>
    <m/>
    <m/>
    <m/>
  </r>
  <r>
    <x v="27"/>
    <x v="40"/>
    <m/>
    <m/>
    <m/>
    <m/>
    <m/>
    <m/>
    <m/>
    <m/>
    <m/>
    <m/>
    <m/>
    <m/>
    <m/>
    <m/>
    <m/>
    <m/>
    <m/>
  </r>
  <r>
    <x v="27"/>
    <x v="41"/>
    <m/>
    <m/>
    <m/>
    <m/>
    <m/>
    <m/>
    <m/>
    <m/>
    <m/>
    <m/>
    <m/>
    <m/>
    <m/>
    <m/>
    <m/>
    <m/>
    <m/>
  </r>
  <r>
    <x v="27"/>
    <x v="42"/>
    <m/>
    <m/>
    <m/>
    <m/>
    <m/>
    <m/>
    <m/>
    <m/>
    <m/>
    <m/>
    <m/>
    <m/>
    <m/>
    <m/>
    <m/>
    <m/>
    <m/>
  </r>
  <r>
    <x v="27"/>
    <x v="43"/>
    <m/>
    <m/>
    <m/>
    <n v="1"/>
    <m/>
    <m/>
    <m/>
    <n v="1"/>
    <m/>
    <m/>
    <m/>
    <m/>
    <m/>
    <m/>
    <m/>
    <m/>
    <m/>
  </r>
  <r>
    <x v="27"/>
    <x v="44"/>
    <m/>
    <m/>
    <m/>
    <m/>
    <m/>
    <m/>
    <m/>
    <m/>
    <m/>
    <m/>
    <m/>
    <m/>
    <m/>
    <m/>
    <m/>
    <m/>
    <m/>
  </r>
  <r>
    <x v="27"/>
    <x v="45"/>
    <m/>
    <m/>
    <m/>
    <m/>
    <m/>
    <m/>
    <m/>
    <m/>
    <m/>
    <m/>
    <m/>
    <m/>
    <m/>
    <m/>
    <m/>
    <m/>
    <m/>
  </r>
  <r>
    <x v="27"/>
    <x v="46"/>
    <m/>
    <m/>
    <m/>
    <m/>
    <m/>
    <m/>
    <m/>
    <m/>
    <m/>
    <m/>
    <m/>
    <m/>
    <m/>
    <m/>
    <m/>
    <m/>
    <m/>
  </r>
  <r>
    <x v="27"/>
    <x v="47"/>
    <m/>
    <m/>
    <m/>
    <m/>
    <m/>
    <m/>
    <m/>
    <m/>
    <m/>
    <m/>
    <m/>
    <m/>
    <m/>
    <m/>
    <m/>
    <m/>
    <m/>
  </r>
  <r>
    <x v="27"/>
    <x v="48"/>
    <m/>
    <m/>
    <m/>
    <m/>
    <m/>
    <m/>
    <m/>
    <m/>
    <m/>
    <m/>
    <m/>
    <m/>
    <m/>
    <m/>
    <m/>
    <m/>
    <m/>
  </r>
  <r>
    <x v="27"/>
    <x v="49"/>
    <m/>
    <m/>
    <m/>
    <m/>
    <m/>
    <m/>
    <m/>
    <m/>
    <m/>
    <m/>
    <m/>
    <m/>
    <m/>
    <m/>
    <m/>
    <m/>
    <m/>
  </r>
  <r>
    <x v="27"/>
    <x v="50"/>
    <m/>
    <m/>
    <m/>
    <m/>
    <m/>
    <m/>
    <m/>
    <m/>
    <m/>
    <m/>
    <m/>
    <m/>
    <m/>
    <m/>
    <m/>
    <m/>
    <m/>
  </r>
  <r>
    <x v="27"/>
    <x v="51"/>
    <m/>
    <n v="1"/>
    <m/>
    <m/>
    <m/>
    <m/>
    <n v="1"/>
    <n v="1"/>
    <n v="1"/>
    <m/>
    <m/>
    <m/>
    <m/>
    <m/>
    <m/>
    <m/>
    <m/>
  </r>
  <r>
    <x v="28"/>
    <x v="40"/>
    <m/>
    <m/>
    <m/>
    <m/>
    <m/>
    <m/>
    <m/>
    <m/>
    <m/>
    <m/>
    <n v="2"/>
    <m/>
    <m/>
    <n v="2"/>
    <n v="1"/>
    <m/>
    <m/>
  </r>
  <r>
    <x v="29"/>
    <x v="0"/>
    <m/>
    <m/>
    <m/>
    <m/>
    <m/>
    <m/>
    <m/>
    <m/>
    <m/>
    <m/>
    <m/>
    <m/>
    <m/>
    <m/>
    <m/>
    <m/>
    <m/>
  </r>
  <r>
    <x v="29"/>
    <x v="1"/>
    <m/>
    <m/>
    <m/>
    <m/>
    <m/>
    <m/>
    <m/>
    <m/>
    <m/>
    <m/>
    <m/>
    <m/>
    <m/>
    <m/>
    <m/>
    <m/>
    <m/>
  </r>
  <r>
    <x v="29"/>
    <x v="2"/>
    <m/>
    <m/>
    <m/>
    <m/>
    <m/>
    <m/>
    <m/>
    <m/>
    <m/>
    <m/>
    <m/>
    <m/>
    <m/>
    <m/>
    <m/>
    <m/>
    <m/>
  </r>
  <r>
    <x v="29"/>
    <x v="3"/>
    <m/>
    <m/>
    <m/>
    <m/>
    <m/>
    <m/>
    <m/>
    <m/>
    <m/>
    <m/>
    <m/>
    <m/>
    <m/>
    <m/>
    <m/>
    <m/>
    <m/>
  </r>
  <r>
    <x v="29"/>
    <x v="4"/>
    <m/>
    <m/>
    <m/>
    <m/>
    <m/>
    <m/>
    <m/>
    <m/>
    <m/>
    <m/>
    <m/>
    <m/>
    <m/>
    <m/>
    <m/>
    <m/>
    <m/>
  </r>
  <r>
    <x v="29"/>
    <x v="5"/>
    <m/>
    <m/>
    <m/>
    <m/>
    <m/>
    <m/>
    <m/>
    <m/>
    <m/>
    <m/>
    <m/>
    <m/>
    <m/>
    <m/>
    <m/>
    <m/>
    <m/>
  </r>
  <r>
    <x v="29"/>
    <x v="6"/>
    <m/>
    <m/>
    <m/>
    <m/>
    <m/>
    <m/>
    <m/>
    <m/>
    <m/>
    <m/>
    <m/>
    <m/>
    <m/>
    <m/>
    <m/>
    <m/>
    <m/>
  </r>
  <r>
    <x v="29"/>
    <x v="7"/>
    <m/>
    <m/>
    <m/>
    <m/>
    <m/>
    <m/>
    <m/>
    <m/>
    <m/>
    <m/>
    <m/>
    <m/>
    <m/>
    <m/>
    <m/>
    <m/>
    <m/>
  </r>
  <r>
    <x v="29"/>
    <x v="8"/>
    <m/>
    <m/>
    <m/>
    <m/>
    <m/>
    <m/>
    <m/>
    <m/>
    <m/>
    <m/>
    <m/>
    <m/>
    <m/>
    <m/>
    <m/>
    <m/>
    <m/>
  </r>
  <r>
    <x v="29"/>
    <x v="9"/>
    <m/>
    <m/>
    <m/>
    <m/>
    <m/>
    <m/>
    <m/>
    <m/>
    <m/>
    <m/>
    <m/>
    <m/>
    <m/>
    <m/>
    <m/>
    <m/>
    <m/>
  </r>
  <r>
    <x v="29"/>
    <x v="10"/>
    <m/>
    <m/>
    <m/>
    <m/>
    <m/>
    <m/>
    <m/>
    <m/>
    <m/>
    <m/>
    <m/>
    <m/>
    <m/>
    <m/>
    <m/>
    <m/>
    <m/>
  </r>
  <r>
    <x v="29"/>
    <x v="11"/>
    <m/>
    <m/>
    <m/>
    <m/>
    <m/>
    <m/>
    <m/>
    <m/>
    <m/>
    <m/>
    <m/>
    <m/>
    <m/>
    <m/>
    <m/>
    <m/>
    <m/>
  </r>
  <r>
    <x v="29"/>
    <x v="12"/>
    <m/>
    <m/>
    <m/>
    <m/>
    <m/>
    <m/>
    <m/>
    <m/>
    <m/>
    <m/>
    <m/>
    <m/>
    <m/>
    <m/>
    <m/>
    <m/>
    <m/>
  </r>
  <r>
    <x v="29"/>
    <x v="13"/>
    <m/>
    <m/>
    <m/>
    <m/>
    <m/>
    <m/>
    <m/>
    <m/>
    <m/>
    <m/>
    <m/>
    <m/>
    <m/>
    <m/>
    <m/>
    <m/>
    <m/>
  </r>
  <r>
    <x v="29"/>
    <x v="14"/>
    <m/>
    <m/>
    <m/>
    <m/>
    <m/>
    <m/>
    <m/>
    <m/>
    <m/>
    <m/>
    <m/>
    <m/>
    <m/>
    <m/>
    <m/>
    <m/>
    <m/>
  </r>
  <r>
    <x v="29"/>
    <x v="15"/>
    <m/>
    <m/>
    <m/>
    <m/>
    <m/>
    <m/>
    <m/>
    <m/>
    <m/>
    <m/>
    <m/>
    <m/>
    <m/>
    <m/>
    <m/>
    <m/>
    <m/>
  </r>
  <r>
    <x v="29"/>
    <x v="16"/>
    <m/>
    <m/>
    <m/>
    <m/>
    <m/>
    <m/>
    <m/>
    <m/>
    <m/>
    <m/>
    <m/>
    <m/>
    <m/>
    <m/>
    <m/>
    <m/>
    <m/>
  </r>
  <r>
    <x v="29"/>
    <x v="17"/>
    <m/>
    <m/>
    <m/>
    <m/>
    <m/>
    <m/>
    <m/>
    <m/>
    <m/>
    <m/>
    <m/>
    <m/>
    <m/>
    <m/>
    <m/>
    <m/>
    <m/>
  </r>
  <r>
    <x v="29"/>
    <x v="18"/>
    <m/>
    <m/>
    <m/>
    <m/>
    <m/>
    <m/>
    <m/>
    <m/>
    <m/>
    <m/>
    <m/>
    <m/>
    <m/>
    <m/>
    <m/>
    <m/>
    <m/>
  </r>
  <r>
    <x v="29"/>
    <x v="19"/>
    <m/>
    <m/>
    <m/>
    <m/>
    <m/>
    <m/>
    <m/>
    <m/>
    <m/>
    <m/>
    <m/>
    <m/>
    <m/>
    <m/>
    <m/>
    <m/>
    <m/>
  </r>
  <r>
    <x v="29"/>
    <x v="20"/>
    <m/>
    <m/>
    <m/>
    <m/>
    <m/>
    <m/>
    <m/>
    <m/>
    <m/>
    <m/>
    <m/>
    <m/>
    <m/>
    <m/>
    <m/>
    <m/>
    <m/>
  </r>
  <r>
    <x v="29"/>
    <x v="21"/>
    <m/>
    <m/>
    <m/>
    <m/>
    <m/>
    <m/>
    <m/>
    <m/>
    <m/>
    <m/>
    <m/>
    <m/>
    <m/>
    <m/>
    <m/>
    <m/>
    <m/>
  </r>
  <r>
    <x v="29"/>
    <x v="22"/>
    <m/>
    <m/>
    <m/>
    <m/>
    <m/>
    <m/>
    <m/>
    <m/>
    <m/>
    <m/>
    <m/>
    <m/>
    <m/>
    <m/>
    <m/>
    <m/>
    <m/>
  </r>
  <r>
    <x v="29"/>
    <x v="23"/>
    <m/>
    <m/>
    <m/>
    <m/>
    <m/>
    <m/>
    <m/>
    <m/>
    <m/>
    <m/>
    <m/>
    <m/>
    <m/>
    <m/>
    <m/>
    <m/>
    <m/>
  </r>
  <r>
    <x v="29"/>
    <x v="24"/>
    <m/>
    <m/>
    <m/>
    <m/>
    <m/>
    <m/>
    <m/>
    <m/>
    <m/>
    <m/>
    <m/>
    <m/>
    <m/>
    <m/>
    <m/>
    <m/>
    <m/>
  </r>
  <r>
    <x v="29"/>
    <x v="25"/>
    <m/>
    <m/>
    <m/>
    <m/>
    <m/>
    <m/>
    <m/>
    <m/>
    <m/>
    <m/>
    <m/>
    <m/>
    <m/>
    <m/>
    <m/>
    <m/>
    <m/>
  </r>
  <r>
    <x v="29"/>
    <x v="26"/>
    <m/>
    <m/>
    <m/>
    <m/>
    <m/>
    <m/>
    <m/>
    <m/>
    <m/>
    <m/>
    <m/>
    <m/>
    <m/>
    <m/>
    <m/>
    <m/>
    <m/>
  </r>
  <r>
    <x v="29"/>
    <x v="27"/>
    <m/>
    <m/>
    <m/>
    <m/>
    <m/>
    <m/>
    <m/>
    <m/>
    <m/>
    <m/>
    <m/>
    <m/>
    <m/>
    <m/>
    <m/>
    <m/>
    <m/>
  </r>
  <r>
    <x v="29"/>
    <x v="28"/>
    <m/>
    <m/>
    <m/>
    <m/>
    <m/>
    <m/>
    <m/>
    <m/>
    <m/>
    <m/>
    <m/>
    <m/>
    <m/>
    <m/>
    <m/>
    <m/>
    <m/>
  </r>
  <r>
    <x v="29"/>
    <x v="29"/>
    <m/>
    <m/>
    <m/>
    <m/>
    <m/>
    <m/>
    <m/>
    <m/>
    <m/>
    <m/>
    <m/>
    <m/>
    <m/>
    <m/>
    <m/>
    <m/>
    <m/>
  </r>
  <r>
    <x v="29"/>
    <x v="30"/>
    <m/>
    <m/>
    <m/>
    <m/>
    <m/>
    <m/>
    <m/>
    <m/>
    <m/>
    <m/>
    <m/>
    <m/>
    <m/>
    <m/>
    <m/>
    <m/>
    <m/>
  </r>
  <r>
    <x v="29"/>
    <x v="31"/>
    <m/>
    <m/>
    <m/>
    <m/>
    <m/>
    <m/>
    <m/>
    <m/>
    <m/>
    <m/>
    <m/>
    <m/>
    <m/>
    <m/>
    <m/>
    <m/>
    <m/>
  </r>
  <r>
    <x v="29"/>
    <x v="32"/>
    <m/>
    <m/>
    <m/>
    <m/>
    <m/>
    <m/>
    <m/>
    <m/>
    <m/>
    <m/>
    <m/>
    <m/>
    <m/>
    <m/>
    <m/>
    <m/>
    <m/>
  </r>
  <r>
    <x v="29"/>
    <x v="33"/>
    <m/>
    <m/>
    <m/>
    <m/>
    <m/>
    <m/>
    <m/>
    <m/>
    <m/>
    <m/>
    <m/>
    <m/>
    <m/>
    <m/>
    <m/>
    <m/>
    <m/>
  </r>
  <r>
    <x v="29"/>
    <x v="34"/>
    <m/>
    <m/>
    <m/>
    <m/>
    <m/>
    <m/>
    <m/>
    <m/>
    <m/>
    <m/>
    <m/>
    <m/>
    <m/>
    <m/>
    <m/>
    <m/>
    <m/>
  </r>
  <r>
    <x v="29"/>
    <x v="35"/>
    <m/>
    <m/>
    <m/>
    <m/>
    <m/>
    <m/>
    <m/>
    <m/>
    <m/>
    <m/>
    <m/>
    <m/>
    <m/>
    <m/>
    <m/>
    <m/>
    <m/>
  </r>
  <r>
    <x v="29"/>
    <x v="36"/>
    <m/>
    <m/>
    <m/>
    <m/>
    <m/>
    <m/>
    <m/>
    <m/>
    <m/>
    <m/>
    <m/>
    <m/>
    <m/>
    <m/>
    <m/>
    <m/>
    <m/>
  </r>
  <r>
    <x v="29"/>
    <x v="37"/>
    <m/>
    <m/>
    <m/>
    <m/>
    <m/>
    <m/>
    <m/>
    <m/>
    <m/>
    <m/>
    <m/>
    <m/>
    <m/>
    <m/>
    <m/>
    <m/>
    <m/>
  </r>
  <r>
    <x v="29"/>
    <x v="38"/>
    <m/>
    <m/>
    <m/>
    <m/>
    <m/>
    <m/>
    <m/>
    <m/>
    <m/>
    <m/>
    <m/>
    <m/>
    <m/>
    <m/>
    <m/>
    <m/>
    <m/>
  </r>
  <r>
    <x v="29"/>
    <x v="39"/>
    <m/>
    <m/>
    <m/>
    <m/>
    <m/>
    <m/>
    <m/>
    <m/>
    <m/>
    <m/>
    <m/>
    <m/>
    <m/>
    <m/>
    <m/>
    <m/>
    <m/>
  </r>
  <r>
    <x v="29"/>
    <x v="40"/>
    <m/>
    <m/>
    <m/>
    <m/>
    <m/>
    <m/>
    <m/>
    <m/>
    <m/>
    <m/>
    <m/>
    <m/>
    <m/>
    <m/>
    <m/>
    <m/>
    <m/>
  </r>
  <r>
    <x v="29"/>
    <x v="41"/>
    <m/>
    <m/>
    <m/>
    <m/>
    <m/>
    <m/>
    <m/>
    <m/>
    <m/>
    <m/>
    <m/>
    <m/>
    <m/>
    <m/>
    <m/>
    <m/>
    <m/>
  </r>
  <r>
    <x v="29"/>
    <x v="42"/>
    <m/>
    <m/>
    <m/>
    <m/>
    <m/>
    <m/>
    <n v="1"/>
    <m/>
    <m/>
    <m/>
    <n v="1"/>
    <m/>
    <m/>
    <n v="2"/>
    <n v="1"/>
    <n v="5"/>
    <m/>
  </r>
  <r>
    <x v="29"/>
    <x v="43"/>
    <m/>
    <m/>
    <m/>
    <m/>
    <m/>
    <m/>
    <m/>
    <m/>
    <m/>
    <m/>
    <m/>
    <m/>
    <m/>
    <m/>
    <m/>
    <m/>
    <m/>
  </r>
  <r>
    <x v="29"/>
    <x v="44"/>
    <m/>
    <m/>
    <m/>
    <m/>
    <m/>
    <m/>
    <m/>
    <m/>
    <m/>
    <m/>
    <m/>
    <m/>
    <m/>
    <m/>
    <m/>
    <m/>
    <m/>
  </r>
  <r>
    <x v="29"/>
    <x v="45"/>
    <m/>
    <m/>
    <m/>
    <m/>
    <m/>
    <m/>
    <m/>
    <m/>
    <m/>
    <m/>
    <m/>
    <m/>
    <m/>
    <m/>
    <m/>
    <m/>
    <m/>
  </r>
  <r>
    <x v="29"/>
    <x v="46"/>
    <m/>
    <m/>
    <m/>
    <m/>
    <m/>
    <m/>
    <m/>
    <m/>
    <m/>
    <m/>
    <m/>
    <m/>
    <m/>
    <m/>
    <m/>
    <m/>
    <m/>
  </r>
  <r>
    <x v="29"/>
    <x v="47"/>
    <m/>
    <m/>
    <m/>
    <m/>
    <m/>
    <m/>
    <m/>
    <m/>
    <m/>
    <m/>
    <m/>
    <m/>
    <m/>
    <m/>
    <m/>
    <m/>
    <m/>
  </r>
  <r>
    <x v="29"/>
    <x v="48"/>
    <m/>
    <m/>
    <m/>
    <m/>
    <m/>
    <m/>
    <m/>
    <m/>
    <m/>
    <m/>
    <m/>
    <m/>
    <m/>
    <m/>
    <m/>
    <m/>
    <m/>
  </r>
  <r>
    <x v="29"/>
    <x v="49"/>
    <m/>
    <m/>
    <m/>
    <m/>
    <m/>
    <m/>
    <m/>
    <m/>
    <m/>
    <m/>
    <m/>
    <m/>
    <m/>
    <m/>
    <m/>
    <m/>
    <m/>
  </r>
  <r>
    <x v="29"/>
    <x v="50"/>
    <m/>
    <m/>
    <m/>
    <m/>
    <m/>
    <m/>
    <m/>
    <m/>
    <m/>
    <m/>
    <m/>
    <m/>
    <m/>
    <m/>
    <m/>
    <m/>
    <m/>
  </r>
  <r>
    <x v="29"/>
    <x v="51"/>
    <m/>
    <m/>
    <m/>
    <m/>
    <m/>
    <m/>
    <m/>
    <m/>
    <m/>
    <m/>
    <m/>
    <m/>
    <m/>
    <m/>
    <m/>
    <m/>
    <m/>
  </r>
  <r>
    <x v="30"/>
    <x v="0"/>
    <m/>
    <m/>
    <m/>
    <m/>
    <m/>
    <m/>
    <m/>
    <m/>
    <m/>
    <m/>
    <m/>
    <m/>
    <m/>
    <m/>
    <m/>
    <m/>
    <m/>
  </r>
  <r>
    <x v="30"/>
    <x v="1"/>
    <m/>
    <m/>
    <m/>
    <m/>
    <m/>
    <m/>
    <m/>
    <m/>
    <m/>
    <m/>
    <m/>
    <m/>
    <m/>
    <m/>
    <m/>
    <m/>
    <m/>
  </r>
  <r>
    <x v="30"/>
    <x v="2"/>
    <m/>
    <m/>
    <m/>
    <m/>
    <m/>
    <m/>
    <m/>
    <m/>
    <m/>
    <m/>
    <m/>
    <m/>
    <m/>
    <m/>
    <m/>
    <m/>
    <m/>
  </r>
  <r>
    <x v="30"/>
    <x v="3"/>
    <m/>
    <m/>
    <m/>
    <m/>
    <m/>
    <m/>
    <m/>
    <m/>
    <m/>
    <m/>
    <m/>
    <m/>
    <m/>
    <m/>
    <m/>
    <m/>
    <m/>
  </r>
  <r>
    <x v="30"/>
    <x v="4"/>
    <m/>
    <m/>
    <m/>
    <m/>
    <m/>
    <m/>
    <m/>
    <m/>
    <m/>
    <m/>
    <m/>
    <m/>
    <m/>
    <m/>
    <m/>
    <m/>
    <m/>
  </r>
  <r>
    <x v="30"/>
    <x v="5"/>
    <m/>
    <m/>
    <m/>
    <m/>
    <m/>
    <m/>
    <m/>
    <m/>
    <m/>
    <m/>
    <m/>
    <m/>
    <m/>
    <m/>
    <m/>
    <m/>
    <m/>
  </r>
  <r>
    <x v="30"/>
    <x v="6"/>
    <m/>
    <m/>
    <m/>
    <m/>
    <m/>
    <m/>
    <m/>
    <m/>
    <m/>
    <m/>
    <m/>
    <m/>
    <m/>
    <m/>
    <m/>
    <m/>
    <m/>
  </r>
  <r>
    <x v="30"/>
    <x v="7"/>
    <m/>
    <m/>
    <m/>
    <m/>
    <m/>
    <m/>
    <m/>
    <m/>
    <m/>
    <m/>
    <m/>
    <m/>
    <m/>
    <m/>
    <m/>
    <m/>
    <m/>
  </r>
  <r>
    <x v="30"/>
    <x v="8"/>
    <m/>
    <m/>
    <m/>
    <m/>
    <m/>
    <m/>
    <m/>
    <m/>
    <m/>
    <m/>
    <m/>
    <m/>
    <m/>
    <m/>
    <m/>
    <m/>
    <m/>
  </r>
  <r>
    <x v="30"/>
    <x v="9"/>
    <m/>
    <m/>
    <m/>
    <m/>
    <m/>
    <m/>
    <m/>
    <m/>
    <m/>
    <m/>
    <m/>
    <m/>
    <m/>
    <m/>
    <m/>
    <m/>
    <m/>
  </r>
  <r>
    <x v="30"/>
    <x v="10"/>
    <m/>
    <m/>
    <m/>
    <m/>
    <m/>
    <m/>
    <m/>
    <m/>
    <m/>
    <m/>
    <m/>
    <m/>
    <m/>
    <m/>
    <m/>
    <m/>
    <m/>
  </r>
  <r>
    <x v="30"/>
    <x v="11"/>
    <m/>
    <m/>
    <m/>
    <m/>
    <m/>
    <m/>
    <m/>
    <m/>
    <m/>
    <m/>
    <m/>
    <m/>
    <m/>
    <m/>
    <m/>
    <m/>
    <m/>
  </r>
  <r>
    <x v="30"/>
    <x v="12"/>
    <m/>
    <m/>
    <m/>
    <m/>
    <m/>
    <m/>
    <m/>
    <m/>
    <m/>
    <m/>
    <m/>
    <m/>
    <m/>
    <m/>
    <m/>
    <m/>
    <m/>
  </r>
  <r>
    <x v="30"/>
    <x v="13"/>
    <m/>
    <m/>
    <m/>
    <m/>
    <m/>
    <m/>
    <m/>
    <m/>
    <m/>
    <m/>
    <m/>
    <m/>
    <m/>
    <m/>
    <m/>
    <m/>
    <m/>
  </r>
  <r>
    <x v="30"/>
    <x v="14"/>
    <m/>
    <m/>
    <m/>
    <m/>
    <m/>
    <m/>
    <m/>
    <m/>
    <m/>
    <m/>
    <m/>
    <m/>
    <m/>
    <m/>
    <m/>
    <m/>
    <m/>
  </r>
  <r>
    <x v="30"/>
    <x v="15"/>
    <m/>
    <m/>
    <m/>
    <m/>
    <m/>
    <m/>
    <m/>
    <m/>
    <m/>
    <m/>
    <m/>
    <m/>
    <m/>
    <m/>
    <m/>
    <m/>
    <m/>
  </r>
  <r>
    <x v="30"/>
    <x v="16"/>
    <m/>
    <m/>
    <m/>
    <m/>
    <m/>
    <m/>
    <m/>
    <m/>
    <m/>
    <m/>
    <m/>
    <m/>
    <m/>
    <m/>
    <m/>
    <m/>
    <m/>
  </r>
  <r>
    <x v="30"/>
    <x v="17"/>
    <m/>
    <m/>
    <m/>
    <m/>
    <m/>
    <m/>
    <m/>
    <m/>
    <m/>
    <m/>
    <m/>
    <m/>
    <m/>
    <m/>
    <m/>
    <m/>
    <m/>
  </r>
  <r>
    <x v="30"/>
    <x v="18"/>
    <m/>
    <m/>
    <m/>
    <m/>
    <m/>
    <m/>
    <m/>
    <m/>
    <m/>
    <m/>
    <m/>
    <m/>
    <m/>
    <m/>
    <m/>
    <m/>
    <m/>
  </r>
  <r>
    <x v="30"/>
    <x v="19"/>
    <m/>
    <m/>
    <m/>
    <m/>
    <m/>
    <m/>
    <m/>
    <m/>
    <m/>
    <m/>
    <m/>
    <m/>
    <m/>
    <m/>
    <m/>
    <m/>
    <m/>
  </r>
  <r>
    <x v="30"/>
    <x v="20"/>
    <m/>
    <m/>
    <m/>
    <m/>
    <m/>
    <m/>
    <m/>
    <m/>
    <m/>
    <m/>
    <m/>
    <m/>
    <m/>
    <m/>
    <m/>
    <m/>
    <m/>
  </r>
  <r>
    <x v="30"/>
    <x v="21"/>
    <m/>
    <m/>
    <m/>
    <m/>
    <m/>
    <m/>
    <m/>
    <m/>
    <m/>
    <m/>
    <m/>
    <m/>
    <m/>
    <m/>
    <m/>
    <m/>
    <m/>
  </r>
  <r>
    <x v="30"/>
    <x v="22"/>
    <m/>
    <m/>
    <m/>
    <m/>
    <m/>
    <m/>
    <m/>
    <m/>
    <m/>
    <m/>
    <m/>
    <m/>
    <m/>
    <m/>
    <m/>
    <m/>
    <m/>
  </r>
  <r>
    <x v="30"/>
    <x v="23"/>
    <m/>
    <m/>
    <m/>
    <m/>
    <m/>
    <m/>
    <m/>
    <m/>
    <m/>
    <m/>
    <m/>
    <m/>
    <m/>
    <m/>
    <m/>
    <m/>
    <m/>
  </r>
  <r>
    <x v="30"/>
    <x v="24"/>
    <m/>
    <m/>
    <m/>
    <m/>
    <m/>
    <m/>
    <m/>
    <m/>
    <m/>
    <m/>
    <m/>
    <m/>
    <m/>
    <m/>
    <m/>
    <m/>
    <m/>
  </r>
  <r>
    <x v="30"/>
    <x v="25"/>
    <m/>
    <m/>
    <m/>
    <m/>
    <m/>
    <m/>
    <m/>
    <m/>
    <m/>
    <m/>
    <m/>
    <m/>
    <m/>
    <m/>
    <m/>
    <m/>
    <m/>
  </r>
  <r>
    <x v="30"/>
    <x v="26"/>
    <m/>
    <m/>
    <m/>
    <m/>
    <m/>
    <m/>
    <m/>
    <m/>
    <m/>
    <m/>
    <m/>
    <m/>
    <m/>
    <m/>
    <m/>
    <m/>
    <m/>
  </r>
  <r>
    <x v="30"/>
    <x v="27"/>
    <m/>
    <m/>
    <m/>
    <m/>
    <m/>
    <m/>
    <m/>
    <m/>
    <m/>
    <m/>
    <m/>
    <m/>
    <m/>
    <m/>
    <m/>
    <m/>
    <m/>
  </r>
  <r>
    <x v="30"/>
    <x v="28"/>
    <m/>
    <m/>
    <m/>
    <m/>
    <m/>
    <m/>
    <m/>
    <m/>
    <m/>
    <m/>
    <m/>
    <m/>
    <m/>
    <m/>
    <m/>
    <m/>
    <m/>
  </r>
  <r>
    <x v="30"/>
    <x v="29"/>
    <m/>
    <m/>
    <m/>
    <m/>
    <m/>
    <m/>
    <m/>
    <m/>
    <m/>
    <m/>
    <m/>
    <m/>
    <m/>
    <m/>
    <m/>
    <m/>
    <m/>
  </r>
  <r>
    <x v="30"/>
    <x v="30"/>
    <m/>
    <m/>
    <m/>
    <m/>
    <m/>
    <m/>
    <m/>
    <m/>
    <m/>
    <m/>
    <m/>
    <m/>
    <m/>
    <m/>
    <m/>
    <m/>
    <m/>
  </r>
  <r>
    <x v="30"/>
    <x v="31"/>
    <m/>
    <m/>
    <m/>
    <m/>
    <m/>
    <m/>
    <m/>
    <m/>
    <m/>
    <m/>
    <m/>
    <m/>
    <m/>
    <m/>
    <m/>
    <m/>
    <m/>
  </r>
  <r>
    <x v="30"/>
    <x v="32"/>
    <m/>
    <m/>
    <m/>
    <m/>
    <m/>
    <m/>
    <m/>
    <m/>
    <m/>
    <m/>
    <m/>
    <m/>
    <m/>
    <m/>
    <m/>
    <m/>
    <m/>
  </r>
  <r>
    <x v="30"/>
    <x v="33"/>
    <m/>
    <m/>
    <m/>
    <m/>
    <m/>
    <m/>
    <m/>
    <m/>
    <m/>
    <m/>
    <m/>
    <m/>
    <m/>
    <m/>
    <m/>
    <m/>
    <m/>
  </r>
  <r>
    <x v="30"/>
    <x v="34"/>
    <m/>
    <m/>
    <m/>
    <m/>
    <m/>
    <m/>
    <m/>
    <m/>
    <m/>
    <m/>
    <m/>
    <m/>
    <m/>
    <m/>
    <m/>
    <m/>
    <m/>
  </r>
  <r>
    <x v="30"/>
    <x v="35"/>
    <m/>
    <m/>
    <m/>
    <m/>
    <m/>
    <m/>
    <m/>
    <m/>
    <m/>
    <m/>
    <m/>
    <m/>
    <m/>
    <m/>
    <m/>
    <m/>
    <m/>
  </r>
  <r>
    <x v="30"/>
    <x v="36"/>
    <m/>
    <m/>
    <m/>
    <m/>
    <m/>
    <m/>
    <n v="1"/>
    <m/>
    <m/>
    <m/>
    <n v="1"/>
    <n v="1"/>
    <n v="1"/>
    <n v="1"/>
    <n v="1"/>
    <n v="1"/>
    <m/>
  </r>
  <r>
    <x v="30"/>
    <x v="37"/>
    <m/>
    <m/>
    <m/>
    <m/>
    <m/>
    <m/>
    <m/>
    <m/>
    <m/>
    <m/>
    <m/>
    <m/>
    <m/>
    <m/>
    <m/>
    <m/>
    <m/>
  </r>
  <r>
    <x v="30"/>
    <x v="38"/>
    <m/>
    <m/>
    <m/>
    <m/>
    <m/>
    <m/>
    <m/>
    <m/>
    <m/>
    <m/>
    <m/>
    <m/>
    <m/>
    <m/>
    <m/>
    <m/>
    <m/>
  </r>
  <r>
    <x v="30"/>
    <x v="39"/>
    <m/>
    <m/>
    <m/>
    <m/>
    <m/>
    <m/>
    <m/>
    <m/>
    <m/>
    <m/>
    <m/>
    <m/>
    <m/>
    <m/>
    <m/>
    <m/>
    <m/>
  </r>
  <r>
    <x v="30"/>
    <x v="40"/>
    <m/>
    <m/>
    <m/>
    <m/>
    <m/>
    <m/>
    <m/>
    <m/>
    <m/>
    <m/>
    <m/>
    <m/>
    <m/>
    <m/>
    <m/>
    <m/>
    <m/>
  </r>
  <r>
    <x v="30"/>
    <x v="41"/>
    <m/>
    <m/>
    <m/>
    <m/>
    <m/>
    <m/>
    <m/>
    <m/>
    <m/>
    <m/>
    <m/>
    <m/>
    <m/>
    <m/>
    <m/>
    <m/>
    <m/>
  </r>
  <r>
    <x v="30"/>
    <x v="42"/>
    <m/>
    <m/>
    <m/>
    <m/>
    <m/>
    <m/>
    <m/>
    <m/>
    <m/>
    <m/>
    <m/>
    <m/>
    <m/>
    <m/>
    <m/>
    <m/>
    <m/>
  </r>
  <r>
    <x v="30"/>
    <x v="43"/>
    <m/>
    <m/>
    <m/>
    <m/>
    <m/>
    <m/>
    <m/>
    <m/>
    <m/>
    <m/>
    <m/>
    <m/>
    <m/>
    <m/>
    <m/>
    <m/>
    <m/>
  </r>
  <r>
    <x v="30"/>
    <x v="44"/>
    <m/>
    <m/>
    <m/>
    <m/>
    <m/>
    <m/>
    <m/>
    <m/>
    <m/>
    <m/>
    <m/>
    <m/>
    <m/>
    <m/>
    <m/>
    <m/>
    <m/>
  </r>
  <r>
    <x v="30"/>
    <x v="45"/>
    <m/>
    <m/>
    <m/>
    <m/>
    <m/>
    <m/>
    <m/>
    <m/>
    <m/>
    <m/>
    <m/>
    <m/>
    <m/>
    <m/>
    <m/>
    <m/>
    <m/>
  </r>
  <r>
    <x v="30"/>
    <x v="46"/>
    <m/>
    <m/>
    <m/>
    <m/>
    <m/>
    <m/>
    <m/>
    <m/>
    <m/>
    <m/>
    <m/>
    <m/>
    <m/>
    <m/>
    <m/>
    <m/>
    <m/>
  </r>
  <r>
    <x v="30"/>
    <x v="47"/>
    <m/>
    <m/>
    <m/>
    <m/>
    <m/>
    <m/>
    <m/>
    <m/>
    <m/>
    <m/>
    <m/>
    <m/>
    <m/>
    <m/>
    <m/>
    <m/>
    <m/>
  </r>
  <r>
    <x v="30"/>
    <x v="48"/>
    <m/>
    <m/>
    <m/>
    <m/>
    <m/>
    <m/>
    <m/>
    <m/>
    <m/>
    <m/>
    <m/>
    <m/>
    <m/>
    <m/>
    <m/>
    <m/>
    <m/>
  </r>
  <r>
    <x v="30"/>
    <x v="49"/>
    <m/>
    <m/>
    <m/>
    <m/>
    <m/>
    <m/>
    <m/>
    <m/>
    <m/>
    <m/>
    <m/>
    <m/>
    <m/>
    <m/>
    <m/>
    <m/>
    <m/>
  </r>
  <r>
    <x v="30"/>
    <x v="50"/>
    <m/>
    <m/>
    <m/>
    <m/>
    <m/>
    <m/>
    <m/>
    <m/>
    <m/>
    <m/>
    <m/>
    <m/>
    <m/>
    <m/>
    <m/>
    <m/>
    <m/>
  </r>
  <r>
    <x v="30"/>
    <x v="51"/>
    <m/>
    <m/>
    <m/>
    <m/>
    <m/>
    <m/>
    <m/>
    <m/>
    <m/>
    <m/>
    <m/>
    <m/>
    <m/>
    <m/>
    <m/>
    <m/>
    <m/>
  </r>
  <r>
    <x v="31"/>
    <x v="0"/>
    <m/>
    <m/>
    <m/>
    <m/>
    <m/>
    <m/>
    <m/>
    <m/>
    <m/>
    <m/>
    <m/>
    <m/>
    <m/>
    <m/>
    <m/>
    <m/>
    <m/>
  </r>
  <r>
    <x v="31"/>
    <x v="1"/>
    <m/>
    <m/>
    <m/>
    <m/>
    <m/>
    <m/>
    <m/>
    <m/>
    <m/>
    <m/>
    <m/>
    <m/>
    <m/>
    <m/>
    <m/>
    <m/>
    <m/>
  </r>
  <r>
    <x v="31"/>
    <x v="2"/>
    <m/>
    <m/>
    <m/>
    <m/>
    <m/>
    <m/>
    <m/>
    <m/>
    <m/>
    <m/>
    <m/>
    <m/>
    <m/>
    <m/>
    <m/>
    <m/>
    <m/>
  </r>
  <r>
    <x v="31"/>
    <x v="3"/>
    <m/>
    <m/>
    <m/>
    <m/>
    <m/>
    <m/>
    <m/>
    <m/>
    <m/>
    <m/>
    <m/>
    <m/>
    <m/>
    <m/>
    <m/>
    <m/>
    <m/>
  </r>
  <r>
    <x v="31"/>
    <x v="4"/>
    <m/>
    <m/>
    <m/>
    <m/>
    <m/>
    <m/>
    <m/>
    <m/>
    <m/>
    <m/>
    <m/>
    <m/>
    <m/>
    <m/>
    <m/>
    <m/>
    <m/>
  </r>
  <r>
    <x v="31"/>
    <x v="5"/>
    <m/>
    <m/>
    <m/>
    <m/>
    <m/>
    <m/>
    <n v="2"/>
    <n v="4"/>
    <n v="2"/>
    <m/>
    <n v="4"/>
    <n v="2"/>
    <n v="2"/>
    <m/>
    <n v="1"/>
    <m/>
    <m/>
  </r>
  <r>
    <x v="31"/>
    <x v="6"/>
    <m/>
    <m/>
    <m/>
    <m/>
    <m/>
    <m/>
    <m/>
    <m/>
    <m/>
    <m/>
    <m/>
    <m/>
    <m/>
    <m/>
    <m/>
    <m/>
    <m/>
  </r>
  <r>
    <x v="31"/>
    <x v="7"/>
    <m/>
    <m/>
    <m/>
    <m/>
    <m/>
    <m/>
    <m/>
    <m/>
    <m/>
    <m/>
    <m/>
    <m/>
    <m/>
    <m/>
    <m/>
    <m/>
    <m/>
  </r>
  <r>
    <x v="31"/>
    <x v="8"/>
    <m/>
    <m/>
    <m/>
    <m/>
    <m/>
    <m/>
    <m/>
    <m/>
    <m/>
    <m/>
    <m/>
    <m/>
    <m/>
    <m/>
    <m/>
    <m/>
    <m/>
  </r>
  <r>
    <x v="31"/>
    <x v="9"/>
    <m/>
    <m/>
    <m/>
    <m/>
    <m/>
    <m/>
    <m/>
    <m/>
    <m/>
    <m/>
    <m/>
    <m/>
    <m/>
    <m/>
    <m/>
    <m/>
    <m/>
  </r>
  <r>
    <x v="31"/>
    <x v="10"/>
    <m/>
    <m/>
    <m/>
    <m/>
    <m/>
    <m/>
    <m/>
    <m/>
    <m/>
    <m/>
    <m/>
    <m/>
    <m/>
    <m/>
    <m/>
    <m/>
    <m/>
  </r>
  <r>
    <x v="31"/>
    <x v="11"/>
    <m/>
    <m/>
    <m/>
    <m/>
    <m/>
    <m/>
    <m/>
    <m/>
    <m/>
    <m/>
    <m/>
    <m/>
    <m/>
    <m/>
    <m/>
    <m/>
    <m/>
  </r>
  <r>
    <x v="31"/>
    <x v="12"/>
    <m/>
    <m/>
    <m/>
    <m/>
    <m/>
    <m/>
    <m/>
    <m/>
    <m/>
    <m/>
    <m/>
    <m/>
    <m/>
    <m/>
    <m/>
    <m/>
    <m/>
  </r>
  <r>
    <x v="31"/>
    <x v="13"/>
    <m/>
    <m/>
    <m/>
    <m/>
    <m/>
    <m/>
    <m/>
    <m/>
    <m/>
    <m/>
    <m/>
    <m/>
    <m/>
    <m/>
    <m/>
    <m/>
    <m/>
  </r>
  <r>
    <x v="31"/>
    <x v="14"/>
    <m/>
    <m/>
    <m/>
    <m/>
    <m/>
    <m/>
    <m/>
    <m/>
    <m/>
    <m/>
    <m/>
    <m/>
    <m/>
    <m/>
    <m/>
    <m/>
    <m/>
  </r>
  <r>
    <x v="31"/>
    <x v="15"/>
    <m/>
    <m/>
    <m/>
    <m/>
    <m/>
    <m/>
    <m/>
    <m/>
    <m/>
    <m/>
    <m/>
    <m/>
    <m/>
    <m/>
    <m/>
    <m/>
    <m/>
  </r>
  <r>
    <x v="31"/>
    <x v="16"/>
    <m/>
    <m/>
    <m/>
    <m/>
    <m/>
    <m/>
    <m/>
    <m/>
    <m/>
    <m/>
    <m/>
    <m/>
    <m/>
    <m/>
    <m/>
    <m/>
    <m/>
  </r>
  <r>
    <x v="31"/>
    <x v="17"/>
    <m/>
    <m/>
    <m/>
    <m/>
    <m/>
    <m/>
    <m/>
    <m/>
    <m/>
    <m/>
    <m/>
    <m/>
    <m/>
    <m/>
    <m/>
    <m/>
    <m/>
  </r>
  <r>
    <x v="31"/>
    <x v="18"/>
    <m/>
    <m/>
    <m/>
    <m/>
    <m/>
    <m/>
    <m/>
    <m/>
    <m/>
    <m/>
    <m/>
    <m/>
    <m/>
    <m/>
    <m/>
    <m/>
    <m/>
  </r>
  <r>
    <x v="31"/>
    <x v="19"/>
    <m/>
    <m/>
    <m/>
    <m/>
    <m/>
    <m/>
    <m/>
    <m/>
    <m/>
    <m/>
    <m/>
    <m/>
    <m/>
    <m/>
    <m/>
    <m/>
    <m/>
  </r>
  <r>
    <x v="31"/>
    <x v="20"/>
    <m/>
    <m/>
    <m/>
    <m/>
    <m/>
    <m/>
    <m/>
    <m/>
    <m/>
    <m/>
    <m/>
    <m/>
    <m/>
    <m/>
    <m/>
    <m/>
    <m/>
  </r>
  <r>
    <x v="31"/>
    <x v="21"/>
    <m/>
    <m/>
    <m/>
    <m/>
    <m/>
    <m/>
    <m/>
    <m/>
    <m/>
    <m/>
    <m/>
    <m/>
    <m/>
    <m/>
    <m/>
    <m/>
    <m/>
  </r>
  <r>
    <x v="31"/>
    <x v="22"/>
    <m/>
    <m/>
    <m/>
    <m/>
    <m/>
    <m/>
    <m/>
    <m/>
    <m/>
    <m/>
    <m/>
    <m/>
    <m/>
    <m/>
    <m/>
    <m/>
    <m/>
  </r>
  <r>
    <x v="31"/>
    <x v="23"/>
    <m/>
    <m/>
    <m/>
    <m/>
    <m/>
    <m/>
    <m/>
    <m/>
    <m/>
    <m/>
    <m/>
    <m/>
    <m/>
    <m/>
    <m/>
    <m/>
    <m/>
  </r>
  <r>
    <x v="31"/>
    <x v="24"/>
    <m/>
    <m/>
    <m/>
    <m/>
    <m/>
    <m/>
    <m/>
    <m/>
    <m/>
    <m/>
    <m/>
    <m/>
    <m/>
    <m/>
    <m/>
    <m/>
    <m/>
  </r>
  <r>
    <x v="31"/>
    <x v="25"/>
    <m/>
    <m/>
    <m/>
    <m/>
    <m/>
    <m/>
    <m/>
    <m/>
    <m/>
    <m/>
    <m/>
    <m/>
    <m/>
    <m/>
    <m/>
    <m/>
    <m/>
  </r>
  <r>
    <x v="31"/>
    <x v="26"/>
    <m/>
    <m/>
    <m/>
    <m/>
    <m/>
    <m/>
    <m/>
    <m/>
    <m/>
    <m/>
    <m/>
    <m/>
    <m/>
    <m/>
    <m/>
    <m/>
    <m/>
  </r>
  <r>
    <x v="31"/>
    <x v="27"/>
    <m/>
    <m/>
    <m/>
    <m/>
    <m/>
    <m/>
    <m/>
    <m/>
    <m/>
    <m/>
    <m/>
    <m/>
    <m/>
    <m/>
    <m/>
    <m/>
    <m/>
  </r>
  <r>
    <x v="31"/>
    <x v="28"/>
    <m/>
    <m/>
    <m/>
    <m/>
    <m/>
    <m/>
    <m/>
    <m/>
    <m/>
    <m/>
    <m/>
    <m/>
    <m/>
    <m/>
    <m/>
    <m/>
    <m/>
  </r>
  <r>
    <x v="31"/>
    <x v="29"/>
    <m/>
    <m/>
    <m/>
    <m/>
    <m/>
    <m/>
    <m/>
    <m/>
    <m/>
    <m/>
    <m/>
    <m/>
    <m/>
    <m/>
    <m/>
    <m/>
    <m/>
  </r>
  <r>
    <x v="31"/>
    <x v="30"/>
    <m/>
    <m/>
    <m/>
    <m/>
    <m/>
    <m/>
    <m/>
    <m/>
    <m/>
    <m/>
    <m/>
    <m/>
    <m/>
    <m/>
    <m/>
    <m/>
    <m/>
  </r>
  <r>
    <x v="31"/>
    <x v="31"/>
    <m/>
    <m/>
    <m/>
    <m/>
    <m/>
    <m/>
    <m/>
    <m/>
    <m/>
    <m/>
    <m/>
    <m/>
    <m/>
    <m/>
    <m/>
    <m/>
    <m/>
  </r>
  <r>
    <x v="31"/>
    <x v="32"/>
    <m/>
    <m/>
    <m/>
    <m/>
    <m/>
    <m/>
    <m/>
    <m/>
    <m/>
    <m/>
    <m/>
    <m/>
    <m/>
    <m/>
    <m/>
    <m/>
    <m/>
  </r>
  <r>
    <x v="31"/>
    <x v="33"/>
    <m/>
    <m/>
    <m/>
    <m/>
    <m/>
    <m/>
    <m/>
    <m/>
    <m/>
    <m/>
    <m/>
    <m/>
    <m/>
    <m/>
    <m/>
    <m/>
    <m/>
  </r>
  <r>
    <x v="31"/>
    <x v="34"/>
    <m/>
    <m/>
    <m/>
    <m/>
    <m/>
    <m/>
    <m/>
    <m/>
    <m/>
    <m/>
    <m/>
    <m/>
    <m/>
    <m/>
    <m/>
    <m/>
    <m/>
  </r>
  <r>
    <x v="31"/>
    <x v="35"/>
    <m/>
    <m/>
    <m/>
    <m/>
    <m/>
    <m/>
    <m/>
    <m/>
    <m/>
    <m/>
    <m/>
    <m/>
    <m/>
    <m/>
    <m/>
    <m/>
    <m/>
  </r>
  <r>
    <x v="31"/>
    <x v="36"/>
    <m/>
    <m/>
    <m/>
    <m/>
    <m/>
    <m/>
    <m/>
    <m/>
    <m/>
    <m/>
    <m/>
    <m/>
    <m/>
    <m/>
    <m/>
    <m/>
    <m/>
  </r>
  <r>
    <x v="31"/>
    <x v="37"/>
    <m/>
    <m/>
    <m/>
    <m/>
    <m/>
    <m/>
    <m/>
    <m/>
    <m/>
    <m/>
    <m/>
    <m/>
    <m/>
    <m/>
    <m/>
    <m/>
    <m/>
  </r>
  <r>
    <x v="31"/>
    <x v="38"/>
    <m/>
    <m/>
    <m/>
    <m/>
    <m/>
    <m/>
    <m/>
    <m/>
    <m/>
    <m/>
    <m/>
    <m/>
    <m/>
    <m/>
    <m/>
    <m/>
    <m/>
  </r>
  <r>
    <x v="31"/>
    <x v="39"/>
    <m/>
    <m/>
    <m/>
    <m/>
    <m/>
    <m/>
    <m/>
    <m/>
    <m/>
    <m/>
    <m/>
    <m/>
    <m/>
    <m/>
    <m/>
    <m/>
    <m/>
  </r>
  <r>
    <x v="31"/>
    <x v="40"/>
    <m/>
    <m/>
    <m/>
    <m/>
    <m/>
    <m/>
    <m/>
    <m/>
    <m/>
    <m/>
    <m/>
    <m/>
    <m/>
    <m/>
    <m/>
    <m/>
    <m/>
  </r>
  <r>
    <x v="31"/>
    <x v="41"/>
    <m/>
    <m/>
    <m/>
    <m/>
    <m/>
    <m/>
    <m/>
    <m/>
    <m/>
    <m/>
    <m/>
    <m/>
    <m/>
    <m/>
    <m/>
    <m/>
    <m/>
  </r>
  <r>
    <x v="31"/>
    <x v="42"/>
    <m/>
    <m/>
    <m/>
    <m/>
    <m/>
    <m/>
    <m/>
    <m/>
    <m/>
    <m/>
    <m/>
    <m/>
    <m/>
    <m/>
    <m/>
    <m/>
    <m/>
  </r>
  <r>
    <x v="31"/>
    <x v="43"/>
    <m/>
    <m/>
    <m/>
    <m/>
    <m/>
    <m/>
    <m/>
    <m/>
    <m/>
    <m/>
    <m/>
    <m/>
    <m/>
    <m/>
    <m/>
    <m/>
    <m/>
  </r>
  <r>
    <x v="31"/>
    <x v="44"/>
    <m/>
    <m/>
    <m/>
    <m/>
    <m/>
    <m/>
    <m/>
    <m/>
    <m/>
    <m/>
    <m/>
    <m/>
    <m/>
    <m/>
    <m/>
    <m/>
    <m/>
  </r>
  <r>
    <x v="31"/>
    <x v="45"/>
    <m/>
    <m/>
    <m/>
    <m/>
    <m/>
    <m/>
    <m/>
    <m/>
    <m/>
    <m/>
    <m/>
    <m/>
    <m/>
    <m/>
    <m/>
    <m/>
    <m/>
  </r>
  <r>
    <x v="31"/>
    <x v="46"/>
    <m/>
    <m/>
    <m/>
    <m/>
    <m/>
    <m/>
    <m/>
    <m/>
    <m/>
    <m/>
    <m/>
    <m/>
    <m/>
    <m/>
    <m/>
    <m/>
    <m/>
  </r>
  <r>
    <x v="31"/>
    <x v="47"/>
    <m/>
    <m/>
    <m/>
    <m/>
    <m/>
    <m/>
    <m/>
    <m/>
    <m/>
    <m/>
    <m/>
    <m/>
    <m/>
    <m/>
    <m/>
    <m/>
    <m/>
  </r>
  <r>
    <x v="31"/>
    <x v="48"/>
    <m/>
    <m/>
    <m/>
    <m/>
    <m/>
    <m/>
    <m/>
    <m/>
    <m/>
    <m/>
    <m/>
    <m/>
    <m/>
    <m/>
    <m/>
    <m/>
    <m/>
  </r>
  <r>
    <x v="31"/>
    <x v="49"/>
    <m/>
    <m/>
    <m/>
    <m/>
    <m/>
    <m/>
    <m/>
    <m/>
    <m/>
    <m/>
    <m/>
    <m/>
    <m/>
    <m/>
    <m/>
    <m/>
    <m/>
  </r>
  <r>
    <x v="31"/>
    <x v="50"/>
    <m/>
    <m/>
    <m/>
    <m/>
    <m/>
    <m/>
    <m/>
    <m/>
    <m/>
    <m/>
    <m/>
    <m/>
    <m/>
    <m/>
    <m/>
    <m/>
    <m/>
  </r>
  <r>
    <x v="31"/>
    <x v="51"/>
    <m/>
    <m/>
    <m/>
    <m/>
    <m/>
    <m/>
    <m/>
    <m/>
    <m/>
    <m/>
    <m/>
    <m/>
    <m/>
    <m/>
    <m/>
    <m/>
    <m/>
  </r>
  <r>
    <x v="32"/>
    <x v="0"/>
    <m/>
    <m/>
    <m/>
    <m/>
    <m/>
    <m/>
    <m/>
    <m/>
    <m/>
    <m/>
    <m/>
    <m/>
    <m/>
    <m/>
    <m/>
    <m/>
    <m/>
  </r>
  <r>
    <x v="32"/>
    <x v="1"/>
    <m/>
    <m/>
    <m/>
    <m/>
    <m/>
    <m/>
    <m/>
    <m/>
    <m/>
    <m/>
    <m/>
    <m/>
    <m/>
    <m/>
    <m/>
    <m/>
    <m/>
  </r>
  <r>
    <x v="32"/>
    <x v="2"/>
    <m/>
    <m/>
    <m/>
    <m/>
    <m/>
    <m/>
    <m/>
    <m/>
    <m/>
    <m/>
    <m/>
    <m/>
    <m/>
    <m/>
    <m/>
    <m/>
    <m/>
  </r>
  <r>
    <x v="32"/>
    <x v="3"/>
    <m/>
    <m/>
    <m/>
    <m/>
    <m/>
    <m/>
    <m/>
    <m/>
    <m/>
    <m/>
    <m/>
    <m/>
    <m/>
    <m/>
    <m/>
    <m/>
    <m/>
  </r>
  <r>
    <x v="32"/>
    <x v="4"/>
    <m/>
    <m/>
    <m/>
    <m/>
    <m/>
    <m/>
    <m/>
    <m/>
    <m/>
    <m/>
    <m/>
    <m/>
    <m/>
    <m/>
    <m/>
    <m/>
    <m/>
  </r>
  <r>
    <x v="32"/>
    <x v="5"/>
    <m/>
    <m/>
    <m/>
    <m/>
    <m/>
    <m/>
    <m/>
    <m/>
    <m/>
    <m/>
    <m/>
    <m/>
    <m/>
    <m/>
    <m/>
    <m/>
    <m/>
  </r>
  <r>
    <x v="32"/>
    <x v="6"/>
    <m/>
    <m/>
    <m/>
    <m/>
    <m/>
    <m/>
    <m/>
    <m/>
    <m/>
    <m/>
    <m/>
    <m/>
    <m/>
    <m/>
    <m/>
    <m/>
    <m/>
  </r>
  <r>
    <x v="32"/>
    <x v="7"/>
    <m/>
    <m/>
    <m/>
    <m/>
    <m/>
    <m/>
    <m/>
    <m/>
    <m/>
    <m/>
    <m/>
    <m/>
    <m/>
    <m/>
    <m/>
    <m/>
    <m/>
  </r>
  <r>
    <x v="32"/>
    <x v="8"/>
    <m/>
    <m/>
    <m/>
    <m/>
    <m/>
    <m/>
    <m/>
    <m/>
    <m/>
    <m/>
    <m/>
    <m/>
    <m/>
    <m/>
    <m/>
    <m/>
    <m/>
  </r>
  <r>
    <x v="32"/>
    <x v="9"/>
    <m/>
    <m/>
    <m/>
    <m/>
    <m/>
    <m/>
    <m/>
    <m/>
    <m/>
    <m/>
    <m/>
    <m/>
    <m/>
    <m/>
    <m/>
    <m/>
    <m/>
  </r>
  <r>
    <x v="32"/>
    <x v="10"/>
    <m/>
    <m/>
    <m/>
    <m/>
    <m/>
    <m/>
    <m/>
    <m/>
    <m/>
    <m/>
    <m/>
    <m/>
    <m/>
    <m/>
    <m/>
    <m/>
    <m/>
  </r>
  <r>
    <x v="32"/>
    <x v="11"/>
    <m/>
    <m/>
    <m/>
    <m/>
    <m/>
    <m/>
    <m/>
    <m/>
    <m/>
    <m/>
    <m/>
    <m/>
    <m/>
    <m/>
    <m/>
    <m/>
    <m/>
  </r>
  <r>
    <x v="32"/>
    <x v="12"/>
    <m/>
    <m/>
    <m/>
    <m/>
    <m/>
    <m/>
    <m/>
    <m/>
    <m/>
    <m/>
    <m/>
    <m/>
    <m/>
    <m/>
    <m/>
    <m/>
    <m/>
  </r>
  <r>
    <x v="32"/>
    <x v="13"/>
    <m/>
    <m/>
    <m/>
    <m/>
    <m/>
    <m/>
    <m/>
    <m/>
    <m/>
    <m/>
    <m/>
    <m/>
    <m/>
    <m/>
    <m/>
    <m/>
    <m/>
  </r>
  <r>
    <x v="32"/>
    <x v="14"/>
    <m/>
    <m/>
    <m/>
    <m/>
    <m/>
    <m/>
    <m/>
    <m/>
    <m/>
    <m/>
    <m/>
    <m/>
    <m/>
    <m/>
    <m/>
    <m/>
    <m/>
  </r>
  <r>
    <x v="32"/>
    <x v="15"/>
    <m/>
    <m/>
    <m/>
    <m/>
    <m/>
    <m/>
    <m/>
    <m/>
    <m/>
    <m/>
    <m/>
    <m/>
    <m/>
    <m/>
    <m/>
    <m/>
    <m/>
  </r>
  <r>
    <x v="32"/>
    <x v="16"/>
    <m/>
    <m/>
    <m/>
    <m/>
    <m/>
    <m/>
    <m/>
    <m/>
    <m/>
    <m/>
    <m/>
    <m/>
    <m/>
    <m/>
    <m/>
    <m/>
    <m/>
  </r>
  <r>
    <x v="32"/>
    <x v="17"/>
    <m/>
    <m/>
    <m/>
    <m/>
    <m/>
    <m/>
    <m/>
    <m/>
    <m/>
    <m/>
    <m/>
    <m/>
    <m/>
    <m/>
    <m/>
    <m/>
    <m/>
  </r>
  <r>
    <x v="32"/>
    <x v="18"/>
    <m/>
    <m/>
    <m/>
    <m/>
    <m/>
    <m/>
    <m/>
    <m/>
    <m/>
    <m/>
    <m/>
    <m/>
    <m/>
    <m/>
    <m/>
    <m/>
    <m/>
  </r>
  <r>
    <x v="32"/>
    <x v="19"/>
    <m/>
    <m/>
    <m/>
    <m/>
    <m/>
    <m/>
    <m/>
    <m/>
    <m/>
    <m/>
    <m/>
    <m/>
    <m/>
    <m/>
    <m/>
    <m/>
    <m/>
  </r>
  <r>
    <x v="32"/>
    <x v="20"/>
    <m/>
    <m/>
    <m/>
    <m/>
    <m/>
    <m/>
    <m/>
    <m/>
    <m/>
    <m/>
    <m/>
    <m/>
    <m/>
    <m/>
    <m/>
    <m/>
    <m/>
  </r>
  <r>
    <x v="32"/>
    <x v="21"/>
    <m/>
    <m/>
    <m/>
    <m/>
    <m/>
    <m/>
    <m/>
    <m/>
    <m/>
    <m/>
    <m/>
    <m/>
    <m/>
    <m/>
    <m/>
    <m/>
    <m/>
  </r>
  <r>
    <x v="32"/>
    <x v="22"/>
    <m/>
    <m/>
    <m/>
    <m/>
    <m/>
    <m/>
    <m/>
    <m/>
    <m/>
    <m/>
    <m/>
    <m/>
    <m/>
    <m/>
    <m/>
    <m/>
    <m/>
  </r>
  <r>
    <x v="32"/>
    <x v="23"/>
    <m/>
    <m/>
    <m/>
    <m/>
    <m/>
    <m/>
    <m/>
    <m/>
    <m/>
    <m/>
    <m/>
    <m/>
    <m/>
    <m/>
    <m/>
    <m/>
    <m/>
  </r>
  <r>
    <x v="32"/>
    <x v="24"/>
    <m/>
    <m/>
    <m/>
    <m/>
    <m/>
    <m/>
    <m/>
    <m/>
    <m/>
    <m/>
    <m/>
    <m/>
    <m/>
    <m/>
    <m/>
    <m/>
    <m/>
  </r>
  <r>
    <x v="32"/>
    <x v="25"/>
    <m/>
    <m/>
    <m/>
    <m/>
    <m/>
    <m/>
    <m/>
    <m/>
    <m/>
    <m/>
    <m/>
    <m/>
    <m/>
    <m/>
    <m/>
    <m/>
    <m/>
  </r>
  <r>
    <x v="32"/>
    <x v="26"/>
    <m/>
    <m/>
    <m/>
    <m/>
    <m/>
    <m/>
    <m/>
    <m/>
    <m/>
    <m/>
    <m/>
    <m/>
    <m/>
    <m/>
    <m/>
    <m/>
    <m/>
  </r>
  <r>
    <x v="32"/>
    <x v="27"/>
    <m/>
    <m/>
    <m/>
    <m/>
    <m/>
    <m/>
    <m/>
    <m/>
    <m/>
    <m/>
    <m/>
    <m/>
    <m/>
    <m/>
    <m/>
    <m/>
    <m/>
  </r>
  <r>
    <x v="32"/>
    <x v="28"/>
    <m/>
    <m/>
    <m/>
    <m/>
    <m/>
    <m/>
    <m/>
    <m/>
    <m/>
    <m/>
    <m/>
    <m/>
    <m/>
    <m/>
    <m/>
    <m/>
    <m/>
  </r>
  <r>
    <x v="32"/>
    <x v="29"/>
    <m/>
    <m/>
    <m/>
    <m/>
    <m/>
    <m/>
    <m/>
    <m/>
    <m/>
    <m/>
    <m/>
    <m/>
    <m/>
    <m/>
    <m/>
    <m/>
    <m/>
  </r>
  <r>
    <x v="32"/>
    <x v="30"/>
    <m/>
    <m/>
    <m/>
    <m/>
    <m/>
    <m/>
    <m/>
    <m/>
    <m/>
    <m/>
    <m/>
    <m/>
    <m/>
    <m/>
    <m/>
    <m/>
    <m/>
  </r>
  <r>
    <x v="32"/>
    <x v="31"/>
    <m/>
    <m/>
    <m/>
    <m/>
    <m/>
    <m/>
    <m/>
    <m/>
    <m/>
    <m/>
    <m/>
    <m/>
    <m/>
    <m/>
    <m/>
    <m/>
    <m/>
  </r>
  <r>
    <x v="32"/>
    <x v="32"/>
    <m/>
    <m/>
    <m/>
    <m/>
    <m/>
    <m/>
    <m/>
    <m/>
    <m/>
    <m/>
    <m/>
    <m/>
    <m/>
    <m/>
    <m/>
    <m/>
    <m/>
  </r>
  <r>
    <x v="32"/>
    <x v="33"/>
    <m/>
    <m/>
    <m/>
    <m/>
    <m/>
    <m/>
    <m/>
    <m/>
    <m/>
    <m/>
    <m/>
    <m/>
    <m/>
    <m/>
    <m/>
    <m/>
    <m/>
  </r>
  <r>
    <x v="32"/>
    <x v="34"/>
    <m/>
    <m/>
    <m/>
    <m/>
    <m/>
    <m/>
    <n v="1"/>
    <n v="1"/>
    <m/>
    <m/>
    <n v="1"/>
    <n v="1"/>
    <n v="1"/>
    <n v="1"/>
    <n v="1"/>
    <n v="1"/>
    <m/>
  </r>
  <r>
    <x v="32"/>
    <x v="35"/>
    <m/>
    <m/>
    <m/>
    <m/>
    <m/>
    <m/>
    <m/>
    <m/>
    <m/>
    <m/>
    <m/>
    <m/>
    <m/>
    <m/>
    <m/>
    <m/>
    <m/>
  </r>
  <r>
    <x v="32"/>
    <x v="36"/>
    <m/>
    <m/>
    <m/>
    <m/>
    <m/>
    <m/>
    <m/>
    <m/>
    <m/>
    <m/>
    <m/>
    <m/>
    <m/>
    <m/>
    <m/>
    <m/>
    <m/>
  </r>
  <r>
    <x v="32"/>
    <x v="37"/>
    <m/>
    <m/>
    <m/>
    <m/>
    <m/>
    <m/>
    <m/>
    <m/>
    <m/>
    <m/>
    <m/>
    <m/>
    <m/>
    <m/>
    <m/>
    <m/>
    <m/>
  </r>
  <r>
    <x v="32"/>
    <x v="38"/>
    <m/>
    <m/>
    <m/>
    <m/>
    <m/>
    <m/>
    <m/>
    <m/>
    <m/>
    <m/>
    <m/>
    <m/>
    <m/>
    <m/>
    <m/>
    <m/>
    <m/>
  </r>
  <r>
    <x v="32"/>
    <x v="39"/>
    <m/>
    <m/>
    <m/>
    <m/>
    <m/>
    <m/>
    <m/>
    <m/>
    <m/>
    <m/>
    <m/>
    <m/>
    <m/>
    <m/>
    <m/>
    <m/>
    <m/>
  </r>
  <r>
    <x v="32"/>
    <x v="40"/>
    <m/>
    <m/>
    <m/>
    <m/>
    <m/>
    <m/>
    <m/>
    <m/>
    <m/>
    <m/>
    <m/>
    <m/>
    <m/>
    <m/>
    <m/>
    <m/>
    <m/>
  </r>
  <r>
    <x v="32"/>
    <x v="41"/>
    <m/>
    <m/>
    <m/>
    <m/>
    <m/>
    <m/>
    <m/>
    <m/>
    <m/>
    <m/>
    <m/>
    <m/>
    <m/>
    <m/>
    <m/>
    <m/>
    <m/>
  </r>
  <r>
    <x v="32"/>
    <x v="42"/>
    <m/>
    <m/>
    <m/>
    <m/>
    <m/>
    <m/>
    <m/>
    <m/>
    <m/>
    <m/>
    <m/>
    <m/>
    <m/>
    <m/>
    <m/>
    <m/>
    <m/>
  </r>
  <r>
    <x v="32"/>
    <x v="43"/>
    <m/>
    <m/>
    <m/>
    <m/>
    <m/>
    <m/>
    <m/>
    <m/>
    <m/>
    <m/>
    <m/>
    <m/>
    <m/>
    <m/>
    <m/>
    <m/>
    <m/>
  </r>
  <r>
    <x v="32"/>
    <x v="44"/>
    <m/>
    <m/>
    <m/>
    <m/>
    <m/>
    <m/>
    <m/>
    <m/>
    <m/>
    <m/>
    <m/>
    <m/>
    <m/>
    <m/>
    <m/>
    <m/>
    <m/>
  </r>
  <r>
    <x v="32"/>
    <x v="45"/>
    <m/>
    <m/>
    <m/>
    <m/>
    <m/>
    <m/>
    <m/>
    <m/>
    <m/>
    <m/>
    <m/>
    <m/>
    <m/>
    <m/>
    <m/>
    <m/>
    <m/>
  </r>
  <r>
    <x v="32"/>
    <x v="46"/>
    <m/>
    <m/>
    <m/>
    <m/>
    <m/>
    <m/>
    <m/>
    <m/>
    <m/>
    <m/>
    <m/>
    <m/>
    <m/>
    <m/>
    <m/>
    <m/>
    <m/>
  </r>
  <r>
    <x v="32"/>
    <x v="47"/>
    <m/>
    <m/>
    <m/>
    <m/>
    <m/>
    <m/>
    <m/>
    <m/>
    <m/>
    <m/>
    <m/>
    <m/>
    <m/>
    <m/>
    <m/>
    <m/>
    <m/>
  </r>
  <r>
    <x v="32"/>
    <x v="48"/>
    <m/>
    <m/>
    <m/>
    <m/>
    <m/>
    <m/>
    <m/>
    <m/>
    <m/>
    <m/>
    <m/>
    <m/>
    <m/>
    <m/>
    <m/>
    <m/>
    <m/>
  </r>
  <r>
    <x v="32"/>
    <x v="49"/>
    <m/>
    <m/>
    <m/>
    <m/>
    <m/>
    <m/>
    <m/>
    <m/>
    <m/>
    <m/>
    <m/>
    <m/>
    <m/>
    <m/>
    <m/>
    <m/>
    <m/>
  </r>
  <r>
    <x v="32"/>
    <x v="50"/>
    <m/>
    <m/>
    <m/>
    <m/>
    <m/>
    <m/>
    <m/>
    <m/>
    <m/>
    <m/>
    <m/>
    <m/>
    <m/>
    <m/>
    <m/>
    <m/>
    <m/>
  </r>
  <r>
    <x v="32"/>
    <x v="51"/>
    <m/>
    <m/>
    <m/>
    <m/>
    <m/>
    <m/>
    <m/>
    <m/>
    <m/>
    <m/>
    <m/>
    <m/>
    <m/>
    <m/>
    <m/>
    <m/>
    <m/>
  </r>
  <r>
    <x v="33"/>
    <x v="0"/>
    <m/>
    <m/>
    <m/>
    <m/>
    <m/>
    <m/>
    <m/>
    <m/>
    <m/>
    <m/>
    <m/>
    <m/>
    <m/>
    <m/>
    <m/>
    <m/>
    <m/>
  </r>
  <r>
    <x v="33"/>
    <x v="1"/>
    <m/>
    <m/>
    <m/>
    <m/>
    <m/>
    <m/>
    <m/>
    <m/>
    <m/>
    <m/>
    <m/>
    <m/>
    <m/>
    <m/>
    <m/>
    <m/>
    <m/>
  </r>
  <r>
    <x v="33"/>
    <x v="2"/>
    <m/>
    <m/>
    <m/>
    <m/>
    <m/>
    <m/>
    <m/>
    <m/>
    <m/>
    <m/>
    <m/>
    <m/>
    <m/>
    <m/>
    <m/>
    <m/>
    <m/>
  </r>
  <r>
    <x v="33"/>
    <x v="3"/>
    <m/>
    <m/>
    <m/>
    <m/>
    <m/>
    <m/>
    <m/>
    <m/>
    <m/>
    <m/>
    <m/>
    <m/>
    <m/>
    <m/>
    <m/>
    <m/>
    <m/>
  </r>
  <r>
    <x v="33"/>
    <x v="4"/>
    <m/>
    <m/>
    <m/>
    <m/>
    <m/>
    <m/>
    <m/>
    <m/>
    <m/>
    <m/>
    <m/>
    <m/>
    <m/>
    <m/>
    <m/>
    <m/>
    <m/>
  </r>
  <r>
    <x v="33"/>
    <x v="5"/>
    <m/>
    <m/>
    <m/>
    <m/>
    <m/>
    <m/>
    <m/>
    <m/>
    <m/>
    <m/>
    <m/>
    <m/>
    <m/>
    <m/>
    <m/>
    <m/>
    <m/>
  </r>
  <r>
    <x v="33"/>
    <x v="6"/>
    <m/>
    <m/>
    <m/>
    <m/>
    <m/>
    <m/>
    <m/>
    <m/>
    <m/>
    <m/>
    <m/>
    <m/>
    <m/>
    <m/>
    <m/>
    <m/>
    <m/>
  </r>
  <r>
    <x v="33"/>
    <x v="7"/>
    <m/>
    <m/>
    <m/>
    <m/>
    <m/>
    <m/>
    <m/>
    <m/>
    <m/>
    <m/>
    <m/>
    <m/>
    <m/>
    <m/>
    <m/>
    <m/>
    <m/>
  </r>
  <r>
    <x v="33"/>
    <x v="8"/>
    <m/>
    <m/>
    <m/>
    <m/>
    <m/>
    <m/>
    <m/>
    <m/>
    <m/>
    <m/>
    <m/>
    <m/>
    <m/>
    <m/>
    <m/>
    <m/>
    <m/>
  </r>
  <r>
    <x v="33"/>
    <x v="9"/>
    <m/>
    <m/>
    <m/>
    <m/>
    <m/>
    <m/>
    <m/>
    <m/>
    <m/>
    <m/>
    <m/>
    <m/>
    <m/>
    <m/>
    <m/>
    <m/>
    <m/>
  </r>
  <r>
    <x v="33"/>
    <x v="10"/>
    <m/>
    <m/>
    <m/>
    <m/>
    <m/>
    <m/>
    <m/>
    <m/>
    <m/>
    <m/>
    <m/>
    <m/>
    <m/>
    <m/>
    <m/>
    <m/>
    <m/>
  </r>
  <r>
    <x v="33"/>
    <x v="11"/>
    <m/>
    <m/>
    <m/>
    <m/>
    <m/>
    <m/>
    <m/>
    <m/>
    <m/>
    <m/>
    <m/>
    <m/>
    <m/>
    <m/>
    <m/>
    <m/>
    <m/>
  </r>
  <r>
    <x v="33"/>
    <x v="12"/>
    <m/>
    <m/>
    <m/>
    <m/>
    <m/>
    <m/>
    <m/>
    <m/>
    <m/>
    <m/>
    <m/>
    <m/>
    <m/>
    <m/>
    <m/>
    <m/>
    <m/>
  </r>
  <r>
    <x v="33"/>
    <x v="13"/>
    <m/>
    <m/>
    <m/>
    <m/>
    <m/>
    <m/>
    <m/>
    <m/>
    <m/>
    <m/>
    <m/>
    <m/>
    <m/>
    <m/>
    <m/>
    <m/>
    <m/>
  </r>
  <r>
    <x v="33"/>
    <x v="14"/>
    <m/>
    <m/>
    <m/>
    <m/>
    <m/>
    <m/>
    <m/>
    <m/>
    <m/>
    <m/>
    <m/>
    <m/>
    <m/>
    <m/>
    <m/>
    <m/>
    <m/>
  </r>
  <r>
    <x v="33"/>
    <x v="15"/>
    <m/>
    <m/>
    <m/>
    <m/>
    <m/>
    <m/>
    <m/>
    <m/>
    <m/>
    <m/>
    <m/>
    <m/>
    <m/>
    <m/>
    <m/>
    <m/>
    <m/>
  </r>
  <r>
    <x v="33"/>
    <x v="16"/>
    <m/>
    <m/>
    <m/>
    <m/>
    <m/>
    <m/>
    <m/>
    <m/>
    <m/>
    <m/>
    <m/>
    <m/>
    <m/>
    <m/>
    <m/>
    <m/>
    <m/>
  </r>
  <r>
    <x v="33"/>
    <x v="17"/>
    <m/>
    <m/>
    <m/>
    <m/>
    <m/>
    <m/>
    <m/>
    <m/>
    <m/>
    <m/>
    <m/>
    <m/>
    <m/>
    <m/>
    <m/>
    <m/>
    <m/>
  </r>
  <r>
    <x v="33"/>
    <x v="18"/>
    <m/>
    <m/>
    <m/>
    <m/>
    <m/>
    <m/>
    <m/>
    <m/>
    <m/>
    <m/>
    <m/>
    <m/>
    <m/>
    <m/>
    <m/>
    <m/>
    <m/>
  </r>
  <r>
    <x v="33"/>
    <x v="19"/>
    <m/>
    <m/>
    <m/>
    <m/>
    <m/>
    <m/>
    <m/>
    <m/>
    <m/>
    <m/>
    <m/>
    <m/>
    <m/>
    <m/>
    <m/>
    <m/>
    <m/>
  </r>
  <r>
    <x v="33"/>
    <x v="20"/>
    <m/>
    <m/>
    <m/>
    <m/>
    <m/>
    <m/>
    <m/>
    <n v="4"/>
    <m/>
    <n v="4"/>
    <n v="4"/>
    <n v="8"/>
    <m/>
    <n v="8"/>
    <n v="2"/>
    <m/>
    <m/>
  </r>
  <r>
    <x v="33"/>
    <x v="21"/>
    <m/>
    <m/>
    <m/>
    <m/>
    <m/>
    <m/>
    <m/>
    <m/>
    <m/>
    <m/>
    <m/>
    <m/>
    <m/>
    <m/>
    <m/>
    <m/>
    <m/>
  </r>
  <r>
    <x v="33"/>
    <x v="22"/>
    <m/>
    <m/>
    <m/>
    <m/>
    <m/>
    <m/>
    <m/>
    <m/>
    <m/>
    <m/>
    <m/>
    <m/>
    <m/>
    <m/>
    <m/>
    <m/>
    <m/>
  </r>
  <r>
    <x v="33"/>
    <x v="23"/>
    <m/>
    <m/>
    <m/>
    <m/>
    <m/>
    <m/>
    <m/>
    <n v="4"/>
    <m/>
    <n v="4"/>
    <m/>
    <n v="8"/>
    <m/>
    <n v="4"/>
    <m/>
    <m/>
    <m/>
  </r>
  <r>
    <x v="33"/>
    <x v="24"/>
    <m/>
    <m/>
    <m/>
    <m/>
    <m/>
    <m/>
    <m/>
    <m/>
    <m/>
    <m/>
    <m/>
    <m/>
    <m/>
    <m/>
    <m/>
    <m/>
    <m/>
  </r>
  <r>
    <x v="33"/>
    <x v="25"/>
    <m/>
    <m/>
    <m/>
    <m/>
    <m/>
    <m/>
    <m/>
    <m/>
    <m/>
    <m/>
    <m/>
    <m/>
    <m/>
    <m/>
    <m/>
    <m/>
    <m/>
  </r>
  <r>
    <x v="33"/>
    <x v="26"/>
    <m/>
    <m/>
    <m/>
    <m/>
    <m/>
    <m/>
    <m/>
    <n v="4"/>
    <m/>
    <n v="4"/>
    <m/>
    <n v="8"/>
    <m/>
    <n v="4"/>
    <m/>
    <m/>
    <m/>
  </r>
  <r>
    <x v="33"/>
    <x v="27"/>
    <m/>
    <m/>
    <m/>
    <m/>
    <m/>
    <m/>
    <m/>
    <m/>
    <m/>
    <m/>
    <m/>
    <m/>
    <m/>
    <m/>
    <m/>
    <m/>
    <m/>
  </r>
  <r>
    <x v="33"/>
    <x v="28"/>
    <m/>
    <m/>
    <m/>
    <m/>
    <m/>
    <m/>
    <m/>
    <m/>
    <m/>
    <m/>
    <m/>
    <m/>
    <m/>
    <m/>
    <m/>
    <m/>
    <m/>
  </r>
  <r>
    <x v="33"/>
    <x v="29"/>
    <m/>
    <m/>
    <m/>
    <m/>
    <m/>
    <m/>
    <m/>
    <m/>
    <m/>
    <m/>
    <m/>
    <m/>
    <m/>
    <m/>
    <m/>
    <m/>
    <m/>
  </r>
  <r>
    <x v="33"/>
    <x v="30"/>
    <m/>
    <m/>
    <m/>
    <m/>
    <m/>
    <m/>
    <m/>
    <m/>
    <m/>
    <m/>
    <m/>
    <m/>
    <m/>
    <m/>
    <m/>
    <m/>
    <m/>
  </r>
  <r>
    <x v="33"/>
    <x v="31"/>
    <m/>
    <m/>
    <m/>
    <m/>
    <m/>
    <m/>
    <m/>
    <m/>
    <m/>
    <m/>
    <m/>
    <m/>
    <m/>
    <m/>
    <m/>
    <m/>
    <m/>
  </r>
  <r>
    <x v="33"/>
    <x v="32"/>
    <m/>
    <m/>
    <m/>
    <m/>
    <m/>
    <m/>
    <m/>
    <m/>
    <m/>
    <m/>
    <m/>
    <m/>
    <m/>
    <m/>
    <m/>
    <m/>
    <m/>
  </r>
  <r>
    <x v="33"/>
    <x v="33"/>
    <m/>
    <m/>
    <m/>
    <m/>
    <m/>
    <m/>
    <m/>
    <m/>
    <m/>
    <m/>
    <m/>
    <m/>
    <m/>
    <m/>
    <m/>
    <m/>
    <m/>
  </r>
  <r>
    <x v="33"/>
    <x v="34"/>
    <m/>
    <m/>
    <m/>
    <m/>
    <m/>
    <m/>
    <m/>
    <m/>
    <m/>
    <m/>
    <m/>
    <m/>
    <m/>
    <m/>
    <m/>
    <m/>
    <m/>
  </r>
  <r>
    <x v="33"/>
    <x v="35"/>
    <m/>
    <m/>
    <m/>
    <m/>
    <m/>
    <m/>
    <m/>
    <m/>
    <m/>
    <m/>
    <m/>
    <m/>
    <m/>
    <m/>
    <m/>
    <m/>
    <m/>
  </r>
  <r>
    <x v="33"/>
    <x v="36"/>
    <m/>
    <m/>
    <m/>
    <m/>
    <m/>
    <m/>
    <m/>
    <m/>
    <m/>
    <m/>
    <m/>
    <m/>
    <m/>
    <m/>
    <m/>
    <m/>
    <m/>
  </r>
  <r>
    <x v="33"/>
    <x v="37"/>
    <m/>
    <m/>
    <m/>
    <m/>
    <m/>
    <m/>
    <m/>
    <m/>
    <m/>
    <m/>
    <m/>
    <m/>
    <m/>
    <m/>
    <m/>
    <m/>
    <m/>
  </r>
  <r>
    <x v="33"/>
    <x v="38"/>
    <m/>
    <m/>
    <m/>
    <m/>
    <m/>
    <m/>
    <m/>
    <m/>
    <m/>
    <m/>
    <m/>
    <m/>
    <m/>
    <m/>
    <m/>
    <m/>
    <m/>
  </r>
  <r>
    <x v="33"/>
    <x v="39"/>
    <m/>
    <m/>
    <m/>
    <m/>
    <m/>
    <m/>
    <m/>
    <m/>
    <m/>
    <m/>
    <m/>
    <m/>
    <m/>
    <m/>
    <m/>
    <m/>
    <m/>
  </r>
  <r>
    <x v="33"/>
    <x v="40"/>
    <m/>
    <m/>
    <m/>
    <m/>
    <m/>
    <m/>
    <m/>
    <m/>
    <m/>
    <m/>
    <m/>
    <m/>
    <m/>
    <m/>
    <m/>
    <m/>
    <m/>
  </r>
  <r>
    <x v="33"/>
    <x v="41"/>
    <m/>
    <m/>
    <m/>
    <m/>
    <m/>
    <m/>
    <m/>
    <m/>
    <m/>
    <m/>
    <m/>
    <m/>
    <m/>
    <m/>
    <m/>
    <m/>
    <m/>
  </r>
  <r>
    <x v="33"/>
    <x v="42"/>
    <m/>
    <m/>
    <m/>
    <m/>
    <m/>
    <m/>
    <m/>
    <m/>
    <m/>
    <m/>
    <m/>
    <m/>
    <m/>
    <m/>
    <m/>
    <m/>
    <m/>
  </r>
  <r>
    <x v="33"/>
    <x v="43"/>
    <m/>
    <m/>
    <m/>
    <m/>
    <m/>
    <m/>
    <m/>
    <m/>
    <m/>
    <m/>
    <m/>
    <m/>
    <m/>
    <m/>
    <m/>
    <m/>
    <m/>
  </r>
  <r>
    <x v="33"/>
    <x v="44"/>
    <m/>
    <m/>
    <m/>
    <m/>
    <m/>
    <m/>
    <m/>
    <m/>
    <m/>
    <m/>
    <m/>
    <m/>
    <m/>
    <m/>
    <m/>
    <m/>
    <m/>
  </r>
  <r>
    <x v="33"/>
    <x v="45"/>
    <m/>
    <m/>
    <m/>
    <m/>
    <m/>
    <m/>
    <m/>
    <m/>
    <m/>
    <m/>
    <m/>
    <m/>
    <m/>
    <m/>
    <m/>
    <m/>
    <m/>
  </r>
  <r>
    <x v="33"/>
    <x v="46"/>
    <m/>
    <m/>
    <m/>
    <m/>
    <m/>
    <m/>
    <m/>
    <m/>
    <m/>
    <m/>
    <m/>
    <m/>
    <m/>
    <m/>
    <m/>
    <m/>
    <m/>
  </r>
  <r>
    <x v="33"/>
    <x v="47"/>
    <m/>
    <m/>
    <m/>
    <m/>
    <m/>
    <m/>
    <m/>
    <m/>
    <m/>
    <m/>
    <m/>
    <m/>
    <m/>
    <m/>
    <m/>
    <m/>
    <m/>
  </r>
  <r>
    <x v="33"/>
    <x v="48"/>
    <m/>
    <m/>
    <m/>
    <m/>
    <m/>
    <m/>
    <m/>
    <m/>
    <m/>
    <m/>
    <m/>
    <m/>
    <m/>
    <m/>
    <m/>
    <m/>
    <m/>
  </r>
  <r>
    <x v="33"/>
    <x v="49"/>
    <m/>
    <m/>
    <m/>
    <m/>
    <m/>
    <m/>
    <m/>
    <m/>
    <m/>
    <m/>
    <m/>
    <m/>
    <m/>
    <m/>
    <m/>
    <m/>
    <m/>
  </r>
  <r>
    <x v="33"/>
    <x v="50"/>
    <m/>
    <m/>
    <m/>
    <m/>
    <m/>
    <m/>
    <m/>
    <m/>
    <m/>
    <m/>
    <m/>
    <m/>
    <m/>
    <m/>
    <m/>
    <m/>
    <m/>
  </r>
  <r>
    <x v="33"/>
    <x v="51"/>
    <m/>
    <m/>
    <m/>
    <m/>
    <m/>
    <m/>
    <m/>
    <m/>
    <m/>
    <m/>
    <m/>
    <m/>
    <m/>
    <m/>
    <m/>
    <m/>
    <m/>
  </r>
  <r>
    <x v="34"/>
    <x v="0"/>
    <m/>
    <m/>
    <m/>
    <m/>
    <m/>
    <m/>
    <m/>
    <m/>
    <m/>
    <m/>
    <m/>
    <m/>
    <m/>
    <m/>
    <m/>
    <m/>
    <m/>
  </r>
  <r>
    <x v="34"/>
    <x v="1"/>
    <m/>
    <m/>
    <m/>
    <m/>
    <m/>
    <m/>
    <m/>
    <m/>
    <m/>
    <m/>
    <m/>
    <m/>
    <m/>
    <m/>
    <m/>
    <m/>
    <m/>
  </r>
  <r>
    <x v="34"/>
    <x v="2"/>
    <m/>
    <m/>
    <m/>
    <m/>
    <m/>
    <m/>
    <m/>
    <m/>
    <m/>
    <m/>
    <m/>
    <m/>
    <m/>
    <m/>
    <m/>
    <m/>
    <m/>
  </r>
  <r>
    <x v="34"/>
    <x v="3"/>
    <m/>
    <m/>
    <m/>
    <m/>
    <m/>
    <m/>
    <m/>
    <m/>
    <m/>
    <m/>
    <m/>
    <m/>
    <m/>
    <m/>
    <m/>
    <m/>
    <m/>
  </r>
  <r>
    <x v="34"/>
    <x v="4"/>
    <m/>
    <m/>
    <m/>
    <m/>
    <m/>
    <m/>
    <m/>
    <m/>
    <m/>
    <m/>
    <m/>
    <m/>
    <m/>
    <m/>
    <m/>
    <m/>
    <m/>
  </r>
  <r>
    <x v="34"/>
    <x v="5"/>
    <m/>
    <m/>
    <m/>
    <m/>
    <m/>
    <m/>
    <m/>
    <m/>
    <m/>
    <m/>
    <m/>
    <m/>
    <m/>
    <m/>
    <m/>
    <m/>
    <m/>
  </r>
  <r>
    <x v="34"/>
    <x v="6"/>
    <m/>
    <m/>
    <m/>
    <m/>
    <m/>
    <m/>
    <m/>
    <m/>
    <m/>
    <m/>
    <m/>
    <m/>
    <m/>
    <m/>
    <m/>
    <m/>
    <m/>
  </r>
  <r>
    <x v="34"/>
    <x v="7"/>
    <m/>
    <m/>
    <m/>
    <m/>
    <m/>
    <m/>
    <m/>
    <m/>
    <m/>
    <m/>
    <m/>
    <m/>
    <m/>
    <m/>
    <m/>
    <m/>
    <m/>
  </r>
  <r>
    <x v="34"/>
    <x v="8"/>
    <m/>
    <m/>
    <m/>
    <m/>
    <m/>
    <m/>
    <m/>
    <m/>
    <m/>
    <m/>
    <m/>
    <m/>
    <m/>
    <m/>
    <m/>
    <m/>
    <m/>
  </r>
  <r>
    <x v="34"/>
    <x v="9"/>
    <m/>
    <m/>
    <m/>
    <m/>
    <m/>
    <m/>
    <m/>
    <m/>
    <m/>
    <m/>
    <m/>
    <m/>
    <m/>
    <m/>
    <m/>
    <m/>
    <m/>
  </r>
  <r>
    <x v="34"/>
    <x v="10"/>
    <m/>
    <m/>
    <m/>
    <m/>
    <m/>
    <m/>
    <m/>
    <m/>
    <m/>
    <m/>
    <m/>
    <m/>
    <m/>
    <m/>
    <m/>
    <m/>
    <m/>
  </r>
  <r>
    <x v="34"/>
    <x v="11"/>
    <m/>
    <m/>
    <m/>
    <m/>
    <m/>
    <m/>
    <m/>
    <m/>
    <m/>
    <m/>
    <m/>
    <m/>
    <m/>
    <m/>
    <m/>
    <m/>
    <m/>
  </r>
  <r>
    <x v="34"/>
    <x v="12"/>
    <m/>
    <m/>
    <m/>
    <m/>
    <m/>
    <m/>
    <m/>
    <m/>
    <m/>
    <m/>
    <m/>
    <m/>
    <m/>
    <m/>
    <m/>
    <m/>
    <m/>
  </r>
  <r>
    <x v="34"/>
    <x v="13"/>
    <m/>
    <m/>
    <m/>
    <m/>
    <m/>
    <m/>
    <m/>
    <m/>
    <m/>
    <m/>
    <m/>
    <m/>
    <m/>
    <m/>
    <m/>
    <m/>
    <m/>
  </r>
  <r>
    <x v="34"/>
    <x v="14"/>
    <m/>
    <m/>
    <m/>
    <m/>
    <m/>
    <m/>
    <m/>
    <m/>
    <m/>
    <m/>
    <m/>
    <m/>
    <m/>
    <m/>
    <m/>
    <m/>
    <m/>
  </r>
  <r>
    <x v="34"/>
    <x v="15"/>
    <m/>
    <m/>
    <m/>
    <m/>
    <m/>
    <m/>
    <m/>
    <m/>
    <m/>
    <m/>
    <m/>
    <m/>
    <m/>
    <m/>
    <m/>
    <m/>
    <m/>
  </r>
  <r>
    <x v="34"/>
    <x v="16"/>
    <m/>
    <m/>
    <m/>
    <m/>
    <m/>
    <m/>
    <m/>
    <m/>
    <m/>
    <m/>
    <m/>
    <m/>
    <m/>
    <m/>
    <m/>
    <m/>
    <m/>
  </r>
  <r>
    <x v="34"/>
    <x v="17"/>
    <m/>
    <m/>
    <m/>
    <m/>
    <m/>
    <m/>
    <m/>
    <m/>
    <m/>
    <m/>
    <m/>
    <m/>
    <m/>
    <m/>
    <m/>
    <m/>
    <m/>
  </r>
  <r>
    <x v="34"/>
    <x v="18"/>
    <m/>
    <m/>
    <m/>
    <m/>
    <m/>
    <m/>
    <m/>
    <m/>
    <m/>
    <m/>
    <m/>
    <m/>
    <m/>
    <m/>
    <m/>
    <m/>
    <m/>
  </r>
  <r>
    <x v="34"/>
    <x v="19"/>
    <m/>
    <m/>
    <m/>
    <m/>
    <m/>
    <m/>
    <m/>
    <m/>
    <m/>
    <m/>
    <m/>
    <m/>
    <m/>
    <m/>
    <m/>
    <m/>
    <m/>
  </r>
  <r>
    <x v="34"/>
    <x v="20"/>
    <m/>
    <m/>
    <m/>
    <m/>
    <m/>
    <m/>
    <m/>
    <m/>
    <m/>
    <m/>
    <m/>
    <m/>
    <m/>
    <m/>
    <m/>
    <m/>
    <m/>
  </r>
  <r>
    <x v="34"/>
    <x v="21"/>
    <m/>
    <m/>
    <m/>
    <m/>
    <m/>
    <m/>
    <m/>
    <m/>
    <m/>
    <m/>
    <m/>
    <m/>
    <m/>
    <m/>
    <m/>
    <m/>
    <m/>
  </r>
  <r>
    <x v="34"/>
    <x v="22"/>
    <m/>
    <m/>
    <m/>
    <m/>
    <m/>
    <m/>
    <m/>
    <m/>
    <m/>
    <m/>
    <m/>
    <m/>
    <m/>
    <m/>
    <m/>
    <m/>
    <m/>
  </r>
  <r>
    <x v="34"/>
    <x v="23"/>
    <m/>
    <m/>
    <m/>
    <m/>
    <m/>
    <m/>
    <m/>
    <m/>
    <m/>
    <m/>
    <m/>
    <m/>
    <m/>
    <m/>
    <m/>
    <m/>
    <m/>
  </r>
  <r>
    <x v="34"/>
    <x v="24"/>
    <m/>
    <m/>
    <m/>
    <m/>
    <m/>
    <m/>
    <m/>
    <m/>
    <m/>
    <m/>
    <m/>
    <m/>
    <m/>
    <m/>
    <m/>
    <m/>
    <m/>
  </r>
  <r>
    <x v="34"/>
    <x v="25"/>
    <m/>
    <m/>
    <m/>
    <m/>
    <m/>
    <m/>
    <m/>
    <m/>
    <m/>
    <m/>
    <m/>
    <m/>
    <m/>
    <m/>
    <m/>
    <m/>
    <m/>
  </r>
  <r>
    <x v="34"/>
    <x v="26"/>
    <m/>
    <m/>
    <m/>
    <m/>
    <m/>
    <m/>
    <m/>
    <m/>
    <m/>
    <m/>
    <m/>
    <m/>
    <m/>
    <m/>
    <m/>
    <m/>
    <m/>
  </r>
  <r>
    <x v="34"/>
    <x v="27"/>
    <m/>
    <m/>
    <m/>
    <m/>
    <m/>
    <m/>
    <m/>
    <m/>
    <m/>
    <m/>
    <m/>
    <m/>
    <m/>
    <m/>
    <m/>
    <m/>
    <m/>
  </r>
  <r>
    <x v="34"/>
    <x v="28"/>
    <m/>
    <m/>
    <m/>
    <m/>
    <m/>
    <m/>
    <m/>
    <m/>
    <m/>
    <m/>
    <m/>
    <m/>
    <m/>
    <m/>
    <m/>
    <m/>
    <m/>
  </r>
  <r>
    <x v="34"/>
    <x v="29"/>
    <m/>
    <m/>
    <m/>
    <m/>
    <m/>
    <m/>
    <m/>
    <m/>
    <m/>
    <m/>
    <m/>
    <m/>
    <m/>
    <m/>
    <m/>
    <m/>
    <m/>
  </r>
  <r>
    <x v="34"/>
    <x v="30"/>
    <m/>
    <m/>
    <m/>
    <m/>
    <m/>
    <m/>
    <m/>
    <m/>
    <m/>
    <m/>
    <m/>
    <m/>
    <m/>
    <m/>
    <m/>
    <m/>
    <m/>
  </r>
  <r>
    <x v="34"/>
    <x v="31"/>
    <m/>
    <m/>
    <m/>
    <m/>
    <m/>
    <m/>
    <m/>
    <m/>
    <m/>
    <m/>
    <m/>
    <m/>
    <m/>
    <m/>
    <m/>
    <m/>
    <m/>
  </r>
  <r>
    <x v="34"/>
    <x v="32"/>
    <m/>
    <m/>
    <m/>
    <m/>
    <m/>
    <m/>
    <m/>
    <m/>
    <m/>
    <m/>
    <m/>
    <m/>
    <m/>
    <m/>
    <m/>
    <m/>
    <m/>
  </r>
  <r>
    <x v="34"/>
    <x v="33"/>
    <m/>
    <m/>
    <m/>
    <m/>
    <m/>
    <m/>
    <m/>
    <m/>
    <m/>
    <m/>
    <m/>
    <m/>
    <m/>
    <m/>
    <m/>
    <m/>
    <m/>
  </r>
  <r>
    <x v="34"/>
    <x v="34"/>
    <m/>
    <m/>
    <m/>
    <m/>
    <m/>
    <m/>
    <m/>
    <m/>
    <m/>
    <m/>
    <m/>
    <m/>
    <m/>
    <m/>
    <m/>
    <m/>
    <m/>
  </r>
  <r>
    <x v="34"/>
    <x v="35"/>
    <m/>
    <m/>
    <m/>
    <m/>
    <m/>
    <m/>
    <m/>
    <m/>
    <m/>
    <m/>
    <m/>
    <m/>
    <m/>
    <m/>
    <m/>
    <m/>
    <m/>
  </r>
  <r>
    <x v="34"/>
    <x v="36"/>
    <m/>
    <m/>
    <m/>
    <m/>
    <m/>
    <m/>
    <m/>
    <m/>
    <m/>
    <m/>
    <m/>
    <m/>
    <m/>
    <m/>
    <m/>
    <m/>
    <m/>
  </r>
  <r>
    <x v="34"/>
    <x v="37"/>
    <m/>
    <m/>
    <m/>
    <m/>
    <m/>
    <m/>
    <m/>
    <m/>
    <m/>
    <m/>
    <m/>
    <m/>
    <m/>
    <m/>
    <m/>
    <m/>
    <m/>
  </r>
  <r>
    <x v="34"/>
    <x v="38"/>
    <m/>
    <m/>
    <m/>
    <m/>
    <m/>
    <m/>
    <m/>
    <m/>
    <m/>
    <m/>
    <m/>
    <m/>
    <m/>
    <m/>
    <m/>
    <m/>
    <m/>
  </r>
  <r>
    <x v="34"/>
    <x v="39"/>
    <m/>
    <m/>
    <m/>
    <m/>
    <m/>
    <m/>
    <m/>
    <m/>
    <m/>
    <m/>
    <m/>
    <m/>
    <m/>
    <m/>
    <m/>
    <m/>
    <m/>
  </r>
  <r>
    <x v="34"/>
    <x v="64"/>
    <n v="2"/>
    <m/>
    <m/>
    <m/>
    <m/>
    <m/>
    <m/>
    <m/>
    <m/>
    <m/>
    <m/>
    <n v="2"/>
    <m/>
    <n v="1"/>
    <m/>
    <m/>
    <m/>
  </r>
  <r>
    <x v="34"/>
    <x v="40"/>
    <m/>
    <m/>
    <m/>
    <m/>
    <m/>
    <m/>
    <m/>
    <m/>
    <m/>
    <m/>
    <m/>
    <m/>
    <m/>
    <m/>
    <m/>
    <m/>
    <m/>
  </r>
  <r>
    <x v="34"/>
    <x v="41"/>
    <m/>
    <m/>
    <m/>
    <m/>
    <m/>
    <m/>
    <m/>
    <m/>
    <m/>
    <m/>
    <m/>
    <m/>
    <m/>
    <m/>
    <m/>
    <m/>
    <m/>
  </r>
  <r>
    <x v="34"/>
    <x v="42"/>
    <m/>
    <m/>
    <m/>
    <m/>
    <m/>
    <m/>
    <m/>
    <m/>
    <m/>
    <m/>
    <m/>
    <m/>
    <m/>
    <m/>
    <m/>
    <m/>
    <m/>
  </r>
  <r>
    <x v="34"/>
    <x v="43"/>
    <m/>
    <m/>
    <m/>
    <m/>
    <m/>
    <m/>
    <m/>
    <m/>
    <m/>
    <m/>
    <m/>
    <m/>
    <m/>
    <m/>
    <m/>
    <m/>
    <m/>
  </r>
  <r>
    <x v="34"/>
    <x v="44"/>
    <m/>
    <m/>
    <m/>
    <m/>
    <m/>
    <m/>
    <m/>
    <m/>
    <m/>
    <m/>
    <m/>
    <m/>
    <m/>
    <m/>
    <m/>
    <m/>
    <m/>
  </r>
  <r>
    <x v="34"/>
    <x v="45"/>
    <m/>
    <m/>
    <m/>
    <m/>
    <m/>
    <m/>
    <m/>
    <m/>
    <m/>
    <m/>
    <m/>
    <m/>
    <m/>
    <m/>
    <m/>
    <m/>
    <m/>
  </r>
  <r>
    <x v="34"/>
    <x v="46"/>
    <m/>
    <m/>
    <m/>
    <m/>
    <m/>
    <m/>
    <m/>
    <m/>
    <m/>
    <m/>
    <m/>
    <m/>
    <m/>
    <m/>
    <m/>
    <m/>
    <m/>
  </r>
  <r>
    <x v="34"/>
    <x v="47"/>
    <m/>
    <m/>
    <m/>
    <m/>
    <m/>
    <m/>
    <m/>
    <m/>
    <m/>
    <m/>
    <m/>
    <m/>
    <m/>
    <m/>
    <m/>
    <m/>
    <m/>
  </r>
  <r>
    <x v="34"/>
    <x v="48"/>
    <m/>
    <m/>
    <m/>
    <m/>
    <m/>
    <m/>
    <m/>
    <m/>
    <m/>
    <m/>
    <m/>
    <m/>
    <m/>
    <m/>
    <m/>
    <m/>
    <m/>
  </r>
  <r>
    <x v="34"/>
    <x v="75"/>
    <n v="1"/>
    <n v="2"/>
    <m/>
    <m/>
    <m/>
    <m/>
    <m/>
    <m/>
    <m/>
    <m/>
    <m/>
    <n v="2"/>
    <m/>
    <n v="2"/>
    <m/>
    <m/>
    <m/>
  </r>
  <r>
    <x v="34"/>
    <x v="50"/>
    <m/>
    <m/>
    <m/>
    <m/>
    <m/>
    <m/>
    <m/>
    <m/>
    <m/>
    <m/>
    <m/>
    <m/>
    <m/>
    <m/>
    <m/>
    <m/>
    <m/>
  </r>
  <r>
    <x v="34"/>
    <x v="51"/>
    <m/>
    <m/>
    <m/>
    <m/>
    <m/>
    <m/>
    <m/>
    <m/>
    <m/>
    <m/>
    <m/>
    <m/>
    <m/>
    <m/>
    <m/>
    <m/>
    <m/>
  </r>
  <r>
    <x v="35"/>
    <x v="0"/>
    <m/>
    <m/>
    <m/>
    <m/>
    <m/>
    <m/>
    <m/>
    <m/>
    <m/>
    <m/>
    <m/>
    <m/>
    <m/>
    <m/>
    <m/>
    <m/>
    <m/>
  </r>
  <r>
    <x v="35"/>
    <x v="1"/>
    <m/>
    <m/>
    <m/>
    <m/>
    <m/>
    <m/>
    <m/>
    <m/>
    <m/>
    <m/>
    <m/>
    <m/>
    <m/>
    <m/>
    <m/>
    <m/>
    <m/>
  </r>
  <r>
    <x v="35"/>
    <x v="2"/>
    <m/>
    <m/>
    <m/>
    <m/>
    <m/>
    <m/>
    <m/>
    <m/>
    <m/>
    <m/>
    <m/>
    <m/>
    <m/>
    <m/>
    <m/>
    <m/>
    <m/>
  </r>
  <r>
    <x v="35"/>
    <x v="3"/>
    <m/>
    <m/>
    <m/>
    <m/>
    <m/>
    <m/>
    <m/>
    <m/>
    <m/>
    <m/>
    <m/>
    <m/>
    <m/>
    <m/>
    <m/>
    <m/>
    <m/>
  </r>
  <r>
    <x v="35"/>
    <x v="4"/>
    <m/>
    <m/>
    <m/>
    <m/>
    <m/>
    <m/>
    <m/>
    <m/>
    <m/>
    <m/>
    <m/>
    <m/>
    <m/>
    <m/>
    <m/>
    <m/>
    <m/>
  </r>
  <r>
    <x v="35"/>
    <x v="5"/>
    <m/>
    <m/>
    <m/>
    <m/>
    <m/>
    <m/>
    <m/>
    <m/>
    <m/>
    <m/>
    <m/>
    <m/>
    <m/>
    <m/>
    <m/>
    <m/>
    <m/>
  </r>
  <r>
    <x v="35"/>
    <x v="6"/>
    <m/>
    <m/>
    <m/>
    <m/>
    <m/>
    <m/>
    <m/>
    <m/>
    <m/>
    <m/>
    <m/>
    <m/>
    <m/>
    <m/>
    <m/>
    <m/>
    <m/>
  </r>
  <r>
    <x v="35"/>
    <x v="7"/>
    <m/>
    <m/>
    <m/>
    <m/>
    <m/>
    <m/>
    <m/>
    <m/>
    <m/>
    <m/>
    <m/>
    <m/>
    <m/>
    <m/>
    <m/>
    <m/>
    <m/>
  </r>
  <r>
    <x v="35"/>
    <x v="8"/>
    <m/>
    <m/>
    <m/>
    <m/>
    <m/>
    <m/>
    <m/>
    <m/>
    <m/>
    <m/>
    <m/>
    <m/>
    <m/>
    <m/>
    <m/>
    <m/>
    <m/>
  </r>
  <r>
    <x v="35"/>
    <x v="9"/>
    <m/>
    <m/>
    <m/>
    <m/>
    <m/>
    <m/>
    <m/>
    <m/>
    <m/>
    <m/>
    <m/>
    <m/>
    <m/>
    <m/>
    <m/>
    <m/>
    <m/>
  </r>
  <r>
    <x v="35"/>
    <x v="10"/>
    <m/>
    <m/>
    <m/>
    <m/>
    <m/>
    <m/>
    <m/>
    <m/>
    <m/>
    <m/>
    <m/>
    <m/>
    <m/>
    <m/>
    <m/>
    <m/>
    <m/>
  </r>
  <r>
    <x v="35"/>
    <x v="11"/>
    <m/>
    <m/>
    <m/>
    <m/>
    <m/>
    <m/>
    <m/>
    <m/>
    <m/>
    <m/>
    <m/>
    <m/>
    <m/>
    <m/>
    <m/>
    <m/>
    <m/>
  </r>
  <r>
    <x v="35"/>
    <x v="12"/>
    <m/>
    <m/>
    <m/>
    <m/>
    <m/>
    <m/>
    <m/>
    <m/>
    <m/>
    <m/>
    <m/>
    <m/>
    <m/>
    <m/>
    <m/>
    <m/>
    <m/>
  </r>
  <r>
    <x v="35"/>
    <x v="13"/>
    <m/>
    <m/>
    <m/>
    <m/>
    <m/>
    <m/>
    <m/>
    <m/>
    <m/>
    <m/>
    <m/>
    <m/>
    <m/>
    <m/>
    <m/>
    <m/>
    <m/>
  </r>
  <r>
    <x v="35"/>
    <x v="14"/>
    <m/>
    <m/>
    <m/>
    <m/>
    <m/>
    <m/>
    <m/>
    <m/>
    <m/>
    <m/>
    <m/>
    <m/>
    <m/>
    <m/>
    <m/>
    <m/>
    <m/>
  </r>
  <r>
    <x v="35"/>
    <x v="15"/>
    <m/>
    <m/>
    <m/>
    <m/>
    <m/>
    <m/>
    <m/>
    <m/>
    <m/>
    <m/>
    <m/>
    <m/>
    <m/>
    <m/>
    <m/>
    <m/>
    <m/>
  </r>
  <r>
    <x v="35"/>
    <x v="16"/>
    <m/>
    <m/>
    <m/>
    <m/>
    <m/>
    <m/>
    <m/>
    <m/>
    <m/>
    <m/>
    <m/>
    <m/>
    <m/>
    <m/>
    <m/>
    <m/>
    <m/>
  </r>
  <r>
    <x v="35"/>
    <x v="17"/>
    <m/>
    <m/>
    <m/>
    <m/>
    <m/>
    <m/>
    <m/>
    <m/>
    <m/>
    <m/>
    <m/>
    <m/>
    <m/>
    <m/>
    <m/>
    <m/>
    <m/>
  </r>
  <r>
    <x v="35"/>
    <x v="18"/>
    <m/>
    <m/>
    <m/>
    <m/>
    <m/>
    <m/>
    <m/>
    <m/>
    <m/>
    <m/>
    <m/>
    <m/>
    <m/>
    <m/>
    <m/>
    <m/>
    <m/>
  </r>
  <r>
    <x v="35"/>
    <x v="19"/>
    <m/>
    <m/>
    <m/>
    <m/>
    <m/>
    <m/>
    <m/>
    <m/>
    <m/>
    <m/>
    <m/>
    <m/>
    <m/>
    <m/>
    <m/>
    <m/>
    <m/>
  </r>
  <r>
    <x v="35"/>
    <x v="20"/>
    <m/>
    <m/>
    <m/>
    <m/>
    <m/>
    <m/>
    <m/>
    <m/>
    <m/>
    <m/>
    <m/>
    <m/>
    <m/>
    <m/>
    <m/>
    <m/>
    <m/>
  </r>
  <r>
    <x v="35"/>
    <x v="21"/>
    <m/>
    <m/>
    <m/>
    <m/>
    <m/>
    <m/>
    <m/>
    <m/>
    <m/>
    <m/>
    <m/>
    <m/>
    <m/>
    <m/>
    <m/>
    <m/>
    <m/>
  </r>
  <r>
    <x v="35"/>
    <x v="22"/>
    <m/>
    <m/>
    <m/>
    <m/>
    <m/>
    <m/>
    <m/>
    <m/>
    <m/>
    <m/>
    <m/>
    <m/>
    <m/>
    <m/>
    <m/>
    <m/>
    <m/>
  </r>
  <r>
    <x v="35"/>
    <x v="23"/>
    <m/>
    <m/>
    <m/>
    <m/>
    <m/>
    <m/>
    <m/>
    <m/>
    <m/>
    <m/>
    <m/>
    <m/>
    <m/>
    <m/>
    <m/>
    <m/>
    <m/>
  </r>
  <r>
    <x v="35"/>
    <x v="24"/>
    <m/>
    <m/>
    <m/>
    <m/>
    <m/>
    <m/>
    <m/>
    <m/>
    <m/>
    <m/>
    <m/>
    <m/>
    <m/>
    <m/>
    <m/>
    <m/>
    <m/>
  </r>
  <r>
    <x v="35"/>
    <x v="25"/>
    <m/>
    <m/>
    <m/>
    <m/>
    <m/>
    <m/>
    <m/>
    <m/>
    <m/>
    <m/>
    <m/>
    <m/>
    <m/>
    <m/>
    <m/>
    <m/>
    <m/>
  </r>
  <r>
    <x v="35"/>
    <x v="26"/>
    <m/>
    <m/>
    <m/>
    <m/>
    <m/>
    <m/>
    <m/>
    <m/>
    <m/>
    <m/>
    <m/>
    <m/>
    <m/>
    <m/>
    <m/>
    <m/>
    <m/>
  </r>
  <r>
    <x v="35"/>
    <x v="27"/>
    <m/>
    <m/>
    <m/>
    <m/>
    <m/>
    <m/>
    <m/>
    <m/>
    <m/>
    <m/>
    <m/>
    <m/>
    <m/>
    <m/>
    <m/>
    <m/>
    <m/>
  </r>
  <r>
    <x v="35"/>
    <x v="28"/>
    <m/>
    <m/>
    <m/>
    <m/>
    <m/>
    <m/>
    <m/>
    <m/>
    <m/>
    <m/>
    <n v="3"/>
    <n v="2"/>
    <n v="3"/>
    <n v="2"/>
    <n v="2"/>
    <n v="3"/>
    <m/>
  </r>
  <r>
    <x v="35"/>
    <x v="29"/>
    <m/>
    <m/>
    <m/>
    <m/>
    <m/>
    <m/>
    <m/>
    <m/>
    <m/>
    <m/>
    <m/>
    <m/>
    <m/>
    <m/>
    <m/>
    <m/>
    <m/>
  </r>
  <r>
    <x v="35"/>
    <x v="30"/>
    <m/>
    <m/>
    <m/>
    <m/>
    <m/>
    <m/>
    <m/>
    <m/>
    <m/>
    <m/>
    <m/>
    <m/>
    <m/>
    <m/>
    <m/>
    <m/>
    <m/>
  </r>
  <r>
    <x v="35"/>
    <x v="31"/>
    <m/>
    <m/>
    <m/>
    <m/>
    <m/>
    <m/>
    <m/>
    <m/>
    <m/>
    <m/>
    <m/>
    <m/>
    <m/>
    <m/>
    <m/>
    <m/>
    <m/>
  </r>
  <r>
    <x v="35"/>
    <x v="32"/>
    <m/>
    <m/>
    <m/>
    <m/>
    <m/>
    <m/>
    <m/>
    <m/>
    <m/>
    <m/>
    <m/>
    <m/>
    <m/>
    <m/>
    <m/>
    <m/>
    <m/>
  </r>
  <r>
    <x v="35"/>
    <x v="33"/>
    <m/>
    <m/>
    <m/>
    <m/>
    <m/>
    <m/>
    <m/>
    <m/>
    <m/>
    <m/>
    <m/>
    <m/>
    <m/>
    <m/>
    <m/>
    <m/>
    <m/>
  </r>
  <r>
    <x v="35"/>
    <x v="34"/>
    <m/>
    <m/>
    <m/>
    <m/>
    <m/>
    <m/>
    <m/>
    <m/>
    <m/>
    <m/>
    <m/>
    <m/>
    <m/>
    <m/>
    <m/>
    <m/>
    <m/>
  </r>
  <r>
    <x v="35"/>
    <x v="35"/>
    <m/>
    <m/>
    <m/>
    <m/>
    <m/>
    <m/>
    <m/>
    <m/>
    <m/>
    <m/>
    <m/>
    <m/>
    <m/>
    <m/>
    <m/>
    <m/>
    <m/>
  </r>
  <r>
    <x v="35"/>
    <x v="36"/>
    <m/>
    <m/>
    <m/>
    <m/>
    <m/>
    <m/>
    <m/>
    <m/>
    <m/>
    <m/>
    <m/>
    <m/>
    <m/>
    <m/>
    <m/>
    <m/>
    <m/>
  </r>
  <r>
    <x v="35"/>
    <x v="37"/>
    <m/>
    <m/>
    <m/>
    <m/>
    <m/>
    <m/>
    <m/>
    <m/>
    <m/>
    <m/>
    <m/>
    <m/>
    <m/>
    <m/>
    <m/>
    <m/>
    <m/>
  </r>
  <r>
    <x v="35"/>
    <x v="38"/>
    <m/>
    <m/>
    <m/>
    <m/>
    <m/>
    <m/>
    <m/>
    <m/>
    <m/>
    <m/>
    <m/>
    <m/>
    <m/>
    <m/>
    <m/>
    <m/>
    <m/>
  </r>
  <r>
    <x v="35"/>
    <x v="39"/>
    <m/>
    <m/>
    <m/>
    <m/>
    <m/>
    <m/>
    <m/>
    <m/>
    <m/>
    <m/>
    <m/>
    <m/>
    <m/>
    <m/>
    <m/>
    <m/>
    <m/>
  </r>
  <r>
    <x v="35"/>
    <x v="40"/>
    <m/>
    <m/>
    <m/>
    <m/>
    <m/>
    <m/>
    <m/>
    <m/>
    <m/>
    <m/>
    <m/>
    <m/>
    <m/>
    <m/>
    <m/>
    <m/>
    <m/>
  </r>
  <r>
    <x v="35"/>
    <x v="41"/>
    <m/>
    <m/>
    <m/>
    <m/>
    <m/>
    <m/>
    <m/>
    <m/>
    <m/>
    <m/>
    <m/>
    <m/>
    <m/>
    <m/>
    <m/>
    <m/>
    <m/>
  </r>
  <r>
    <x v="35"/>
    <x v="42"/>
    <m/>
    <m/>
    <m/>
    <m/>
    <m/>
    <m/>
    <m/>
    <m/>
    <m/>
    <m/>
    <m/>
    <m/>
    <m/>
    <m/>
    <m/>
    <m/>
    <m/>
  </r>
  <r>
    <x v="35"/>
    <x v="43"/>
    <m/>
    <m/>
    <m/>
    <m/>
    <m/>
    <m/>
    <m/>
    <m/>
    <m/>
    <m/>
    <m/>
    <m/>
    <m/>
    <m/>
    <m/>
    <m/>
    <m/>
  </r>
  <r>
    <x v="35"/>
    <x v="44"/>
    <m/>
    <m/>
    <m/>
    <m/>
    <m/>
    <m/>
    <m/>
    <m/>
    <m/>
    <m/>
    <m/>
    <m/>
    <m/>
    <m/>
    <m/>
    <m/>
    <m/>
  </r>
  <r>
    <x v="35"/>
    <x v="45"/>
    <m/>
    <m/>
    <m/>
    <m/>
    <m/>
    <m/>
    <m/>
    <m/>
    <m/>
    <m/>
    <m/>
    <m/>
    <m/>
    <m/>
    <m/>
    <m/>
    <m/>
  </r>
  <r>
    <x v="35"/>
    <x v="46"/>
    <m/>
    <m/>
    <m/>
    <m/>
    <m/>
    <m/>
    <m/>
    <m/>
    <m/>
    <m/>
    <m/>
    <m/>
    <m/>
    <m/>
    <m/>
    <m/>
    <m/>
  </r>
  <r>
    <x v="35"/>
    <x v="47"/>
    <m/>
    <m/>
    <m/>
    <m/>
    <m/>
    <m/>
    <m/>
    <m/>
    <m/>
    <m/>
    <m/>
    <m/>
    <m/>
    <m/>
    <m/>
    <m/>
    <m/>
  </r>
  <r>
    <x v="35"/>
    <x v="48"/>
    <m/>
    <m/>
    <m/>
    <m/>
    <m/>
    <m/>
    <m/>
    <m/>
    <m/>
    <m/>
    <m/>
    <m/>
    <m/>
    <m/>
    <m/>
    <m/>
    <m/>
  </r>
  <r>
    <x v="35"/>
    <x v="49"/>
    <m/>
    <m/>
    <m/>
    <m/>
    <m/>
    <m/>
    <m/>
    <m/>
    <m/>
    <m/>
    <m/>
    <m/>
    <m/>
    <m/>
    <m/>
    <m/>
    <m/>
  </r>
  <r>
    <x v="35"/>
    <x v="50"/>
    <m/>
    <m/>
    <m/>
    <m/>
    <m/>
    <m/>
    <m/>
    <m/>
    <m/>
    <m/>
    <m/>
    <m/>
    <m/>
    <m/>
    <m/>
    <m/>
    <m/>
  </r>
  <r>
    <x v="35"/>
    <x v="51"/>
    <m/>
    <m/>
    <m/>
    <m/>
    <m/>
    <m/>
    <m/>
    <m/>
    <m/>
    <m/>
    <m/>
    <m/>
    <m/>
    <m/>
    <m/>
    <m/>
    <m/>
  </r>
  <r>
    <x v="36"/>
    <x v="0"/>
    <m/>
    <m/>
    <m/>
    <m/>
    <m/>
    <m/>
    <m/>
    <m/>
    <m/>
    <m/>
    <m/>
    <m/>
    <m/>
    <m/>
    <m/>
    <m/>
    <m/>
  </r>
  <r>
    <x v="36"/>
    <x v="1"/>
    <m/>
    <m/>
    <m/>
    <m/>
    <m/>
    <m/>
    <m/>
    <m/>
    <m/>
    <m/>
    <m/>
    <m/>
    <m/>
    <m/>
    <m/>
    <m/>
    <m/>
  </r>
  <r>
    <x v="36"/>
    <x v="2"/>
    <m/>
    <m/>
    <m/>
    <m/>
    <m/>
    <m/>
    <m/>
    <m/>
    <m/>
    <m/>
    <m/>
    <m/>
    <m/>
    <m/>
    <m/>
    <m/>
    <m/>
  </r>
  <r>
    <x v="36"/>
    <x v="3"/>
    <m/>
    <m/>
    <m/>
    <m/>
    <m/>
    <m/>
    <m/>
    <m/>
    <m/>
    <m/>
    <m/>
    <m/>
    <m/>
    <m/>
    <m/>
    <m/>
    <m/>
  </r>
  <r>
    <x v="36"/>
    <x v="4"/>
    <m/>
    <m/>
    <m/>
    <m/>
    <m/>
    <m/>
    <m/>
    <m/>
    <m/>
    <m/>
    <m/>
    <m/>
    <m/>
    <m/>
    <m/>
    <m/>
    <m/>
  </r>
  <r>
    <x v="36"/>
    <x v="5"/>
    <m/>
    <m/>
    <m/>
    <m/>
    <m/>
    <m/>
    <m/>
    <m/>
    <m/>
    <m/>
    <m/>
    <m/>
    <m/>
    <m/>
    <m/>
    <m/>
    <m/>
  </r>
  <r>
    <x v="36"/>
    <x v="6"/>
    <m/>
    <m/>
    <m/>
    <m/>
    <m/>
    <m/>
    <m/>
    <m/>
    <m/>
    <m/>
    <m/>
    <m/>
    <m/>
    <m/>
    <m/>
    <m/>
    <m/>
  </r>
  <r>
    <x v="36"/>
    <x v="7"/>
    <m/>
    <m/>
    <m/>
    <m/>
    <m/>
    <m/>
    <m/>
    <m/>
    <m/>
    <m/>
    <m/>
    <m/>
    <m/>
    <m/>
    <m/>
    <m/>
    <m/>
  </r>
  <r>
    <x v="36"/>
    <x v="8"/>
    <m/>
    <m/>
    <m/>
    <m/>
    <m/>
    <m/>
    <m/>
    <m/>
    <m/>
    <m/>
    <m/>
    <m/>
    <m/>
    <m/>
    <m/>
    <m/>
    <m/>
  </r>
  <r>
    <x v="36"/>
    <x v="9"/>
    <m/>
    <m/>
    <m/>
    <m/>
    <m/>
    <m/>
    <m/>
    <m/>
    <m/>
    <m/>
    <m/>
    <m/>
    <m/>
    <m/>
    <m/>
    <m/>
    <m/>
  </r>
  <r>
    <x v="36"/>
    <x v="10"/>
    <m/>
    <m/>
    <m/>
    <m/>
    <m/>
    <m/>
    <m/>
    <m/>
    <m/>
    <m/>
    <m/>
    <m/>
    <m/>
    <m/>
    <m/>
    <m/>
    <m/>
  </r>
  <r>
    <x v="36"/>
    <x v="11"/>
    <m/>
    <m/>
    <m/>
    <m/>
    <m/>
    <m/>
    <m/>
    <m/>
    <m/>
    <m/>
    <m/>
    <m/>
    <m/>
    <m/>
    <m/>
    <m/>
    <m/>
  </r>
  <r>
    <x v="36"/>
    <x v="12"/>
    <m/>
    <m/>
    <m/>
    <m/>
    <m/>
    <m/>
    <m/>
    <m/>
    <m/>
    <m/>
    <m/>
    <m/>
    <m/>
    <m/>
    <m/>
    <m/>
    <m/>
  </r>
  <r>
    <x v="36"/>
    <x v="13"/>
    <m/>
    <m/>
    <m/>
    <m/>
    <m/>
    <m/>
    <m/>
    <m/>
    <m/>
    <m/>
    <m/>
    <m/>
    <m/>
    <m/>
    <m/>
    <m/>
    <m/>
  </r>
  <r>
    <x v="36"/>
    <x v="14"/>
    <m/>
    <m/>
    <m/>
    <m/>
    <m/>
    <m/>
    <m/>
    <m/>
    <m/>
    <m/>
    <m/>
    <m/>
    <m/>
    <m/>
    <m/>
    <m/>
    <m/>
  </r>
  <r>
    <x v="36"/>
    <x v="15"/>
    <m/>
    <m/>
    <m/>
    <m/>
    <m/>
    <m/>
    <m/>
    <m/>
    <m/>
    <m/>
    <m/>
    <m/>
    <m/>
    <m/>
    <m/>
    <m/>
    <m/>
  </r>
  <r>
    <x v="36"/>
    <x v="16"/>
    <m/>
    <m/>
    <m/>
    <m/>
    <m/>
    <m/>
    <m/>
    <m/>
    <m/>
    <m/>
    <m/>
    <m/>
    <m/>
    <m/>
    <m/>
    <m/>
    <m/>
  </r>
  <r>
    <x v="36"/>
    <x v="17"/>
    <m/>
    <m/>
    <m/>
    <m/>
    <m/>
    <m/>
    <m/>
    <m/>
    <m/>
    <m/>
    <m/>
    <m/>
    <m/>
    <m/>
    <m/>
    <m/>
    <m/>
  </r>
  <r>
    <x v="36"/>
    <x v="18"/>
    <m/>
    <m/>
    <m/>
    <m/>
    <m/>
    <m/>
    <m/>
    <m/>
    <m/>
    <m/>
    <m/>
    <m/>
    <m/>
    <m/>
    <m/>
    <m/>
    <m/>
  </r>
  <r>
    <x v="36"/>
    <x v="19"/>
    <m/>
    <m/>
    <m/>
    <m/>
    <m/>
    <m/>
    <m/>
    <m/>
    <m/>
    <m/>
    <m/>
    <m/>
    <m/>
    <m/>
    <m/>
    <m/>
    <m/>
  </r>
  <r>
    <x v="36"/>
    <x v="20"/>
    <m/>
    <m/>
    <m/>
    <m/>
    <m/>
    <m/>
    <m/>
    <m/>
    <m/>
    <m/>
    <m/>
    <m/>
    <m/>
    <m/>
    <m/>
    <m/>
    <m/>
  </r>
  <r>
    <x v="36"/>
    <x v="21"/>
    <m/>
    <m/>
    <m/>
    <m/>
    <m/>
    <m/>
    <m/>
    <m/>
    <m/>
    <m/>
    <m/>
    <m/>
    <m/>
    <m/>
    <m/>
    <m/>
    <m/>
  </r>
  <r>
    <x v="36"/>
    <x v="22"/>
    <m/>
    <m/>
    <m/>
    <m/>
    <m/>
    <m/>
    <m/>
    <m/>
    <m/>
    <m/>
    <m/>
    <m/>
    <m/>
    <m/>
    <m/>
    <m/>
    <m/>
  </r>
  <r>
    <x v="36"/>
    <x v="23"/>
    <m/>
    <m/>
    <m/>
    <m/>
    <m/>
    <m/>
    <m/>
    <m/>
    <m/>
    <m/>
    <m/>
    <m/>
    <m/>
    <m/>
    <m/>
    <m/>
    <m/>
  </r>
  <r>
    <x v="36"/>
    <x v="24"/>
    <m/>
    <m/>
    <m/>
    <m/>
    <m/>
    <m/>
    <m/>
    <m/>
    <m/>
    <m/>
    <m/>
    <m/>
    <m/>
    <m/>
    <m/>
    <m/>
    <m/>
  </r>
  <r>
    <x v="36"/>
    <x v="25"/>
    <m/>
    <m/>
    <m/>
    <m/>
    <m/>
    <m/>
    <m/>
    <m/>
    <m/>
    <m/>
    <m/>
    <m/>
    <m/>
    <m/>
    <m/>
    <m/>
    <m/>
  </r>
  <r>
    <x v="36"/>
    <x v="26"/>
    <m/>
    <m/>
    <m/>
    <m/>
    <m/>
    <m/>
    <m/>
    <m/>
    <m/>
    <m/>
    <m/>
    <m/>
    <m/>
    <m/>
    <m/>
    <m/>
    <m/>
  </r>
  <r>
    <x v="36"/>
    <x v="27"/>
    <m/>
    <m/>
    <m/>
    <m/>
    <m/>
    <m/>
    <m/>
    <m/>
    <m/>
    <m/>
    <m/>
    <m/>
    <m/>
    <m/>
    <m/>
    <m/>
    <m/>
  </r>
  <r>
    <x v="36"/>
    <x v="28"/>
    <m/>
    <m/>
    <m/>
    <m/>
    <m/>
    <m/>
    <m/>
    <m/>
    <m/>
    <m/>
    <m/>
    <m/>
    <m/>
    <m/>
    <m/>
    <m/>
    <m/>
  </r>
  <r>
    <x v="36"/>
    <x v="29"/>
    <m/>
    <m/>
    <m/>
    <m/>
    <m/>
    <m/>
    <m/>
    <m/>
    <m/>
    <m/>
    <m/>
    <m/>
    <m/>
    <m/>
    <m/>
    <m/>
    <m/>
  </r>
  <r>
    <x v="36"/>
    <x v="30"/>
    <m/>
    <m/>
    <m/>
    <m/>
    <m/>
    <m/>
    <m/>
    <m/>
    <m/>
    <m/>
    <m/>
    <m/>
    <m/>
    <m/>
    <m/>
    <m/>
    <m/>
  </r>
  <r>
    <x v="36"/>
    <x v="31"/>
    <m/>
    <m/>
    <m/>
    <m/>
    <m/>
    <m/>
    <m/>
    <m/>
    <m/>
    <m/>
    <m/>
    <m/>
    <m/>
    <m/>
    <m/>
    <m/>
    <m/>
  </r>
  <r>
    <x v="36"/>
    <x v="32"/>
    <m/>
    <m/>
    <m/>
    <m/>
    <m/>
    <m/>
    <m/>
    <m/>
    <m/>
    <m/>
    <m/>
    <m/>
    <m/>
    <m/>
    <m/>
    <m/>
    <m/>
  </r>
  <r>
    <x v="36"/>
    <x v="33"/>
    <m/>
    <m/>
    <m/>
    <m/>
    <m/>
    <m/>
    <m/>
    <m/>
    <m/>
    <m/>
    <m/>
    <m/>
    <m/>
    <m/>
    <m/>
    <m/>
    <m/>
  </r>
  <r>
    <x v="36"/>
    <x v="34"/>
    <m/>
    <m/>
    <m/>
    <m/>
    <m/>
    <m/>
    <m/>
    <m/>
    <m/>
    <m/>
    <m/>
    <m/>
    <m/>
    <m/>
    <m/>
    <m/>
    <m/>
  </r>
  <r>
    <x v="36"/>
    <x v="35"/>
    <m/>
    <m/>
    <m/>
    <m/>
    <m/>
    <m/>
    <m/>
    <m/>
    <m/>
    <m/>
    <m/>
    <m/>
    <m/>
    <m/>
    <m/>
    <m/>
    <m/>
  </r>
  <r>
    <x v="36"/>
    <x v="36"/>
    <m/>
    <m/>
    <m/>
    <m/>
    <m/>
    <m/>
    <m/>
    <m/>
    <m/>
    <m/>
    <m/>
    <m/>
    <m/>
    <m/>
    <m/>
    <m/>
    <m/>
  </r>
  <r>
    <x v="36"/>
    <x v="37"/>
    <m/>
    <m/>
    <m/>
    <m/>
    <m/>
    <m/>
    <m/>
    <m/>
    <m/>
    <m/>
    <m/>
    <m/>
    <m/>
    <m/>
    <m/>
    <m/>
    <m/>
  </r>
  <r>
    <x v="36"/>
    <x v="38"/>
    <m/>
    <m/>
    <m/>
    <m/>
    <m/>
    <m/>
    <m/>
    <m/>
    <m/>
    <m/>
    <m/>
    <m/>
    <m/>
    <m/>
    <m/>
    <m/>
    <m/>
  </r>
  <r>
    <x v="36"/>
    <x v="39"/>
    <m/>
    <m/>
    <m/>
    <m/>
    <m/>
    <m/>
    <m/>
    <m/>
    <m/>
    <m/>
    <m/>
    <m/>
    <m/>
    <m/>
    <m/>
    <n v="1"/>
    <m/>
  </r>
  <r>
    <x v="36"/>
    <x v="40"/>
    <m/>
    <m/>
    <m/>
    <m/>
    <m/>
    <m/>
    <m/>
    <m/>
    <m/>
    <m/>
    <m/>
    <m/>
    <m/>
    <m/>
    <m/>
    <m/>
    <m/>
  </r>
  <r>
    <x v="36"/>
    <x v="41"/>
    <m/>
    <m/>
    <m/>
    <m/>
    <m/>
    <m/>
    <m/>
    <m/>
    <m/>
    <m/>
    <m/>
    <m/>
    <m/>
    <m/>
    <m/>
    <m/>
    <m/>
  </r>
  <r>
    <x v="36"/>
    <x v="42"/>
    <m/>
    <m/>
    <m/>
    <m/>
    <m/>
    <m/>
    <m/>
    <m/>
    <m/>
    <m/>
    <m/>
    <m/>
    <m/>
    <m/>
    <m/>
    <m/>
    <m/>
  </r>
  <r>
    <x v="36"/>
    <x v="43"/>
    <m/>
    <m/>
    <m/>
    <m/>
    <m/>
    <m/>
    <m/>
    <m/>
    <m/>
    <m/>
    <m/>
    <m/>
    <m/>
    <m/>
    <m/>
    <m/>
    <m/>
  </r>
  <r>
    <x v="36"/>
    <x v="44"/>
    <m/>
    <m/>
    <m/>
    <m/>
    <m/>
    <m/>
    <m/>
    <m/>
    <m/>
    <m/>
    <m/>
    <m/>
    <m/>
    <m/>
    <m/>
    <m/>
    <m/>
  </r>
  <r>
    <x v="36"/>
    <x v="45"/>
    <m/>
    <m/>
    <m/>
    <m/>
    <m/>
    <m/>
    <m/>
    <m/>
    <m/>
    <m/>
    <m/>
    <m/>
    <m/>
    <m/>
    <m/>
    <m/>
    <m/>
  </r>
  <r>
    <x v="36"/>
    <x v="46"/>
    <m/>
    <m/>
    <m/>
    <m/>
    <m/>
    <m/>
    <m/>
    <m/>
    <m/>
    <m/>
    <m/>
    <m/>
    <m/>
    <m/>
    <m/>
    <m/>
    <m/>
  </r>
  <r>
    <x v="36"/>
    <x v="47"/>
    <m/>
    <m/>
    <m/>
    <m/>
    <m/>
    <m/>
    <m/>
    <m/>
    <m/>
    <m/>
    <m/>
    <m/>
    <m/>
    <m/>
    <m/>
    <m/>
    <m/>
  </r>
  <r>
    <x v="36"/>
    <x v="48"/>
    <m/>
    <m/>
    <m/>
    <m/>
    <m/>
    <m/>
    <m/>
    <m/>
    <m/>
    <m/>
    <m/>
    <m/>
    <m/>
    <m/>
    <m/>
    <m/>
    <m/>
  </r>
  <r>
    <x v="36"/>
    <x v="49"/>
    <m/>
    <m/>
    <m/>
    <m/>
    <m/>
    <m/>
    <m/>
    <m/>
    <m/>
    <m/>
    <m/>
    <m/>
    <m/>
    <m/>
    <m/>
    <m/>
    <m/>
  </r>
  <r>
    <x v="36"/>
    <x v="50"/>
    <m/>
    <m/>
    <m/>
    <m/>
    <m/>
    <m/>
    <m/>
    <m/>
    <m/>
    <m/>
    <m/>
    <m/>
    <m/>
    <m/>
    <m/>
    <m/>
    <m/>
  </r>
  <r>
    <x v="36"/>
    <x v="51"/>
    <m/>
    <m/>
    <m/>
    <m/>
    <m/>
    <m/>
    <m/>
    <m/>
    <m/>
    <m/>
    <m/>
    <m/>
    <m/>
    <m/>
    <m/>
    <m/>
    <m/>
  </r>
  <r>
    <x v="37"/>
    <x v="0"/>
    <m/>
    <m/>
    <m/>
    <m/>
    <m/>
    <m/>
    <m/>
    <m/>
    <m/>
    <m/>
    <m/>
    <m/>
    <m/>
    <m/>
    <m/>
    <m/>
    <m/>
  </r>
  <r>
    <x v="37"/>
    <x v="1"/>
    <m/>
    <m/>
    <m/>
    <m/>
    <m/>
    <m/>
    <m/>
    <m/>
    <m/>
    <m/>
    <m/>
    <m/>
    <m/>
    <m/>
    <m/>
    <m/>
    <m/>
  </r>
  <r>
    <x v="37"/>
    <x v="2"/>
    <m/>
    <m/>
    <m/>
    <m/>
    <m/>
    <m/>
    <m/>
    <m/>
    <m/>
    <m/>
    <m/>
    <m/>
    <m/>
    <m/>
    <m/>
    <m/>
    <m/>
  </r>
  <r>
    <x v="37"/>
    <x v="3"/>
    <m/>
    <m/>
    <m/>
    <m/>
    <m/>
    <m/>
    <m/>
    <m/>
    <m/>
    <m/>
    <m/>
    <m/>
    <m/>
    <m/>
    <m/>
    <m/>
    <m/>
  </r>
  <r>
    <x v="37"/>
    <x v="4"/>
    <m/>
    <m/>
    <m/>
    <m/>
    <m/>
    <m/>
    <m/>
    <m/>
    <m/>
    <m/>
    <m/>
    <m/>
    <m/>
    <m/>
    <m/>
    <m/>
    <m/>
  </r>
  <r>
    <x v="37"/>
    <x v="5"/>
    <m/>
    <m/>
    <m/>
    <m/>
    <m/>
    <m/>
    <m/>
    <m/>
    <m/>
    <m/>
    <m/>
    <m/>
    <m/>
    <m/>
    <m/>
    <m/>
    <m/>
  </r>
  <r>
    <x v="37"/>
    <x v="6"/>
    <m/>
    <m/>
    <m/>
    <m/>
    <m/>
    <m/>
    <m/>
    <m/>
    <m/>
    <m/>
    <m/>
    <m/>
    <m/>
    <m/>
    <m/>
    <m/>
    <m/>
  </r>
  <r>
    <x v="37"/>
    <x v="7"/>
    <m/>
    <m/>
    <m/>
    <m/>
    <m/>
    <m/>
    <m/>
    <m/>
    <m/>
    <m/>
    <m/>
    <m/>
    <m/>
    <m/>
    <m/>
    <m/>
    <m/>
  </r>
  <r>
    <x v="37"/>
    <x v="8"/>
    <m/>
    <m/>
    <m/>
    <m/>
    <m/>
    <m/>
    <m/>
    <m/>
    <m/>
    <m/>
    <m/>
    <m/>
    <m/>
    <m/>
    <m/>
    <m/>
    <m/>
  </r>
  <r>
    <x v="37"/>
    <x v="9"/>
    <m/>
    <m/>
    <m/>
    <m/>
    <m/>
    <m/>
    <m/>
    <m/>
    <m/>
    <m/>
    <m/>
    <m/>
    <m/>
    <m/>
    <m/>
    <m/>
    <m/>
  </r>
  <r>
    <x v="37"/>
    <x v="10"/>
    <m/>
    <m/>
    <m/>
    <m/>
    <m/>
    <m/>
    <m/>
    <m/>
    <m/>
    <m/>
    <m/>
    <m/>
    <m/>
    <m/>
    <m/>
    <m/>
    <m/>
  </r>
  <r>
    <x v="37"/>
    <x v="11"/>
    <m/>
    <m/>
    <m/>
    <m/>
    <m/>
    <m/>
    <m/>
    <m/>
    <m/>
    <m/>
    <m/>
    <m/>
    <m/>
    <m/>
    <m/>
    <m/>
    <m/>
  </r>
  <r>
    <x v="37"/>
    <x v="12"/>
    <m/>
    <m/>
    <m/>
    <m/>
    <m/>
    <m/>
    <m/>
    <m/>
    <m/>
    <m/>
    <m/>
    <m/>
    <m/>
    <m/>
    <m/>
    <m/>
    <m/>
  </r>
  <r>
    <x v="37"/>
    <x v="13"/>
    <m/>
    <m/>
    <m/>
    <m/>
    <m/>
    <m/>
    <m/>
    <m/>
    <m/>
    <m/>
    <m/>
    <m/>
    <m/>
    <m/>
    <m/>
    <m/>
    <m/>
  </r>
  <r>
    <x v="37"/>
    <x v="14"/>
    <m/>
    <m/>
    <m/>
    <m/>
    <m/>
    <m/>
    <m/>
    <m/>
    <m/>
    <m/>
    <m/>
    <m/>
    <m/>
    <m/>
    <m/>
    <m/>
    <m/>
  </r>
  <r>
    <x v="37"/>
    <x v="15"/>
    <m/>
    <m/>
    <m/>
    <m/>
    <m/>
    <m/>
    <m/>
    <m/>
    <m/>
    <m/>
    <m/>
    <m/>
    <m/>
    <m/>
    <m/>
    <m/>
    <m/>
  </r>
  <r>
    <x v="37"/>
    <x v="16"/>
    <m/>
    <m/>
    <m/>
    <m/>
    <m/>
    <m/>
    <m/>
    <m/>
    <m/>
    <m/>
    <m/>
    <m/>
    <m/>
    <m/>
    <m/>
    <m/>
    <m/>
  </r>
  <r>
    <x v="37"/>
    <x v="17"/>
    <m/>
    <m/>
    <m/>
    <m/>
    <m/>
    <m/>
    <m/>
    <m/>
    <m/>
    <m/>
    <m/>
    <m/>
    <m/>
    <m/>
    <m/>
    <m/>
    <m/>
  </r>
  <r>
    <x v="37"/>
    <x v="18"/>
    <m/>
    <m/>
    <m/>
    <m/>
    <m/>
    <m/>
    <m/>
    <m/>
    <m/>
    <m/>
    <m/>
    <m/>
    <m/>
    <m/>
    <m/>
    <m/>
    <m/>
  </r>
  <r>
    <x v="37"/>
    <x v="19"/>
    <m/>
    <m/>
    <m/>
    <m/>
    <m/>
    <m/>
    <m/>
    <m/>
    <m/>
    <m/>
    <m/>
    <m/>
    <m/>
    <m/>
    <m/>
    <m/>
    <m/>
  </r>
  <r>
    <x v="37"/>
    <x v="20"/>
    <m/>
    <m/>
    <m/>
    <m/>
    <m/>
    <m/>
    <m/>
    <m/>
    <m/>
    <m/>
    <m/>
    <m/>
    <m/>
    <m/>
    <m/>
    <m/>
    <m/>
  </r>
  <r>
    <x v="37"/>
    <x v="21"/>
    <m/>
    <m/>
    <m/>
    <m/>
    <m/>
    <m/>
    <m/>
    <m/>
    <m/>
    <m/>
    <m/>
    <m/>
    <m/>
    <m/>
    <m/>
    <m/>
    <m/>
  </r>
  <r>
    <x v="37"/>
    <x v="22"/>
    <m/>
    <m/>
    <m/>
    <m/>
    <m/>
    <m/>
    <m/>
    <m/>
    <m/>
    <m/>
    <m/>
    <m/>
    <m/>
    <m/>
    <m/>
    <m/>
    <m/>
  </r>
  <r>
    <x v="37"/>
    <x v="23"/>
    <m/>
    <m/>
    <m/>
    <m/>
    <m/>
    <m/>
    <m/>
    <m/>
    <m/>
    <m/>
    <m/>
    <m/>
    <m/>
    <m/>
    <m/>
    <m/>
    <m/>
  </r>
  <r>
    <x v="37"/>
    <x v="24"/>
    <m/>
    <m/>
    <m/>
    <m/>
    <m/>
    <m/>
    <m/>
    <m/>
    <m/>
    <m/>
    <m/>
    <m/>
    <m/>
    <m/>
    <m/>
    <m/>
    <m/>
  </r>
  <r>
    <x v="37"/>
    <x v="25"/>
    <m/>
    <m/>
    <m/>
    <m/>
    <m/>
    <m/>
    <m/>
    <m/>
    <m/>
    <m/>
    <m/>
    <m/>
    <m/>
    <m/>
    <m/>
    <m/>
    <m/>
  </r>
  <r>
    <x v="37"/>
    <x v="26"/>
    <m/>
    <m/>
    <m/>
    <m/>
    <m/>
    <m/>
    <m/>
    <m/>
    <m/>
    <m/>
    <m/>
    <m/>
    <m/>
    <m/>
    <m/>
    <m/>
    <m/>
  </r>
  <r>
    <x v="37"/>
    <x v="27"/>
    <m/>
    <m/>
    <m/>
    <m/>
    <m/>
    <m/>
    <m/>
    <m/>
    <m/>
    <m/>
    <m/>
    <m/>
    <m/>
    <m/>
    <m/>
    <m/>
    <m/>
  </r>
  <r>
    <x v="37"/>
    <x v="28"/>
    <m/>
    <m/>
    <m/>
    <m/>
    <m/>
    <m/>
    <m/>
    <m/>
    <m/>
    <m/>
    <m/>
    <m/>
    <m/>
    <m/>
    <m/>
    <m/>
    <m/>
  </r>
  <r>
    <x v="37"/>
    <x v="29"/>
    <m/>
    <m/>
    <m/>
    <m/>
    <m/>
    <m/>
    <m/>
    <m/>
    <m/>
    <m/>
    <m/>
    <m/>
    <m/>
    <m/>
    <m/>
    <m/>
    <m/>
  </r>
  <r>
    <x v="37"/>
    <x v="30"/>
    <m/>
    <m/>
    <m/>
    <m/>
    <m/>
    <m/>
    <m/>
    <m/>
    <m/>
    <m/>
    <m/>
    <m/>
    <m/>
    <m/>
    <m/>
    <m/>
    <m/>
  </r>
  <r>
    <x v="37"/>
    <x v="31"/>
    <m/>
    <m/>
    <m/>
    <m/>
    <m/>
    <m/>
    <m/>
    <m/>
    <m/>
    <m/>
    <m/>
    <m/>
    <m/>
    <m/>
    <m/>
    <m/>
    <m/>
  </r>
  <r>
    <x v="37"/>
    <x v="32"/>
    <m/>
    <m/>
    <m/>
    <m/>
    <m/>
    <m/>
    <m/>
    <m/>
    <m/>
    <m/>
    <m/>
    <m/>
    <m/>
    <m/>
    <m/>
    <m/>
    <m/>
  </r>
  <r>
    <x v="37"/>
    <x v="33"/>
    <m/>
    <m/>
    <m/>
    <m/>
    <m/>
    <m/>
    <m/>
    <m/>
    <m/>
    <m/>
    <m/>
    <m/>
    <m/>
    <m/>
    <m/>
    <m/>
    <m/>
  </r>
  <r>
    <x v="37"/>
    <x v="34"/>
    <m/>
    <m/>
    <m/>
    <m/>
    <m/>
    <m/>
    <m/>
    <m/>
    <m/>
    <m/>
    <m/>
    <m/>
    <m/>
    <m/>
    <m/>
    <m/>
    <m/>
  </r>
  <r>
    <x v="37"/>
    <x v="35"/>
    <m/>
    <m/>
    <m/>
    <m/>
    <m/>
    <m/>
    <m/>
    <m/>
    <m/>
    <m/>
    <m/>
    <m/>
    <m/>
    <m/>
    <m/>
    <m/>
    <m/>
  </r>
  <r>
    <x v="37"/>
    <x v="36"/>
    <m/>
    <m/>
    <m/>
    <m/>
    <m/>
    <m/>
    <m/>
    <m/>
    <m/>
    <m/>
    <m/>
    <m/>
    <m/>
    <m/>
    <m/>
    <m/>
    <m/>
  </r>
  <r>
    <x v="37"/>
    <x v="37"/>
    <m/>
    <m/>
    <m/>
    <m/>
    <m/>
    <m/>
    <m/>
    <m/>
    <m/>
    <m/>
    <m/>
    <m/>
    <m/>
    <m/>
    <m/>
    <m/>
    <m/>
  </r>
  <r>
    <x v="37"/>
    <x v="38"/>
    <m/>
    <m/>
    <m/>
    <m/>
    <m/>
    <m/>
    <m/>
    <m/>
    <m/>
    <m/>
    <m/>
    <m/>
    <m/>
    <m/>
    <m/>
    <m/>
    <m/>
  </r>
  <r>
    <x v="37"/>
    <x v="39"/>
    <m/>
    <m/>
    <m/>
    <m/>
    <m/>
    <m/>
    <m/>
    <m/>
    <m/>
    <m/>
    <m/>
    <m/>
    <m/>
    <m/>
    <m/>
    <m/>
    <m/>
  </r>
  <r>
    <x v="37"/>
    <x v="40"/>
    <m/>
    <m/>
    <m/>
    <m/>
    <m/>
    <m/>
    <m/>
    <m/>
    <m/>
    <m/>
    <m/>
    <m/>
    <m/>
    <m/>
    <m/>
    <m/>
    <m/>
  </r>
  <r>
    <x v="37"/>
    <x v="41"/>
    <m/>
    <m/>
    <m/>
    <m/>
    <m/>
    <m/>
    <m/>
    <m/>
    <m/>
    <m/>
    <m/>
    <m/>
    <m/>
    <m/>
    <m/>
    <m/>
    <m/>
  </r>
  <r>
    <x v="37"/>
    <x v="42"/>
    <m/>
    <m/>
    <m/>
    <m/>
    <m/>
    <m/>
    <m/>
    <m/>
    <m/>
    <m/>
    <m/>
    <m/>
    <m/>
    <m/>
    <m/>
    <m/>
    <m/>
  </r>
  <r>
    <x v="37"/>
    <x v="43"/>
    <m/>
    <m/>
    <m/>
    <m/>
    <m/>
    <m/>
    <m/>
    <m/>
    <m/>
    <m/>
    <m/>
    <m/>
    <m/>
    <m/>
    <m/>
    <m/>
    <m/>
  </r>
  <r>
    <x v="37"/>
    <x v="44"/>
    <m/>
    <m/>
    <m/>
    <m/>
    <m/>
    <m/>
    <m/>
    <m/>
    <m/>
    <m/>
    <m/>
    <m/>
    <m/>
    <m/>
    <m/>
    <m/>
    <m/>
  </r>
  <r>
    <x v="37"/>
    <x v="45"/>
    <m/>
    <m/>
    <m/>
    <m/>
    <m/>
    <m/>
    <m/>
    <m/>
    <m/>
    <m/>
    <m/>
    <m/>
    <m/>
    <m/>
    <m/>
    <m/>
    <m/>
  </r>
  <r>
    <x v="37"/>
    <x v="46"/>
    <m/>
    <m/>
    <m/>
    <m/>
    <m/>
    <m/>
    <m/>
    <m/>
    <m/>
    <m/>
    <m/>
    <m/>
    <m/>
    <m/>
    <m/>
    <m/>
    <m/>
  </r>
  <r>
    <x v="37"/>
    <x v="47"/>
    <m/>
    <m/>
    <m/>
    <m/>
    <m/>
    <m/>
    <m/>
    <m/>
    <m/>
    <m/>
    <m/>
    <m/>
    <m/>
    <m/>
    <m/>
    <m/>
    <m/>
  </r>
  <r>
    <x v="37"/>
    <x v="48"/>
    <m/>
    <m/>
    <m/>
    <m/>
    <m/>
    <m/>
    <m/>
    <m/>
    <m/>
    <m/>
    <m/>
    <m/>
    <m/>
    <m/>
    <m/>
    <m/>
    <m/>
  </r>
  <r>
    <x v="37"/>
    <x v="49"/>
    <m/>
    <m/>
    <m/>
    <m/>
    <m/>
    <m/>
    <m/>
    <m/>
    <m/>
    <m/>
    <m/>
    <m/>
    <m/>
    <m/>
    <m/>
    <m/>
    <m/>
  </r>
  <r>
    <x v="37"/>
    <x v="50"/>
    <m/>
    <m/>
    <m/>
    <m/>
    <m/>
    <m/>
    <m/>
    <m/>
    <m/>
    <m/>
    <m/>
    <m/>
    <m/>
    <m/>
    <m/>
    <m/>
    <m/>
  </r>
  <r>
    <x v="37"/>
    <x v="51"/>
    <m/>
    <m/>
    <m/>
    <m/>
    <m/>
    <m/>
    <m/>
    <m/>
    <m/>
    <m/>
    <m/>
    <m/>
    <m/>
    <m/>
    <m/>
    <m/>
    <m/>
  </r>
  <r>
    <x v="38"/>
    <x v="0"/>
    <m/>
    <m/>
    <m/>
    <m/>
    <m/>
    <m/>
    <m/>
    <m/>
    <m/>
    <m/>
    <m/>
    <m/>
    <m/>
    <m/>
    <m/>
    <m/>
    <m/>
  </r>
  <r>
    <x v="38"/>
    <x v="1"/>
    <m/>
    <m/>
    <m/>
    <m/>
    <m/>
    <m/>
    <m/>
    <n v="15"/>
    <n v="1"/>
    <m/>
    <m/>
    <m/>
    <n v="4"/>
    <n v="3"/>
    <n v="2"/>
    <m/>
    <m/>
  </r>
  <r>
    <x v="38"/>
    <x v="2"/>
    <m/>
    <m/>
    <m/>
    <m/>
    <m/>
    <m/>
    <m/>
    <n v="8"/>
    <n v="1"/>
    <m/>
    <m/>
    <m/>
    <m/>
    <m/>
    <m/>
    <m/>
    <m/>
  </r>
  <r>
    <x v="38"/>
    <x v="3"/>
    <n v="4"/>
    <n v="2"/>
    <n v="3"/>
    <n v="2"/>
    <n v="4"/>
    <n v="2"/>
    <n v="12"/>
    <n v="10"/>
    <n v="10"/>
    <n v="5"/>
    <n v="7"/>
    <n v="12"/>
    <m/>
    <n v="14"/>
    <n v="2"/>
    <m/>
    <m/>
  </r>
  <r>
    <x v="38"/>
    <x v="4"/>
    <n v="3"/>
    <n v="1"/>
    <n v="2"/>
    <n v="1"/>
    <n v="3"/>
    <n v="1"/>
    <n v="40"/>
    <n v="44"/>
    <n v="14"/>
    <n v="9"/>
    <n v="10"/>
    <n v="17"/>
    <n v="13"/>
    <n v="30"/>
    <n v="13"/>
    <m/>
    <m/>
  </r>
  <r>
    <x v="38"/>
    <x v="5"/>
    <m/>
    <m/>
    <m/>
    <m/>
    <m/>
    <m/>
    <m/>
    <m/>
    <m/>
    <m/>
    <m/>
    <m/>
    <m/>
    <m/>
    <m/>
    <m/>
    <m/>
  </r>
  <r>
    <x v="38"/>
    <x v="6"/>
    <m/>
    <m/>
    <m/>
    <m/>
    <m/>
    <m/>
    <m/>
    <m/>
    <m/>
    <m/>
    <m/>
    <m/>
    <m/>
    <m/>
    <m/>
    <m/>
    <m/>
  </r>
  <r>
    <x v="38"/>
    <x v="7"/>
    <m/>
    <m/>
    <m/>
    <m/>
    <m/>
    <m/>
    <m/>
    <m/>
    <m/>
    <m/>
    <m/>
    <m/>
    <m/>
    <m/>
    <m/>
    <m/>
    <m/>
  </r>
  <r>
    <x v="38"/>
    <x v="8"/>
    <m/>
    <m/>
    <m/>
    <m/>
    <m/>
    <m/>
    <n v="40"/>
    <m/>
    <m/>
    <m/>
    <m/>
    <m/>
    <m/>
    <n v="50"/>
    <n v="6"/>
    <m/>
    <m/>
  </r>
  <r>
    <x v="38"/>
    <x v="9"/>
    <m/>
    <m/>
    <m/>
    <m/>
    <m/>
    <m/>
    <n v="2"/>
    <m/>
    <m/>
    <m/>
    <n v="2"/>
    <n v="2"/>
    <n v="2"/>
    <m/>
    <n v="2"/>
    <n v="2"/>
    <m/>
  </r>
  <r>
    <x v="38"/>
    <x v="10"/>
    <m/>
    <m/>
    <m/>
    <m/>
    <m/>
    <m/>
    <m/>
    <m/>
    <m/>
    <m/>
    <m/>
    <m/>
    <m/>
    <m/>
    <m/>
    <m/>
    <m/>
  </r>
  <r>
    <x v="38"/>
    <x v="11"/>
    <m/>
    <m/>
    <m/>
    <m/>
    <m/>
    <m/>
    <n v="1"/>
    <m/>
    <m/>
    <m/>
    <m/>
    <m/>
    <n v="1"/>
    <m/>
    <m/>
    <m/>
    <m/>
  </r>
  <r>
    <x v="38"/>
    <x v="12"/>
    <m/>
    <m/>
    <m/>
    <m/>
    <m/>
    <m/>
    <n v="25"/>
    <n v="12"/>
    <m/>
    <m/>
    <m/>
    <n v="12"/>
    <m/>
    <n v="30"/>
    <m/>
    <m/>
    <m/>
  </r>
  <r>
    <x v="38"/>
    <x v="13"/>
    <m/>
    <m/>
    <m/>
    <m/>
    <m/>
    <m/>
    <m/>
    <m/>
    <m/>
    <m/>
    <m/>
    <m/>
    <m/>
    <m/>
    <m/>
    <m/>
    <m/>
  </r>
  <r>
    <x v="38"/>
    <x v="14"/>
    <m/>
    <m/>
    <m/>
    <m/>
    <m/>
    <m/>
    <m/>
    <m/>
    <m/>
    <m/>
    <m/>
    <m/>
    <m/>
    <m/>
    <m/>
    <m/>
    <m/>
  </r>
  <r>
    <x v="38"/>
    <x v="15"/>
    <m/>
    <m/>
    <m/>
    <m/>
    <m/>
    <m/>
    <n v="8"/>
    <n v="4"/>
    <m/>
    <n v="6"/>
    <m/>
    <m/>
    <n v="2"/>
    <n v="10"/>
    <n v="2"/>
    <m/>
    <m/>
  </r>
  <r>
    <x v="38"/>
    <x v="16"/>
    <m/>
    <m/>
    <m/>
    <m/>
    <m/>
    <m/>
    <m/>
    <m/>
    <m/>
    <m/>
    <m/>
    <m/>
    <m/>
    <m/>
    <m/>
    <m/>
    <m/>
  </r>
  <r>
    <x v="38"/>
    <x v="17"/>
    <m/>
    <m/>
    <m/>
    <m/>
    <m/>
    <m/>
    <m/>
    <m/>
    <m/>
    <m/>
    <m/>
    <m/>
    <m/>
    <m/>
    <m/>
    <m/>
    <m/>
  </r>
  <r>
    <x v="38"/>
    <x v="18"/>
    <m/>
    <m/>
    <m/>
    <m/>
    <m/>
    <m/>
    <m/>
    <m/>
    <m/>
    <m/>
    <m/>
    <m/>
    <m/>
    <m/>
    <m/>
    <m/>
    <m/>
  </r>
  <r>
    <x v="38"/>
    <x v="19"/>
    <m/>
    <m/>
    <m/>
    <m/>
    <m/>
    <m/>
    <m/>
    <m/>
    <m/>
    <m/>
    <m/>
    <m/>
    <m/>
    <m/>
    <m/>
    <m/>
    <m/>
  </r>
  <r>
    <x v="38"/>
    <x v="20"/>
    <m/>
    <m/>
    <m/>
    <m/>
    <m/>
    <m/>
    <m/>
    <m/>
    <m/>
    <m/>
    <m/>
    <m/>
    <m/>
    <m/>
    <m/>
    <m/>
    <m/>
  </r>
  <r>
    <x v="38"/>
    <x v="21"/>
    <m/>
    <m/>
    <m/>
    <m/>
    <m/>
    <m/>
    <m/>
    <m/>
    <m/>
    <m/>
    <m/>
    <m/>
    <m/>
    <m/>
    <m/>
    <m/>
    <m/>
  </r>
  <r>
    <x v="38"/>
    <x v="22"/>
    <m/>
    <m/>
    <m/>
    <m/>
    <m/>
    <m/>
    <m/>
    <m/>
    <m/>
    <m/>
    <m/>
    <m/>
    <m/>
    <m/>
    <m/>
    <m/>
    <m/>
  </r>
  <r>
    <x v="38"/>
    <x v="23"/>
    <m/>
    <m/>
    <m/>
    <m/>
    <m/>
    <m/>
    <m/>
    <m/>
    <m/>
    <m/>
    <m/>
    <m/>
    <m/>
    <m/>
    <m/>
    <m/>
    <m/>
  </r>
  <r>
    <x v="38"/>
    <x v="24"/>
    <m/>
    <m/>
    <m/>
    <m/>
    <m/>
    <m/>
    <n v="1"/>
    <m/>
    <m/>
    <m/>
    <n v="1"/>
    <n v="1"/>
    <n v="1"/>
    <m/>
    <n v="1"/>
    <n v="1"/>
    <m/>
  </r>
  <r>
    <x v="38"/>
    <x v="25"/>
    <m/>
    <m/>
    <m/>
    <m/>
    <m/>
    <m/>
    <n v="30"/>
    <m/>
    <m/>
    <m/>
    <n v="18"/>
    <m/>
    <m/>
    <n v="23"/>
    <n v="6"/>
    <m/>
    <m/>
  </r>
  <r>
    <x v="38"/>
    <x v="26"/>
    <m/>
    <m/>
    <m/>
    <m/>
    <m/>
    <m/>
    <m/>
    <m/>
    <m/>
    <m/>
    <m/>
    <m/>
    <m/>
    <m/>
    <m/>
    <m/>
    <m/>
  </r>
  <r>
    <x v="38"/>
    <x v="27"/>
    <m/>
    <m/>
    <m/>
    <m/>
    <m/>
    <m/>
    <m/>
    <m/>
    <m/>
    <m/>
    <m/>
    <m/>
    <m/>
    <m/>
    <m/>
    <m/>
    <m/>
  </r>
  <r>
    <x v="38"/>
    <x v="28"/>
    <m/>
    <m/>
    <m/>
    <m/>
    <m/>
    <m/>
    <m/>
    <m/>
    <m/>
    <m/>
    <m/>
    <m/>
    <m/>
    <m/>
    <m/>
    <m/>
    <m/>
  </r>
  <r>
    <x v="38"/>
    <x v="29"/>
    <m/>
    <m/>
    <m/>
    <m/>
    <m/>
    <m/>
    <m/>
    <m/>
    <m/>
    <m/>
    <m/>
    <m/>
    <m/>
    <m/>
    <m/>
    <m/>
    <m/>
  </r>
  <r>
    <x v="38"/>
    <x v="30"/>
    <m/>
    <m/>
    <m/>
    <m/>
    <m/>
    <m/>
    <m/>
    <m/>
    <m/>
    <m/>
    <m/>
    <m/>
    <m/>
    <m/>
    <m/>
    <m/>
    <m/>
  </r>
  <r>
    <x v="38"/>
    <x v="31"/>
    <m/>
    <m/>
    <m/>
    <m/>
    <m/>
    <m/>
    <n v="5"/>
    <m/>
    <m/>
    <m/>
    <m/>
    <m/>
    <m/>
    <m/>
    <m/>
    <m/>
    <m/>
  </r>
  <r>
    <x v="38"/>
    <x v="32"/>
    <m/>
    <m/>
    <m/>
    <m/>
    <m/>
    <m/>
    <n v="1"/>
    <m/>
    <m/>
    <m/>
    <m/>
    <m/>
    <n v="1"/>
    <m/>
    <m/>
    <m/>
    <m/>
  </r>
  <r>
    <x v="38"/>
    <x v="33"/>
    <m/>
    <m/>
    <m/>
    <m/>
    <m/>
    <m/>
    <m/>
    <m/>
    <m/>
    <m/>
    <m/>
    <m/>
    <m/>
    <m/>
    <m/>
    <m/>
    <m/>
  </r>
  <r>
    <x v="38"/>
    <x v="34"/>
    <m/>
    <m/>
    <m/>
    <m/>
    <m/>
    <m/>
    <n v="3"/>
    <m/>
    <m/>
    <m/>
    <m/>
    <m/>
    <n v="3"/>
    <m/>
    <m/>
    <m/>
    <m/>
  </r>
  <r>
    <x v="38"/>
    <x v="35"/>
    <n v="4"/>
    <n v="6"/>
    <n v="3"/>
    <n v="5"/>
    <n v="4"/>
    <n v="6"/>
    <n v="30"/>
    <n v="14"/>
    <m/>
    <n v="4"/>
    <n v="6"/>
    <n v="18"/>
    <m/>
    <n v="30"/>
    <n v="4"/>
    <n v="8"/>
    <m/>
  </r>
  <r>
    <x v="38"/>
    <x v="36"/>
    <m/>
    <m/>
    <m/>
    <m/>
    <m/>
    <m/>
    <n v="4"/>
    <m/>
    <m/>
    <m/>
    <n v="4"/>
    <n v="4"/>
    <n v="4"/>
    <n v="1"/>
    <n v="4"/>
    <n v="4"/>
    <m/>
  </r>
  <r>
    <x v="38"/>
    <x v="37"/>
    <m/>
    <m/>
    <m/>
    <m/>
    <m/>
    <m/>
    <m/>
    <m/>
    <m/>
    <m/>
    <m/>
    <m/>
    <m/>
    <m/>
    <m/>
    <m/>
    <m/>
  </r>
  <r>
    <x v="38"/>
    <x v="38"/>
    <m/>
    <m/>
    <m/>
    <m/>
    <m/>
    <m/>
    <m/>
    <m/>
    <m/>
    <m/>
    <m/>
    <m/>
    <m/>
    <m/>
    <m/>
    <m/>
    <m/>
  </r>
  <r>
    <x v="38"/>
    <x v="39"/>
    <m/>
    <m/>
    <m/>
    <m/>
    <m/>
    <m/>
    <m/>
    <m/>
    <m/>
    <m/>
    <m/>
    <m/>
    <m/>
    <m/>
    <m/>
    <m/>
    <m/>
  </r>
  <r>
    <x v="38"/>
    <x v="40"/>
    <m/>
    <m/>
    <m/>
    <m/>
    <m/>
    <m/>
    <m/>
    <m/>
    <m/>
    <m/>
    <m/>
    <m/>
    <m/>
    <m/>
    <m/>
    <m/>
    <m/>
  </r>
  <r>
    <x v="38"/>
    <x v="41"/>
    <m/>
    <m/>
    <m/>
    <m/>
    <m/>
    <m/>
    <m/>
    <m/>
    <m/>
    <m/>
    <m/>
    <m/>
    <m/>
    <m/>
    <m/>
    <m/>
    <m/>
  </r>
  <r>
    <x v="38"/>
    <x v="42"/>
    <n v="35"/>
    <n v="30"/>
    <n v="15"/>
    <n v="15"/>
    <n v="15"/>
    <n v="15"/>
    <n v="160"/>
    <n v="20"/>
    <m/>
    <n v="30"/>
    <n v="30"/>
    <n v="30"/>
    <m/>
    <n v="100"/>
    <m/>
    <m/>
    <m/>
  </r>
  <r>
    <x v="38"/>
    <x v="43"/>
    <m/>
    <m/>
    <m/>
    <m/>
    <m/>
    <m/>
    <n v="1"/>
    <m/>
    <m/>
    <m/>
    <m/>
    <m/>
    <n v="1"/>
    <m/>
    <m/>
    <m/>
    <m/>
  </r>
  <r>
    <x v="38"/>
    <x v="44"/>
    <m/>
    <m/>
    <m/>
    <m/>
    <m/>
    <m/>
    <n v="20"/>
    <n v="10"/>
    <m/>
    <m/>
    <n v="10"/>
    <n v="10"/>
    <m/>
    <n v="20"/>
    <m/>
    <m/>
    <m/>
  </r>
  <r>
    <x v="38"/>
    <x v="45"/>
    <m/>
    <m/>
    <m/>
    <m/>
    <m/>
    <m/>
    <m/>
    <m/>
    <m/>
    <m/>
    <m/>
    <m/>
    <m/>
    <m/>
    <m/>
    <m/>
    <m/>
  </r>
  <r>
    <x v="38"/>
    <x v="46"/>
    <m/>
    <m/>
    <m/>
    <m/>
    <m/>
    <m/>
    <m/>
    <m/>
    <m/>
    <m/>
    <m/>
    <m/>
    <m/>
    <m/>
    <m/>
    <n v="2"/>
    <m/>
  </r>
  <r>
    <x v="38"/>
    <x v="47"/>
    <m/>
    <m/>
    <m/>
    <m/>
    <m/>
    <m/>
    <m/>
    <m/>
    <m/>
    <m/>
    <m/>
    <m/>
    <m/>
    <m/>
    <m/>
    <m/>
    <m/>
  </r>
  <r>
    <x v="38"/>
    <x v="48"/>
    <m/>
    <m/>
    <m/>
    <m/>
    <m/>
    <m/>
    <m/>
    <m/>
    <m/>
    <m/>
    <m/>
    <m/>
    <m/>
    <m/>
    <m/>
    <m/>
    <m/>
  </r>
  <r>
    <x v="38"/>
    <x v="49"/>
    <m/>
    <m/>
    <m/>
    <m/>
    <m/>
    <m/>
    <m/>
    <m/>
    <m/>
    <m/>
    <m/>
    <m/>
    <m/>
    <m/>
    <m/>
    <m/>
    <m/>
  </r>
  <r>
    <x v="38"/>
    <x v="50"/>
    <m/>
    <m/>
    <m/>
    <m/>
    <m/>
    <m/>
    <n v="1"/>
    <m/>
    <m/>
    <m/>
    <m/>
    <m/>
    <n v="1"/>
    <m/>
    <m/>
    <m/>
    <m/>
  </r>
  <r>
    <x v="38"/>
    <x v="51"/>
    <n v="4"/>
    <n v="4"/>
    <n v="4"/>
    <m/>
    <m/>
    <m/>
    <n v="45"/>
    <n v="10"/>
    <m/>
    <m/>
    <m/>
    <n v="14"/>
    <n v="4"/>
    <n v="34"/>
    <n v="2"/>
    <n v="4"/>
    <m/>
  </r>
  <r>
    <x v="39"/>
    <x v="0"/>
    <m/>
    <m/>
    <m/>
    <m/>
    <m/>
    <m/>
    <n v="1"/>
    <m/>
    <m/>
    <m/>
    <m/>
    <m/>
    <m/>
    <m/>
    <n v="1"/>
    <m/>
    <m/>
  </r>
  <r>
    <x v="39"/>
    <x v="1"/>
    <m/>
    <m/>
    <m/>
    <m/>
    <m/>
    <m/>
    <m/>
    <m/>
    <m/>
    <m/>
    <m/>
    <m/>
    <m/>
    <m/>
    <m/>
    <m/>
    <m/>
  </r>
  <r>
    <x v="39"/>
    <x v="2"/>
    <m/>
    <m/>
    <m/>
    <m/>
    <m/>
    <m/>
    <m/>
    <m/>
    <m/>
    <m/>
    <m/>
    <m/>
    <m/>
    <m/>
    <m/>
    <m/>
    <m/>
  </r>
  <r>
    <x v="39"/>
    <x v="3"/>
    <m/>
    <m/>
    <m/>
    <m/>
    <m/>
    <m/>
    <m/>
    <n v="1"/>
    <n v="1"/>
    <m/>
    <n v="1"/>
    <n v="2"/>
    <n v="2"/>
    <n v="1"/>
    <n v="2"/>
    <n v="3"/>
    <m/>
  </r>
  <r>
    <x v="39"/>
    <x v="4"/>
    <m/>
    <m/>
    <m/>
    <m/>
    <m/>
    <m/>
    <m/>
    <n v="1"/>
    <n v="2"/>
    <m/>
    <n v="1"/>
    <n v="1"/>
    <n v="2"/>
    <n v="0"/>
    <n v="2"/>
    <n v="2"/>
    <m/>
  </r>
  <r>
    <x v="39"/>
    <x v="5"/>
    <m/>
    <m/>
    <m/>
    <m/>
    <m/>
    <m/>
    <m/>
    <m/>
    <m/>
    <m/>
    <m/>
    <m/>
    <m/>
    <m/>
    <m/>
    <m/>
    <m/>
  </r>
  <r>
    <x v="39"/>
    <x v="6"/>
    <m/>
    <m/>
    <m/>
    <m/>
    <m/>
    <m/>
    <m/>
    <m/>
    <m/>
    <m/>
    <m/>
    <m/>
    <m/>
    <m/>
    <m/>
    <m/>
    <m/>
  </r>
  <r>
    <x v="39"/>
    <x v="7"/>
    <m/>
    <m/>
    <m/>
    <m/>
    <m/>
    <m/>
    <m/>
    <m/>
    <m/>
    <m/>
    <m/>
    <m/>
    <m/>
    <m/>
    <m/>
    <m/>
    <m/>
  </r>
  <r>
    <x v="39"/>
    <x v="8"/>
    <m/>
    <m/>
    <m/>
    <m/>
    <m/>
    <m/>
    <m/>
    <m/>
    <m/>
    <m/>
    <m/>
    <m/>
    <m/>
    <m/>
    <m/>
    <m/>
    <m/>
  </r>
  <r>
    <x v="39"/>
    <x v="9"/>
    <m/>
    <m/>
    <m/>
    <m/>
    <m/>
    <m/>
    <m/>
    <m/>
    <m/>
    <m/>
    <m/>
    <m/>
    <m/>
    <m/>
    <m/>
    <m/>
    <m/>
  </r>
  <r>
    <x v="39"/>
    <x v="10"/>
    <m/>
    <m/>
    <m/>
    <m/>
    <m/>
    <m/>
    <m/>
    <m/>
    <m/>
    <m/>
    <m/>
    <m/>
    <m/>
    <m/>
    <m/>
    <m/>
    <m/>
  </r>
  <r>
    <x v="39"/>
    <x v="11"/>
    <m/>
    <m/>
    <m/>
    <m/>
    <m/>
    <m/>
    <m/>
    <m/>
    <m/>
    <m/>
    <m/>
    <m/>
    <m/>
    <m/>
    <m/>
    <m/>
    <m/>
  </r>
  <r>
    <x v="39"/>
    <x v="12"/>
    <m/>
    <m/>
    <m/>
    <m/>
    <m/>
    <m/>
    <m/>
    <m/>
    <m/>
    <m/>
    <m/>
    <m/>
    <m/>
    <m/>
    <m/>
    <m/>
    <m/>
  </r>
  <r>
    <x v="39"/>
    <x v="13"/>
    <m/>
    <m/>
    <m/>
    <m/>
    <m/>
    <m/>
    <m/>
    <m/>
    <m/>
    <m/>
    <m/>
    <m/>
    <m/>
    <m/>
    <m/>
    <m/>
    <m/>
  </r>
  <r>
    <x v="39"/>
    <x v="14"/>
    <m/>
    <m/>
    <m/>
    <m/>
    <m/>
    <m/>
    <m/>
    <m/>
    <m/>
    <m/>
    <m/>
    <m/>
    <m/>
    <m/>
    <m/>
    <m/>
    <m/>
  </r>
  <r>
    <x v="39"/>
    <x v="15"/>
    <m/>
    <m/>
    <m/>
    <m/>
    <m/>
    <m/>
    <m/>
    <m/>
    <m/>
    <m/>
    <m/>
    <m/>
    <m/>
    <m/>
    <m/>
    <m/>
    <m/>
  </r>
  <r>
    <x v="39"/>
    <x v="16"/>
    <m/>
    <m/>
    <m/>
    <m/>
    <m/>
    <m/>
    <m/>
    <m/>
    <m/>
    <m/>
    <m/>
    <m/>
    <m/>
    <m/>
    <m/>
    <m/>
    <m/>
  </r>
  <r>
    <x v="39"/>
    <x v="17"/>
    <m/>
    <m/>
    <m/>
    <m/>
    <m/>
    <m/>
    <m/>
    <m/>
    <m/>
    <m/>
    <m/>
    <m/>
    <m/>
    <m/>
    <m/>
    <m/>
    <m/>
  </r>
  <r>
    <x v="39"/>
    <x v="18"/>
    <m/>
    <m/>
    <m/>
    <m/>
    <m/>
    <m/>
    <m/>
    <m/>
    <m/>
    <m/>
    <m/>
    <m/>
    <m/>
    <m/>
    <m/>
    <m/>
    <m/>
  </r>
  <r>
    <x v="39"/>
    <x v="19"/>
    <m/>
    <m/>
    <m/>
    <m/>
    <m/>
    <m/>
    <m/>
    <m/>
    <m/>
    <m/>
    <m/>
    <m/>
    <m/>
    <m/>
    <m/>
    <m/>
    <m/>
  </r>
  <r>
    <x v="39"/>
    <x v="20"/>
    <m/>
    <m/>
    <m/>
    <m/>
    <m/>
    <m/>
    <m/>
    <m/>
    <m/>
    <m/>
    <m/>
    <m/>
    <m/>
    <m/>
    <m/>
    <m/>
    <m/>
  </r>
  <r>
    <x v="39"/>
    <x v="21"/>
    <m/>
    <m/>
    <m/>
    <m/>
    <m/>
    <m/>
    <m/>
    <m/>
    <m/>
    <m/>
    <m/>
    <m/>
    <m/>
    <m/>
    <m/>
    <m/>
    <m/>
  </r>
  <r>
    <x v="39"/>
    <x v="22"/>
    <m/>
    <m/>
    <m/>
    <m/>
    <m/>
    <m/>
    <m/>
    <m/>
    <n v="1"/>
    <m/>
    <n v="1"/>
    <n v="1"/>
    <n v="3"/>
    <n v="1"/>
    <n v="3"/>
    <n v="2"/>
    <m/>
  </r>
  <r>
    <x v="39"/>
    <x v="23"/>
    <m/>
    <m/>
    <m/>
    <m/>
    <m/>
    <m/>
    <m/>
    <m/>
    <m/>
    <m/>
    <m/>
    <m/>
    <m/>
    <m/>
    <m/>
    <m/>
    <m/>
  </r>
  <r>
    <x v="39"/>
    <x v="24"/>
    <m/>
    <m/>
    <m/>
    <m/>
    <m/>
    <m/>
    <m/>
    <m/>
    <m/>
    <m/>
    <m/>
    <m/>
    <m/>
    <m/>
    <m/>
    <m/>
    <m/>
  </r>
  <r>
    <x v="39"/>
    <x v="25"/>
    <m/>
    <m/>
    <m/>
    <m/>
    <m/>
    <m/>
    <m/>
    <m/>
    <m/>
    <m/>
    <m/>
    <m/>
    <m/>
    <m/>
    <m/>
    <m/>
    <m/>
  </r>
  <r>
    <x v="39"/>
    <x v="26"/>
    <m/>
    <m/>
    <m/>
    <m/>
    <m/>
    <m/>
    <m/>
    <m/>
    <m/>
    <m/>
    <m/>
    <m/>
    <m/>
    <m/>
    <m/>
    <m/>
    <m/>
  </r>
  <r>
    <x v="39"/>
    <x v="27"/>
    <m/>
    <m/>
    <m/>
    <m/>
    <m/>
    <m/>
    <m/>
    <m/>
    <m/>
    <m/>
    <m/>
    <m/>
    <m/>
    <m/>
    <m/>
    <m/>
    <m/>
  </r>
  <r>
    <x v="39"/>
    <x v="28"/>
    <m/>
    <m/>
    <m/>
    <m/>
    <m/>
    <m/>
    <m/>
    <m/>
    <m/>
    <m/>
    <m/>
    <m/>
    <m/>
    <m/>
    <m/>
    <m/>
    <m/>
  </r>
  <r>
    <x v="39"/>
    <x v="29"/>
    <m/>
    <m/>
    <m/>
    <m/>
    <m/>
    <m/>
    <m/>
    <m/>
    <m/>
    <m/>
    <m/>
    <m/>
    <m/>
    <m/>
    <m/>
    <m/>
    <m/>
  </r>
  <r>
    <x v="39"/>
    <x v="30"/>
    <m/>
    <m/>
    <m/>
    <m/>
    <m/>
    <m/>
    <m/>
    <m/>
    <m/>
    <m/>
    <m/>
    <m/>
    <m/>
    <m/>
    <m/>
    <m/>
    <m/>
  </r>
  <r>
    <x v="39"/>
    <x v="31"/>
    <m/>
    <m/>
    <m/>
    <m/>
    <m/>
    <m/>
    <m/>
    <m/>
    <m/>
    <m/>
    <m/>
    <m/>
    <m/>
    <m/>
    <m/>
    <m/>
    <m/>
  </r>
  <r>
    <x v="39"/>
    <x v="32"/>
    <m/>
    <m/>
    <m/>
    <m/>
    <m/>
    <m/>
    <m/>
    <m/>
    <m/>
    <m/>
    <m/>
    <m/>
    <m/>
    <m/>
    <m/>
    <m/>
    <m/>
  </r>
  <r>
    <x v="39"/>
    <x v="33"/>
    <m/>
    <m/>
    <m/>
    <m/>
    <m/>
    <m/>
    <m/>
    <m/>
    <m/>
    <m/>
    <m/>
    <m/>
    <m/>
    <m/>
    <m/>
    <m/>
    <m/>
  </r>
  <r>
    <x v="39"/>
    <x v="34"/>
    <m/>
    <m/>
    <m/>
    <m/>
    <m/>
    <m/>
    <m/>
    <m/>
    <m/>
    <m/>
    <m/>
    <m/>
    <m/>
    <m/>
    <m/>
    <m/>
    <m/>
  </r>
  <r>
    <x v="39"/>
    <x v="35"/>
    <m/>
    <m/>
    <m/>
    <m/>
    <m/>
    <m/>
    <m/>
    <m/>
    <m/>
    <m/>
    <m/>
    <m/>
    <m/>
    <m/>
    <m/>
    <m/>
    <m/>
  </r>
  <r>
    <x v="39"/>
    <x v="36"/>
    <m/>
    <m/>
    <m/>
    <m/>
    <m/>
    <m/>
    <m/>
    <m/>
    <m/>
    <m/>
    <m/>
    <m/>
    <m/>
    <m/>
    <m/>
    <m/>
    <m/>
  </r>
  <r>
    <x v="39"/>
    <x v="37"/>
    <m/>
    <m/>
    <m/>
    <m/>
    <m/>
    <m/>
    <m/>
    <m/>
    <m/>
    <m/>
    <m/>
    <m/>
    <m/>
    <m/>
    <m/>
    <m/>
    <m/>
  </r>
  <r>
    <x v="39"/>
    <x v="38"/>
    <m/>
    <m/>
    <m/>
    <m/>
    <m/>
    <m/>
    <m/>
    <m/>
    <m/>
    <m/>
    <m/>
    <m/>
    <m/>
    <m/>
    <m/>
    <m/>
    <m/>
  </r>
  <r>
    <x v="39"/>
    <x v="39"/>
    <m/>
    <m/>
    <m/>
    <m/>
    <m/>
    <m/>
    <m/>
    <m/>
    <m/>
    <m/>
    <m/>
    <m/>
    <m/>
    <m/>
    <m/>
    <m/>
    <m/>
  </r>
  <r>
    <x v="39"/>
    <x v="40"/>
    <m/>
    <m/>
    <m/>
    <m/>
    <m/>
    <m/>
    <m/>
    <m/>
    <m/>
    <m/>
    <m/>
    <m/>
    <m/>
    <m/>
    <m/>
    <m/>
    <m/>
  </r>
  <r>
    <x v="39"/>
    <x v="41"/>
    <m/>
    <m/>
    <m/>
    <m/>
    <m/>
    <m/>
    <m/>
    <m/>
    <m/>
    <m/>
    <m/>
    <m/>
    <m/>
    <m/>
    <m/>
    <m/>
    <m/>
  </r>
  <r>
    <x v="39"/>
    <x v="42"/>
    <m/>
    <m/>
    <m/>
    <m/>
    <m/>
    <m/>
    <m/>
    <m/>
    <m/>
    <m/>
    <m/>
    <m/>
    <m/>
    <m/>
    <m/>
    <m/>
    <m/>
  </r>
  <r>
    <x v="39"/>
    <x v="43"/>
    <m/>
    <m/>
    <m/>
    <m/>
    <m/>
    <m/>
    <m/>
    <m/>
    <m/>
    <m/>
    <m/>
    <m/>
    <m/>
    <m/>
    <m/>
    <m/>
    <m/>
  </r>
  <r>
    <x v="39"/>
    <x v="44"/>
    <m/>
    <m/>
    <m/>
    <m/>
    <m/>
    <m/>
    <m/>
    <m/>
    <m/>
    <m/>
    <m/>
    <m/>
    <m/>
    <m/>
    <m/>
    <m/>
    <m/>
  </r>
  <r>
    <x v="39"/>
    <x v="45"/>
    <m/>
    <m/>
    <m/>
    <m/>
    <m/>
    <m/>
    <m/>
    <m/>
    <m/>
    <m/>
    <m/>
    <m/>
    <m/>
    <m/>
    <m/>
    <m/>
    <m/>
  </r>
  <r>
    <x v="39"/>
    <x v="46"/>
    <m/>
    <m/>
    <m/>
    <m/>
    <m/>
    <m/>
    <m/>
    <m/>
    <m/>
    <m/>
    <m/>
    <m/>
    <m/>
    <m/>
    <m/>
    <m/>
    <m/>
  </r>
  <r>
    <x v="39"/>
    <x v="47"/>
    <m/>
    <m/>
    <m/>
    <m/>
    <m/>
    <m/>
    <m/>
    <m/>
    <m/>
    <m/>
    <m/>
    <m/>
    <m/>
    <m/>
    <m/>
    <m/>
    <m/>
  </r>
  <r>
    <x v="39"/>
    <x v="48"/>
    <m/>
    <m/>
    <m/>
    <m/>
    <m/>
    <m/>
    <m/>
    <m/>
    <m/>
    <m/>
    <m/>
    <m/>
    <m/>
    <m/>
    <m/>
    <m/>
    <m/>
  </r>
  <r>
    <x v="39"/>
    <x v="49"/>
    <m/>
    <m/>
    <m/>
    <m/>
    <m/>
    <m/>
    <m/>
    <m/>
    <m/>
    <m/>
    <m/>
    <m/>
    <m/>
    <m/>
    <m/>
    <m/>
    <m/>
  </r>
  <r>
    <x v="39"/>
    <x v="50"/>
    <m/>
    <m/>
    <m/>
    <m/>
    <m/>
    <m/>
    <m/>
    <m/>
    <m/>
    <m/>
    <m/>
    <m/>
    <m/>
    <m/>
    <m/>
    <m/>
    <m/>
  </r>
  <r>
    <x v="39"/>
    <x v="51"/>
    <m/>
    <m/>
    <m/>
    <m/>
    <m/>
    <m/>
    <m/>
    <m/>
    <m/>
    <m/>
    <m/>
    <m/>
    <m/>
    <m/>
    <m/>
    <m/>
    <m/>
  </r>
  <r>
    <x v="40"/>
    <x v="0"/>
    <m/>
    <m/>
    <m/>
    <m/>
    <m/>
    <m/>
    <m/>
    <m/>
    <m/>
    <m/>
    <m/>
    <m/>
    <m/>
    <m/>
    <m/>
    <m/>
    <m/>
  </r>
  <r>
    <x v="40"/>
    <x v="1"/>
    <m/>
    <m/>
    <m/>
    <m/>
    <m/>
    <m/>
    <m/>
    <m/>
    <m/>
    <m/>
    <m/>
    <m/>
    <m/>
    <m/>
    <m/>
    <m/>
    <m/>
  </r>
  <r>
    <x v="40"/>
    <x v="2"/>
    <m/>
    <m/>
    <m/>
    <m/>
    <m/>
    <m/>
    <m/>
    <m/>
    <m/>
    <m/>
    <m/>
    <m/>
    <m/>
    <m/>
    <m/>
    <m/>
    <m/>
  </r>
  <r>
    <x v="40"/>
    <x v="3"/>
    <m/>
    <m/>
    <m/>
    <m/>
    <m/>
    <m/>
    <m/>
    <m/>
    <m/>
    <m/>
    <m/>
    <m/>
    <m/>
    <m/>
    <m/>
    <m/>
    <m/>
  </r>
  <r>
    <x v="40"/>
    <x v="4"/>
    <m/>
    <m/>
    <m/>
    <m/>
    <m/>
    <m/>
    <m/>
    <m/>
    <m/>
    <m/>
    <m/>
    <m/>
    <m/>
    <m/>
    <m/>
    <m/>
    <m/>
  </r>
  <r>
    <x v="40"/>
    <x v="5"/>
    <m/>
    <m/>
    <m/>
    <m/>
    <m/>
    <m/>
    <m/>
    <m/>
    <m/>
    <m/>
    <m/>
    <m/>
    <m/>
    <m/>
    <m/>
    <m/>
    <m/>
  </r>
  <r>
    <x v="40"/>
    <x v="6"/>
    <m/>
    <m/>
    <m/>
    <m/>
    <m/>
    <m/>
    <m/>
    <m/>
    <m/>
    <m/>
    <m/>
    <m/>
    <m/>
    <m/>
    <m/>
    <m/>
    <m/>
  </r>
  <r>
    <x v="40"/>
    <x v="7"/>
    <m/>
    <m/>
    <m/>
    <m/>
    <m/>
    <m/>
    <m/>
    <m/>
    <m/>
    <m/>
    <m/>
    <m/>
    <m/>
    <m/>
    <m/>
    <m/>
    <m/>
  </r>
  <r>
    <x v="40"/>
    <x v="8"/>
    <m/>
    <m/>
    <m/>
    <m/>
    <m/>
    <m/>
    <m/>
    <m/>
    <m/>
    <m/>
    <m/>
    <m/>
    <m/>
    <m/>
    <m/>
    <m/>
    <m/>
  </r>
  <r>
    <x v="40"/>
    <x v="9"/>
    <m/>
    <m/>
    <m/>
    <m/>
    <m/>
    <m/>
    <m/>
    <m/>
    <m/>
    <m/>
    <m/>
    <m/>
    <m/>
    <m/>
    <m/>
    <m/>
    <m/>
  </r>
  <r>
    <x v="40"/>
    <x v="10"/>
    <m/>
    <m/>
    <m/>
    <m/>
    <m/>
    <m/>
    <m/>
    <m/>
    <m/>
    <m/>
    <m/>
    <m/>
    <m/>
    <m/>
    <m/>
    <m/>
    <m/>
  </r>
  <r>
    <x v="40"/>
    <x v="11"/>
    <m/>
    <m/>
    <m/>
    <m/>
    <m/>
    <m/>
    <m/>
    <m/>
    <m/>
    <m/>
    <m/>
    <m/>
    <m/>
    <m/>
    <m/>
    <m/>
    <m/>
  </r>
  <r>
    <x v="40"/>
    <x v="12"/>
    <m/>
    <m/>
    <m/>
    <m/>
    <m/>
    <m/>
    <m/>
    <m/>
    <m/>
    <m/>
    <m/>
    <m/>
    <m/>
    <m/>
    <m/>
    <m/>
    <m/>
  </r>
  <r>
    <x v="40"/>
    <x v="13"/>
    <m/>
    <m/>
    <m/>
    <m/>
    <m/>
    <m/>
    <m/>
    <m/>
    <m/>
    <m/>
    <m/>
    <m/>
    <m/>
    <m/>
    <m/>
    <m/>
    <m/>
  </r>
  <r>
    <x v="40"/>
    <x v="14"/>
    <m/>
    <m/>
    <m/>
    <m/>
    <m/>
    <m/>
    <m/>
    <m/>
    <m/>
    <m/>
    <m/>
    <m/>
    <m/>
    <m/>
    <m/>
    <m/>
    <m/>
  </r>
  <r>
    <x v="40"/>
    <x v="15"/>
    <m/>
    <m/>
    <m/>
    <m/>
    <m/>
    <m/>
    <m/>
    <m/>
    <n v="2"/>
    <m/>
    <m/>
    <m/>
    <m/>
    <n v="4"/>
    <m/>
    <m/>
    <m/>
  </r>
  <r>
    <x v="40"/>
    <x v="16"/>
    <m/>
    <m/>
    <m/>
    <m/>
    <m/>
    <m/>
    <m/>
    <m/>
    <m/>
    <m/>
    <m/>
    <m/>
    <m/>
    <m/>
    <m/>
    <m/>
    <m/>
  </r>
  <r>
    <x v="40"/>
    <x v="17"/>
    <m/>
    <m/>
    <m/>
    <m/>
    <m/>
    <m/>
    <n v="5"/>
    <m/>
    <n v="8"/>
    <m/>
    <m/>
    <m/>
    <n v="1"/>
    <n v="8"/>
    <n v="2"/>
    <m/>
    <m/>
  </r>
  <r>
    <x v="40"/>
    <x v="18"/>
    <m/>
    <m/>
    <m/>
    <m/>
    <m/>
    <m/>
    <m/>
    <m/>
    <m/>
    <m/>
    <m/>
    <m/>
    <m/>
    <m/>
    <m/>
    <m/>
    <m/>
  </r>
  <r>
    <x v="40"/>
    <x v="19"/>
    <m/>
    <m/>
    <m/>
    <m/>
    <m/>
    <m/>
    <m/>
    <m/>
    <m/>
    <m/>
    <m/>
    <m/>
    <m/>
    <m/>
    <m/>
    <m/>
    <m/>
  </r>
  <r>
    <x v="40"/>
    <x v="20"/>
    <m/>
    <n v="6"/>
    <m/>
    <n v="1"/>
    <m/>
    <n v="4"/>
    <n v="47"/>
    <n v="27"/>
    <m/>
    <m/>
    <n v="8"/>
    <n v="17"/>
    <n v="6"/>
    <n v="22"/>
    <n v="7"/>
    <n v="7"/>
    <m/>
  </r>
  <r>
    <x v="40"/>
    <x v="21"/>
    <m/>
    <m/>
    <m/>
    <m/>
    <m/>
    <m/>
    <m/>
    <m/>
    <m/>
    <m/>
    <m/>
    <m/>
    <m/>
    <m/>
    <m/>
    <m/>
    <m/>
  </r>
  <r>
    <x v="40"/>
    <x v="22"/>
    <m/>
    <m/>
    <m/>
    <m/>
    <m/>
    <m/>
    <m/>
    <m/>
    <m/>
    <m/>
    <m/>
    <m/>
    <m/>
    <m/>
    <m/>
    <m/>
    <m/>
  </r>
  <r>
    <x v="40"/>
    <x v="23"/>
    <m/>
    <m/>
    <m/>
    <m/>
    <m/>
    <m/>
    <m/>
    <m/>
    <m/>
    <m/>
    <n v="2"/>
    <m/>
    <n v="2"/>
    <n v="2"/>
    <n v="2"/>
    <n v="4"/>
    <m/>
  </r>
  <r>
    <x v="40"/>
    <x v="24"/>
    <m/>
    <m/>
    <m/>
    <m/>
    <m/>
    <m/>
    <m/>
    <m/>
    <m/>
    <m/>
    <m/>
    <m/>
    <m/>
    <m/>
    <m/>
    <m/>
    <m/>
  </r>
  <r>
    <x v="40"/>
    <x v="25"/>
    <m/>
    <m/>
    <m/>
    <m/>
    <m/>
    <m/>
    <m/>
    <m/>
    <m/>
    <m/>
    <m/>
    <m/>
    <m/>
    <m/>
    <m/>
    <m/>
    <m/>
  </r>
  <r>
    <x v="40"/>
    <x v="26"/>
    <m/>
    <m/>
    <m/>
    <m/>
    <m/>
    <m/>
    <n v="26"/>
    <n v="11"/>
    <m/>
    <m/>
    <n v="6"/>
    <n v="13"/>
    <n v="6"/>
    <n v="18"/>
    <n v="6"/>
    <n v="6"/>
    <m/>
  </r>
  <r>
    <x v="40"/>
    <x v="27"/>
    <m/>
    <m/>
    <m/>
    <m/>
    <m/>
    <m/>
    <m/>
    <m/>
    <m/>
    <m/>
    <m/>
    <m/>
    <m/>
    <m/>
    <m/>
    <m/>
    <m/>
  </r>
  <r>
    <x v="40"/>
    <x v="28"/>
    <m/>
    <m/>
    <m/>
    <m/>
    <m/>
    <m/>
    <m/>
    <m/>
    <m/>
    <m/>
    <m/>
    <n v="1"/>
    <m/>
    <n v="3"/>
    <m/>
    <m/>
    <m/>
  </r>
  <r>
    <x v="40"/>
    <x v="29"/>
    <m/>
    <m/>
    <m/>
    <m/>
    <m/>
    <m/>
    <m/>
    <n v="1"/>
    <m/>
    <m/>
    <n v="1"/>
    <m/>
    <n v="3"/>
    <n v="1"/>
    <n v="1"/>
    <n v="3"/>
    <m/>
  </r>
  <r>
    <x v="40"/>
    <x v="30"/>
    <m/>
    <m/>
    <m/>
    <m/>
    <m/>
    <m/>
    <m/>
    <m/>
    <m/>
    <m/>
    <m/>
    <m/>
    <m/>
    <n v="2"/>
    <m/>
    <m/>
    <m/>
  </r>
  <r>
    <x v="40"/>
    <x v="31"/>
    <n v="11"/>
    <n v="5"/>
    <n v="4"/>
    <n v="3"/>
    <n v="8"/>
    <n v="2"/>
    <n v="220"/>
    <n v="33"/>
    <n v="13"/>
    <n v="11"/>
    <n v="21"/>
    <n v="33"/>
    <n v="31"/>
    <n v="99"/>
    <n v="23"/>
    <n v="47"/>
    <m/>
  </r>
  <r>
    <x v="40"/>
    <x v="32"/>
    <m/>
    <m/>
    <m/>
    <m/>
    <m/>
    <m/>
    <m/>
    <m/>
    <m/>
    <m/>
    <m/>
    <m/>
    <m/>
    <n v="2"/>
    <m/>
    <m/>
    <m/>
  </r>
  <r>
    <x v="40"/>
    <x v="33"/>
    <m/>
    <m/>
    <m/>
    <m/>
    <m/>
    <m/>
    <m/>
    <m/>
    <m/>
    <m/>
    <m/>
    <m/>
    <m/>
    <m/>
    <m/>
    <m/>
    <m/>
  </r>
  <r>
    <x v="40"/>
    <x v="34"/>
    <m/>
    <m/>
    <m/>
    <m/>
    <m/>
    <m/>
    <m/>
    <m/>
    <m/>
    <m/>
    <m/>
    <m/>
    <m/>
    <m/>
    <m/>
    <m/>
    <m/>
  </r>
  <r>
    <x v="40"/>
    <x v="35"/>
    <m/>
    <m/>
    <m/>
    <m/>
    <m/>
    <m/>
    <m/>
    <m/>
    <n v="2"/>
    <m/>
    <m/>
    <m/>
    <m/>
    <n v="1"/>
    <m/>
    <m/>
    <m/>
  </r>
  <r>
    <x v="40"/>
    <x v="36"/>
    <m/>
    <m/>
    <m/>
    <m/>
    <m/>
    <m/>
    <m/>
    <m/>
    <m/>
    <m/>
    <m/>
    <m/>
    <m/>
    <m/>
    <m/>
    <m/>
    <m/>
  </r>
  <r>
    <x v="40"/>
    <x v="37"/>
    <m/>
    <m/>
    <m/>
    <m/>
    <m/>
    <m/>
    <m/>
    <m/>
    <m/>
    <m/>
    <m/>
    <m/>
    <m/>
    <m/>
    <m/>
    <m/>
    <m/>
  </r>
  <r>
    <x v="40"/>
    <x v="38"/>
    <m/>
    <m/>
    <m/>
    <m/>
    <m/>
    <m/>
    <n v="7"/>
    <n v="3"/>
    <n v="8"/>
    <m/>
    <m/>
    <n v="1"/>
    <n v="1"/>
    <n v="9"/>
    <m/>
    <m/>
    <m/>
  </r>
  <r>
    <x v="40"/>
    <x v="39"/>
    <m/>
    <m/>
    <m/>
    <m/>
    <m/>
    <m/>
    <m/>
    <m/>
    <m/>
    <m/>
    <m/>
    <m/>
    <m/>
    <m/>
    <m/>
    <m/>
    <m/>
  </r>
  <r>
    <x v="40"/>
    <x v="40"/>
    <m/>
    <m/>
    <m/>
    <m/>
    <m/>
    <m/>
    <m/>
    <m/>
    <m/>
    <m/>
    <m/>
    <m/>
    <m/>
    <m/>
    <m/>
    <m/>
    <m/>
  </r>
  <r>
    <x v="40"/>
    <x v="41"/>
    <m/>
    <m/>
    <m/>
    <m/>
    <m/>
    <m/>
    <m/>
    <m/>
    <m/>
    <m/>
    <m/>
    <m/>
    <m/>
    <m/>
    <m/>
    <m/>
    <m/>
  </r>
  <r>
    <x v="40"/>
    <x v="42"/>
    <m/>
    <m/>
    <m/>
    <m/>
    <m/>
    <m/>
    <n v="5"/>
    <m/>
    <m/>
    <m/>
    <m/>
    <m/>
    <m/>
    <n v="5"/>
    <m/>
    <m/>
    <m/>
  </r>
  <r>
    <x v="40"/>
    <x v="43"/>
    <m/>
    <m/>
    <m/>
    <m/>
    <m/>
    <m/>
    <m/>
    <m/>
    <m/>
    <m/>
    <m/>
    <m/>
    <m/>
    <m/>
    <m/>
    <m/>
    <m/>
  </r>
  <r>
    <x v="40"/>
    <x v="44"/>
    <m/>
    <m/>
    <m/>
    <m/>
    <m/>
    <m/>
    <m/>
    <m/>
    <m/>
    <m/>
    <m/>
    <m/>
    <m/>
    <n v="4"/>
    <m/>
    <m/>
    <m/>
  </r>
  <r>
    <x v="40"/>
    <x v="45"/>
    <m/>
    <m/>
    <m/>
    <m/>
    <m/>
    <m/>
    <m/>
    <m/>
    <m/>
    <m/>
    <m/>
    <m/>
    <m/>
    <n v="6"/>
    <m/>
    <m/>
    <m/>
  </r>
  <r>
    <x v="40"/>
    <x v="46"/>
    <m/>
    <m/>
    <m/>
    <m/>
    <m/>
    <m/>
    <m/>
    <m/>
    <m/>
    <m/>
    <m/>
    <m/>
    <m/>
    <n v="5"/>
    <m/>
    <m/>
    <m/>
  </r>
  <r>
    <x v="40"/>
    <x v="47"/>
    <m/>
    <m/>
    <m/>
    <m/>
    <m/>
    <m/>
    <m/>
    <m/>
    <m/>
    <m/>
    <m/>
    <m/>
    <m/>
    <m/>
    <m/>
    <m/>
    <m/>
  </r>
  <r>
    <x v="40"/>
    <x v="48"/>
    <m/>
    <m/>
    <m/>
    <m/>
    <m/>
    <m/>
    <n v="27"/>
    <m/>
    <m/>
    <m/>
    <m/>
    <m/>
    <n v="14"/>
    <n v="62"/>
    <n v="2"/>
    <n v="2"/>
    <m/>
  </r>
  <r>
    <x v="40"/>
    <x v="49"/>
    <m/>
    <m/>
    <m/>
    <m/>
    <m/>
    <m/>
    <m/>
    <m/>
    <m/>
    <m/>
    <m/>
    <m/>
    <m/>
    <m/>
    <m/>
    <m/>
    <m/>
  </r>
  <r>
    <x v="40"/>
    <x v="50"/>
    <m/>
    <m/>
    <m/>
    <m/>
    <m/>
    <m/>
    <m/>
    <m/>
    <m/>
    <m/>
    <m/>
    <m/>
    <m/>
    <m/>
    <m/>
    <m/>
    <m/>
  </r>
  <r>
    <x v="40"/>
    <x v="51"/>
    <m/>
    <m/>
    <m/>
    <m/>
    <m/>
    <m/>
    <m/>
    <m/>
    <m/>
    <m/>
    <m/>
    <m/>
    <m/>
    <m/>
    <m/>
    <m/>
    <m/>
  </r>
  <r>
    <x v="41"/>
    <x v="0"/>
    <m/>
    <m/>
    <m/>
    <m/>
    <m/>
    <m/>
    <m/>
    <m/>
    <m/>
    <m/>
    <m/>
    <m/>
    <m/>
    <m/>
    <m/>
    <m/>
    <m/>
  </r>
  <r>
    <x v="41"/>
    <x v="1"/>
    <m/>
    <m/>
    <m/>
    <m/>
    <m/>
    <m/>
    <m/>
    <m/>
    <m/>
    <m/>
    <m/>
    <m/>
    <m/>
    <m/>
    <m/>
    <m/>
    <m/>
  </r>
  <r>
    <x v="41"/>
    <x v="2"/>
    <m/>
    <m/>
    <m/>
    <m/>
    <m/>
    <m/>
    <m/>
    <m/>
    <m/>
    <m/>
    <m/>
    <m/>
    <m/>
    <m/>
    <m/>
    <m/>
    <m/>
  </r>
  <r>
    <x v="41"/>
    <x v="3"/>
    <m/>
    <m/>
    <m/>
    <m/>
    <m/>
    <m/>
    <m/>
    <m/>
    <m/>
    <m/>
    <m/>
    <m/>
    <m/>
    <m/>
    <m/>
    <m/>
    <m/>
  </r>
  <r>
    <x v="41"/>
    <x v="4"/>
    <m/>
    <m/>
    <m/>
    <m/>
    <m/>
    <m/>
    <m/>
    <m/>
    <m/>
    <m/>
    <m/>
    <m/>
    <m/>
    <m/>
    <m/>
    <m/>
    <m/>
  </r>
  <r>
    <x v="41"/>
    <x v="5"/>
    <m/>
    <m/>
    <m/>
    <m/>
    <m/>
    <m/>
    <m/>
    <m/>
    <m/>
    <m/>
    <m/>
    <m/>
    <m/>
    <m/>
    <m/>
    <m/>
    <m/>
  </r>
  <r>
    <x v="41"/>
    <x v="6"/>
    <m/>
    <m/>
    <m/>
    <m/>
    <m/>
    <m/>
    <m/>
    <m/>
    <m/>
    <m/>
    <m/>
    <m/>
    <m/>
    <m/>
    <m/>
    <m/>
    <m/>
  </r>
  <r>
    <x v="41"/>
    <x v="7"/>
    <m/>
    <m/>
    <m/>
    <m/>
    <m/>
    <m/>
    <m/>
    <m/>
    <m/>
    <m/>
    <m/>
    <m/>
    <m/>
    <m/>
    <m/>
    <m/>
    <m/>
  </r>
  <r>
    <x v="41"/>
    <x v="8"/>
    <m/>
    <m/>
    <m/>
    <m/>
    <m/>
    <m/>
    <m/>
    <m/>
    <m/>
    <m/>
    <m/>
    <m/>
    <m/>
    <m/>
    <m/>
    <m/>
    <m/>
  </r>
  <r>
    <x v="41"/>
    <x v="9"/>
    <m/>
    <m/>
    <m/>
    <m/>
    <m/>
    <m/>
    <m/>
    <m/>
    <m/>
    <m/>
    <m/>
    <m/>
    <m/>
    <m/>
    <m/>
    <m/>
    <m/>
  </r>
  <r>
    <x v="41"/>
    <x v="10"/>
    <m/>
    <m/>
    <m/>
    <m/>
    <m/>
    <m/>
    <m/>
    <m/>
    <m/>
    <m/>
    <m/>
    <m/>
    <m/>
    <m/>
    <m/>
    <m/>
    <m/>
  </r>
  <r>
    <x v="41"/>
    <x v="11"/>
    <m/>
    <m/>
    <m/>
    <m/>
    <m/>
    <m/>
    <m/>
    <m/>
    <m/>
    <m/>
    <m/>
    <m/>
    <m/>
    <m/>
    <m/>
    <m/>
    <m/>
  </r>
  <r>
    <x v="41"/>
    <x v="12"/>
    <m/>
    <m/>
    <m/>
    <m/>
    <m/>
    <m/>
    <m/>
    <m/>
    <m/>
    <m/>
    <m/>
    <m/>
    <m/>
    <m/>
    <m/>
    <m/>
    <m/>
  </r>
  <r>
    <x v="41"/>
    <x v="13"/>
    <m/>
    <m/>
    <m/>
    <m/>
    <m/>
    <m/>
    <m/>
    <m/>
    <m/>
    <m/>
    <m/>
    <m/>
    <m/>
    <m/>
    <m/>
    <m/>
    <m/>
  </r>
  <r>
    <x v="41"/>
    <x v="14"/>
    <m/>
    <m/>
    <m/>
    <m/>
    <m/>
    <m/>
    <m/>
    <m/>
    <m/>
    <m/>
    <m/>
    <m/>
    <m/>
    <m/>
    <m/>
    <m/>
    <m/>
  </r>
  <r>
    <x v="41"/>
    <x v="15"/>
    <m/>
    <m/>
    <m/>
    <m/>
    <m/>
    <m/>
    <m/>
    <m/>
    <m/>
    <m/>
    <m/>
    <m/>
    <m/>
    <m/>
    <m/>
    <m/>
    <m/>
  </r>
  <r>
    <x v="41"/>
    <x v="16"/>
    <m/>
    <m/>
    <m/>
    <m/>
    <m/>
    <m/>
    <m/>
    <m/>
    <m/>
    <m/>
    <m/>
    <m/>
    <m/>
    <m/>
    <m/>
    <m/>
    <m/>
  </r>
  <r>
    <x v="41"/>
    <x v="17"/>
    <m/>
    <m/>
    <m/>
    <m/>
    <m/>
    <m/>
    <m/>
    <m/>
    <m/>
    <m/>
    <m/>
    <m/>
    <m/>
    <m/>
    <m/>
    <m/>
    <m/>
  </r>
  <r>
    <x v="41"/>
    <x v="18"/>
    <m/>
    <m/>
    <m/>
    <m/>
    <m/>
    <m/>
    <m/>
    <m/>
    <m/>
    <m/>
    <m/>
    <m/>
    <m/>
    <m/>
    <m/>
    <m/>
    <m/>
  </r>
  <r>
    <x v="41"/>
    <x v="19"/>
    <m/>
    <m/>
    <m/>
    <m/>
    <m/>
    <m/>
    <m/>
    <m/>
    <m/>
    <m/>
    <m/>
    <m/>
    <m/>
    <m/>
    <m/>
    <m/>
    <m/>
  </r>
  <r>
    <x v="41"/>
    <x v="20"/>
    <m/>
    <m/>
    <m/>
    <m/>
    <m/>
    <m/>
    <m/>
    <m/>
    <m/>
    <m/>
    <m/>
    <m/>
    <m/>
    <m/>
    <m/>
    <m/>
    <m/>
  </r>
  <r>
    <x v="41"/>
    <x v="21"/>
    <m/>
    <m/>
    <m/>
    <m/>
    <m/>
    <m/>
    <m/>
    <m/>
    <m/>
    <m/>
    <m/>
    <m/>
    <m/>
    <m/>
    <m/>
    <m/>
    <m/>
  </r>
  <r>
    <x v="41"/>
    <x v="22"/>
    <m/>
    <m/>
    <m/>
    <m/>
    <m/>
    <m/>
    <m/>
    <m/>
    <m/>
    <m/>
    <m/>
    <m/>
    <m/>
    <m/>
    <m/>
    <m/>
    <m/>
  </r>
  <r>
    <x v="41"/>
    <x v="23"/>
    <m/>
    <m/>
    <m/>
    <m/>
    <m/>
    <m/>
    <m/>
    <m/>
    <m/>
    <m/>
    <m/>
    <m/>
    <m/>
    <m/>
    <m/>
    <m/>
    <m/>
  </r>
  <r>
    <x v="41"/>
    <x v="24"/>
    <m/>
    <m/>
    <m/>
    <m/>
    <m/>
    <m/>
    <m/>
    <m/>
    <m/>
    <m/>
    <m/>
    <m/>
    <m/>
    <m/>
    <m/>
    <m/>
    <m/>
  </r>
  <r>
    <x v="41"/>
    <x v="25"/>
    <m/>
    <m/>
    <m/>
    <m/>
    <m/>
    <m/>
    <m/>
    <m/>
    <m/>
    <m/>
    <m/>
    <m/>
    <m/>
    <m/>
    <m/>
    <m/>
    <m/>
  </r>
  <r>
    <x v="41"/>
    <x v="26"/>
    <m/>
    <m/>
    <m/>
    <m/>
    <m/>
    <m/>
    <m/>
    <m/>
    <m/>
    <m/>
    <m/>
    <m/>
    <m/>
    <m/>
    <m/>
    <m/>
    <m/>
  </r>
  <r>
    <x v="41"/>
    <x v="27"/>
    <m/>
    <m/>
    <m/>
    <m/>
    <m/>
    <m/>
    <m/>
    <m/>
    <m/>
    <m/>
    <m/>
    <m/>
    <m/>
    <m/>
    <m/>
    <m/>
    <m/>
  </r>
  <r>
    <x v="41"/>
    <x v="28"/>
    <m/>
    <m/>
    <m/>
    <m/>
    <m/>
    <m/>
    <m/>
    <m/>
    <m/>
    <m/>
    <m/>
    <m/>
    <m/>
    <m/>
    <m/>
    <m/>
    <m/>
  </r>
  <r>
    <x v="41"/>
    <x v="29"/>
    <m/>
    <m/>
    <m/>
    <m/>
    <m/>
    <m/>
    <m/>
    <m/>
    <m/>
    <m/>
    <m/>
    <m/>
    <m/>
    <m/>
    <m/>
    <m/>
    <m/>
  </r>
  <r>
    <x v="41"/>
    <x v="30"/>
    <m/>
    <m/>
    <m/>
    <m/>
    <m/>
    <m/>
    <m/>
    <m/>
    <m/>
    <m/>
    <m/>
    <m/>
    <m/>
    <m/>
    <m/>
    <m/>
    <m/>
  </r>
  <r>
    <x v="41"/>
    <x v="31"/>
    <m/>
    <m/>
    <m/>
    <m/>
    <m/>
    <m/>
    <m/>
    <m/>
    <m/>
    <m/>
    <m/>
    <m/>
    <m/>
    <m/>
    <m/>
    <m/>
    <m/>
  </r>
  <r>
    <x v="41"/>
    <x v="32"/>
    <m/>
    <m/>
    <m/>
    <m/>
    <m/>
    <m/>
    <m/>
    <m/>
    <m/>
    <m/>
    <m/>
    <m/>
    <m/>
    <m/>
    <m/>
    <m/>
    <m/>
  </r>
  <r>
    <x v="41"/>
    <x v="33"/>
    <m/>
    <m/>
    <m/>
    <m/>
    <m/>
    <m/>
    <m/>
    <m/>
    <m/>
    <m/>
    <m/>
    <m/>
    <m/>
    <m/>
    <m/>
    <m/>
    <m/>
  </r>
  <r>
    <x v="41"/>
    <x v="34"/>
    <m/>
    <m/>
    <m/>
    <m/>
    <m/>
    <m/>
    <m/>
    <m/>
    <m/>
    <m/>
    <m/>
    <m/>
    <m/>
    <m/>
    <m/>
    <m/>
    <m/>
  </r>
  <r>
    <x v="41"/>
    <x v="35"/>
    <m/>
    <m/>
    <m/>
    <m/>
    <m/>
    <m/>
    <m/>
    <m/>
    <m/>
    <m/>
    <m/>
    <m/>
    <m/>
    <m/>
    <m/>
    <m/>
    <m/>
  </r>
  <r>
    <x v="41"/>
    <x v="36"/>
    <m/>
    <m/>
    <m/>
    <m/>
    <m/>
    <m/>
    <m/>
    <m/>
    <m/>
    <m/>
    <m/>
    <m/>
    <m/>
    <m/>
    <m/>
    <m/>
    <m/>
  </r>
  <r>
    <x v="41"/>
    <x v="37"/>
    <m/>
    <m/>
    <m/>
    <m/>
    <m/>
    <m/>
    <m/>
    <m/>
    <m/>
    <m/>
    <m/>
    <m/>
    <m/>
    <m/>
    <m/>
    <m/>
    <m/>
  </r>
  <r>
    <x v="41"/>
    <x v="38"/>
    <m/>
    <m/>
    <m/>
    <m/>
    <m/>
    <m/>
    <m/>
    <m/>
    <m/>
    <m/>
    <m/>
    <m/>
    <m/>
    <m/>
    <m/>
    <m/>
    <m/>
  </r>
  <r>
    <x v="41"/>
    <x v="39"/>
    <m/>
    <m/>
    <m/>
    <m/>
    <m/>
    <m/>
    <m/>
    <m/>
    <m/>
    <m/>
    <m/>
    <m/>
    <m/>
    <m/>
    <m/>
    <m/>
    <m/>
  </r>
  <r>
    <x v="41"/>
    <x v="40"/>
    <m/>
    <m/>
    <m/>
    <m/>
    <m/>
    <m/>
    <m/>
    <m/>
    <m/>
    <m/>
    <m/>
    <m/>
    <m/>
    <m/>
    <m/>
    <m/>
    <m/>
  </r>
  <r>
    <x v="41"/>
    <x v="41"/>
    <m/>
    <m/>
    <m/>
    <m/>
    <m/>
    <m/>
    <m/>
    <m/>
    <m/>
    <m/>
    <m/>
    <m/>
    <m/>
    <m/>
    <m/>
    <m/>
    <m/>
  </r>
  <r>
    <x v="41"/>
    <x v="42"/>
    <m/>
    <m/>
    <m/>
    <m/>
    <m/>
    <m/>
    <m/>
    <m/>
    <m/>
    <m/>
    <m/>
    <m/>
    <m/>
    <m/>
    <m/>
    <m/>
    <m/>
  </r>
  <r>
    <x v="41"/>
    <x v="43"/>
    <m/>
    <m/>
    <m/>
    <m/>
    <m/>
    <m/>
    <m/>
    <m/>
    <m/>
    <m/>
    <m/>
    <m/>
    <m/>
    <m/>
    <m/>
    <m/>
    <m/>
  </r>
  <r>
    <x v="41"/>
    <x v="44"/>
    <m/>
    <m/>
    <m/>
    <m/>
    <m/>
    <m/>
    <m/>
    <m/>
    <m/>
    <m/>
    <m/>
    <m/>
    <m/>
    <m/>
    <m/>
    <m/>
    <m/>
  </r>
  <r>
    <x v="41"/>
    <x v="45"/>
    <m/>
    <m/>
    <m/>
    <m/>
    <m/>
    <m/>
    <m/>
    <m/>
    <m/>
    <m/>
    <m/>
    <m/>
    <m/>
    <m/>
    <m/>
    <m/>
    <m/>
  </r>
  <r>
    <x v="41"/>
    <x v="46"/>
    <m/>
    <m/>
    <m/>
    <m/>
    <m/>
    <m/>
    <m/>
    <m/>
    <m/>
    <m/>
    <m/>
    <m/>
    <m/>
    <m/>
    <m/>
    <m/>
    <m/>
  </r>
  <r>
    <x v="41"/>
    <x v="47"/>
    <m/>
    <m/>
    <m/>
    <m/>
    <m/>
    <m/>
    <m/>
    <m/>
    <m/>
    <m/>
    <m/>
    <m/>
    <m/>
    <m/>
    <m/>
    <m/>
    <m/>
  </r>
  <r>
    <x v="41"/>
    <x v="48"/>
    <m/>
    <m/>
    <m/>
    <m/>
    <m/>
    <m/>
    <m/>
    <m/>
    <m/>
    <m/>
    <m/>
    <m/>
    <m/>
    <m/>
    <m/>
    <m/>
    <m/>
  </r>
  <r>
    <x v="41"/>
    <x v="49"/>
    <m/>
    <m/>
    <m/>
    <m/>
    <m/>
    <m/>
    <m/>
    <m/>
    <m/>
    <m/>
    <m/>
    <m/>
    <m/>
    <m/>
    <m/>
    <m/>
    <m/>
  </r>
  <r>
    <x v="41"/>
    <x v="50"/>
    <m/>
    <m/>
    <m/>
    <m/>
    <m/>
    <m/>
    <m/>
    <m/>
    <m/>
    <m/>
    <m/>
    <m/>
    <m/>
    <m/>
    <m/>
    <m/>
    <m/>
  </r>
  <r>
    <x v="41"/>
    <x v="51"/>
    <m/>
    <m/>
    <m/>
    <m/>
    <m/>
    <m/>
    <m/>
    <m/>
    <m/>
    <m/>
    <m/>
    <m/>
    <m/>
    <m/>
    <m/>
    <m/>
    <m/>
  </r>
  <r>
    <x v="42"/>
    <x v="0"/>
    <m/>
    <m/>
    <m/>
    <m/>
    <m/>
    <m/>
    <m/>
    <m/>
    <m/>
    <m/>
    <m/>
    <m/>
    <m/>
    <m/>
    <m/>
    <m/>
    <m/>
  </r>
  <r>
    <x v="42"/>
    <x v="1"/>
    <m/>
    <m/>
    <m/>
    <m/>
    <m/>
    <m/>
    <m/>
    <m/>
    <m/>
    <m/>
    <m/>
    <m/>
    <m/>
    <m/>
    <m/>
    <m/>
    <m/>
  </r>
  <r>
    <x v="42"/>
    <x v="2"/>
    <m/>
    <m/>
    <m/>
    <m/>
    <m/>
    <m/>
    <m/>
    <m/>
    <m/>
    <m/>
    <m/>
    <m/>
    <m/>
    <m/>
    <m/>
    <m/>
    <m/>
  </r>
  <r>
    <x v="42"/>
    <x v="3"/>
    <m/>
    <m/>
    <m/>
    <m/>
    <m/>
    <m/>
    <m/>
    <m/>
    <m/>
    <m/>
    <m/>
    <m/>
    <m/>
    <m/>
    <m/>
    <m/>
    <m/>
  </r>
  <r>
    <x v="42"/>
    <x v="4"/>
    <m/>
    <m/>
    <m/>
    <m/>
    <m/>
    <m/>
    <m/>
    <m/>
    <m/>
    <m/>
    <m/>
    <m/>
    <m/>
    <m/>
    <m/>
    <m/>
    <m/>
  </r>
  <r>
    <x v="42"/>
    <x v="5"/>
    <m/>
    <m/>
    <m/>
    <m/>
    <m/>
    <m/>
    <m/>
    <m/>
    <m/>
    <m/>
    <m/>
    <m/>
    <m/>
    <m/>
    <m/>
    <m/>
    <m/>
  </r>
  <r>
    <x v="42"/>
    <x v="6"/>
    <m/>
    <m/>
    <m/>
    <m/>
    <m/>
    <m/>
    <m/>
    <m/>
    <m/>
    <m/>
    <m/>
    <m/>
    <m/>
    <m/>
    <m/>
    <m/>
    <m/>
  </r>
  <r>
    <x v="42"/>
    <x v="7"/>
    <m/>
    <m/>
    <m/>
    <m/>
    <m/>
    <m/>
    <m/>
    <m/>
    <m/>
    <m/>
    <m/>
    <m/>
    <m/>
    <m/>
    <m/>
    <m/>
    <m/>
  </r>
  <r>
    <x v="42"/>
    <x v="8"/>
    <m/>
    <m/>
    <m/>
    <m/>
    <m/>
    <m/>
    <m/>
    <m/>
    <m/>
    <m/>
    <m/>
    <m/>
    <m/>
    <m/>
    <m/>
    <m/>
    <m/>
  </r>
  <r>
    <x v="42"/>
    <x v="9"/>
    <m/>
    <m/>
    <m/>
    <m/>
    <m/>
    <m/>
    <m/>
    <m/>
    <m/>
    <m/>
    <m/>
    <m/>
    <m/>
    <m/>
    <m/>
    <m/>
    <m/>
  </r>
  <r>
    <x v="42"/>
    <x v="10"/>
    <m/>
    <m/>
    <m/>
    <m/>
    <m/>
    <m/>
    <m/>
    <m/>
    <m/>
    <m/>
    <m/>
    <m/>
    <m/>
    <m/>
    <m/>
    <m/>
    <m/>
  </r>
  <r>
    <x v="42"/>
    <x v="11"/>
    <m/>
    <m/>
    <m/>
    <m/>
    <m/>
    <m/>
    <m/>
    <m/>
    <m/>
    <m/>
    <m/>
    <m/>
    <m/>
    <m/>
    <m/>
    <m/>
    <m/>
  </r>
  <r>
    <x v="42"/>
    <x v="12"/>
    <m/>
    <m/>
    <m/>
    <m/>
    <m/>
    <m/>
    <m/>
    <m/>
    <m/>
    <m/>
    <m/>
    <m/>
    <m/>
    <m/>
    <m/>
    <m/>
    <m/>
  </r>
  <r>
    <x v="42"/>
    <x v="13"/>
    <m/>
    <m/>
    <m/>
    <m/>
    <m/>
    <m/>
    <m/>
    <m/>
    <m/>
    <m/>
    <m/>
    <m/>
    <m/>
    <m/>
    <m/>
    <m/>
    <m/>
  </r>
  <r>
    <x v="42"/>
    <x v="14"/>
    <m/>
    <m/>
    <m/>
    <m/>
    <m/>
    <m/>
    <m/>
    <m/>
    <m/>
    <m/>
    <m/>
    <m/>
    <m/>
    <m/>
    <m/>
    <m/>
    <m/>
  </r>
  <r>
    <x v="42"/>
    <x v="15"/>
    <m/>
    <m/>
    <m/>
    <m/>
    <m/>
    <m/>
    <m/>
    <m/>
    <m/>
    <m/>
    <m/>
    <m/>
    <m/>
    <m/>
    <m/>
    <m/>
    <m/>
  </r>
  <r>
    <x v="42"/>
    <x v="16"/>
    <m/>
    <m/>
    <m/>
    <m/>
    <m/>
    <m/>
    <m/>
    <m/>
    <m/>
    <m/>
    <m/>
    <m/>
    <m/>
    <m/>
    <m/>
    <m/>
    <m/>
  </r>
  <r>
    <x v="42"/>
    <x v="17"/>
    <m/>
    <m/>
    <m/>
    <m/>
    <m/>
    <m/>
    <m/>
    <m/>
    <m/>
    <m/>
    <m/>
    <m/>
    <m/>
    <m/>
    <m/>
    <m/>
    <m/>
  </r>
  <r>
    <x v="42"/>
    <x v="18"/>
    <m/>
    <m/>
    <m/>
    <m/>
    <m/>
    <m/>
    <m/>
    <m/>
    <m/>
    <m/>
    <m/>
    <m/>
    <m/>
    <m/>
    <m/>
    <m/>
    <m/>
  </r>
  <r>
    <x v="42"/>
    <x v="19"/>
    <m/>
    <m/>
    <m/>
    <m/>
    <m/>
    <m/>
    <m/>
    <m/>
    <m/>
    <m/>
    <m/>
    <m/>
    <m/>
    <m/>
    <m/>
    <m/>
    <m/>
  </r>
  <r>
    <x v="42"/>
    <x v="20"/>
    <m/>
    <m/>
    <m/>
    <m/>
    <m/>
    <m/>
    <m/>
    <m/>
    <m/>
    <m/>
    <m/>
    <m/>
    <m/>
    <m/>
    <m/>
    <m/>
    <m/>
  </r>
  <r>
    <x v="42"/>
    <x v="21"/>
    <m/>
    <m/>
    <m/>
    <m/>
    <m/>
    <m/>
    <m/>
    <m/>
    <m/>
    <m/>
    <m/>
    <m/>
    <m/>
    <m/>
    <m/>
    <m/>
    <m/>
  </r>
  <r>
    <x v="42"/>
    <x v="22"/>
    <m/>
    <m/>
    <m/>
    <m/>
    <m/>
    <m/>
    <m/>
    <m/>
    <m/>
    <m/>
    <m/>
    <m/>
    <m/>
    <m/>
    <m/>
    <m/>
    <m/>
  </r>
  <r>
    <x v="42"/>
    <x v="23"/>
    <m/>
    <m/>
    <m/>
    <m/>
    <m/>
    <m/>
    <m/>
    <m/>
    <m/>
    <m/>
    <m/>
    <m/>
    <m/>
    <m/>
    <m/>
    <m/>
    <m/>
  </r>
  <r>
    <x v="42"/>
    <x v="24"/>
    <m/>
    <m/>
    <m/>
    <m/>
    <m/>
    <m/>
    <m/>
    <m/>
    <m/>
    <m/>
    <m/>
    <m/>
    <m/>
    <m/>
    <m/>
    <m/>
    <m/>
  </r>
  <r>
    <x v="42"/>
    <x v="25"/>
    <m/>
    <m/>
    <m/>
    <m/>
    <m/>
    <m/>
    <m/>
    <m/>
    <m/>
    <m/>
    <m/>
    <m/>
    <m/>
    <m/>
    <m/>
    <m/>
    <m/>
  </r>
  <r>
    <x v="42"/>
    <x v="26"/>
    <m/>
    <m/>
    <m/>
    <m/>
    <m/>
    <m/>
    <m/>
    <m/>
    <m/>
    <m/>
    <m/>
    <m/>
    <m/>
    <m/>
    <m/>
    <m/>
    <m/>
  </r>
  <r>
    <x v="42"/>
    <x v="27"/>
    <m/>
    <m/>
    <m/>
    <m/>
    <m/>
    <m/>
    <m/>
    <m/>
    <m/>
    <m/>
    <m/>
    <m/>
    <m/>
    <m/>
    <m/>
    <m/>
    <m/>
  </r>
  <r>
    <x v="42"/>
    <x v="28"/>
    <m/>
    <m/>
    <m/>
    <m/>
    <m/>
    <m/>
    <m/>
    <m/>
    <m/>
    <m/>
    <m/>
    <m/>
    <m/>
    <m/>
    <m/>
    <m/>
    <m/>
  </r>
  <r>
    <x v="42"/>
    <x v="29"/>
    <m/>
    <m/>
    <m/>
    <m/>
    <m/>
    <m/>
    <m/>
    <m/>
    <m/>
    <m/>
    <m/>
    <m/>
    <m/>
    <m/>
    <m/>
    <m/>
    <m/>
  </r>
  <r>
    <x v="42"/>
    <x v="30"/>
    <m/>
    <m/>
    <m/>
    <m/>
    <m/>
    <m/>
    <m/>
    <m/>
    <m/>
    <m/>
    <m/>
    <m/>
    <m/>
    <m/>
    <m/>
    <m/>
    <m/>
  </r>
  <r>
    <x v="42"/>
    <x v="31"/>
    <m/>
    <m/>
    <m/>
    <m/>
    <m/>
    <m/>
    <m/>
    <m/>
    <m/>
    <m/>
    <m/>
    <m/>
    <m/>
    <m/>
    <m/>
    <m/>
    <m/>
  </r>
  <r>
    <x v="42"/>
    <x v="32"/>
    <m/>
    <m/>
    <m/>
    <m/>
    <m/>
    <m/>
    <m/>
    <m/>
    <m/>
    <m/>
    <m/>
    <m/>
    <m/>
    <m/>
    <m/>
    <m/>
    <m/>
  </r>
  <r>
    <x v="42"/>
    <x v="33"/>
    <m/>
    <m/>
    <m/>
    <m/>
    <m/>
    <m/>
    <m/>
    <m/>
    <m/>
    <m/>
    <m/>
    <m/>
    <m/>
    <m/>
    <m/>
    <m/>
    <m/>
  </r>
  <r>
    <x v="42"/>
    <x v="34"/>
    <m/>
    <m/>
    <m/>
    <m/>
    <m/>
    <m/>
    <m/>
    <m/>
    <m/>
    <m/>
    <m/>
    <m/>
    <m/>
    <m/>
    <m/>
    <m/>
    <m/>
  </r>
  <r>
    <x v="42"/>
    <x v="35"/>
    <m/>
    <m/>
    <m/>
    <m/>
    <m/>
    <m/>
    <m/>
    <m/>
    <m/>
    <m/>
    <m/>
    <m/>
    <m/>
    <m/>
    <m/>
    <m/>
    <m/>
  </r>
  <r>
    <x v="42"/>
    <x v="36"/>
    <m/>
    <m/>
    <m/>
    <m/>
    <m/>
    <m/>
    <m/>
    <m/>
    <m/>
    <m/>
    <m/>
    <m/>
    <m/>
    <m/>
    <m/>
    <m/>
    <m/>
  </r>
  <r>
    <x v="42"/>
    <x v="37"/>
    <m/>
    <m/>
    <m/>
    <m/>
    <m/>
    <m/>
    <m/>
    <m/>
    <m/>
    <m/>
    <m/>
    <m/>
    <m/>
    <m/>
    <m/>
    <m/>
    <m/>
  </r>
  <r>
    <x v="42"/>
    <x v="38"/>
    <m/>
    <m/>
    <m/>
    <m/>
    <m/>
    <m/>
    <m/>
    <m/>
    <m/>
    <m/>
    <m/>
    <m/>
    <m/>
    <m/>
    <m/>
    <m/>
    <m/>
  </r>
  <r>
    <x v="42"/>
    <x v="39"/>
    <m/>
    <m/>
    <m/>
    <m/>
    <m/>
    <m/>
    <m/>
    <m/>
    <m/>
    <m/>
    <m/>
    <m/>
    <m/>
    <m/>
    <m/>
    <m/>
    <m/>
  </r>
  <r>
    <x v="42"/>
    <x v="40"/>
    <m/>
    <m/>
    <m/>
    <m/>
    <m/>
    <m/>
    <m/>
    <m/>
    <m/>
    <m/>
    <m/>
    <m/>
    <m/>
    <m/>
    <m/>
    <m/>
    <m/>
  </r>
  <r>
    <x v="42"/>
    <x v="41"/>
    <m/>
    <m/>
    <m/>
    <m/>
    <m/>
    <m/>
    <m/>
    <m/>
    <m/>
    <m/>
    <m/>
    <m/>
    <m/>
    <m/>
    <m/>
    <m/>
    <m/>
  </r>
  <r>
    <x v="42"/>
    <x v="42"/>
    <m/>
    <m/>
    <m/>
    <m/>
    <m/>
    <m/>
    <m/>
    <m/>
    <m/>
    <m/>
    <m/>
    <m/>
    <m/>
    <m/>
    <n v="2"/>
    <n v="2"/>
    <m/>
  </r>
  <r>
    <x v="42"/>
    <x v="43"/>
    <m/>
    <m/>
    <m/>
    <m/>
    <m/>
    <m/>
    <m/>
    <m/>
    <m/>
    <m/>
    <m/>
    <m/>
    <m/>
    <m/>
    <m/>
    <m/>
    <m/>
  </r>
  <r>
    <x v="42"/>
    <x v="44"/>
    <m/>
    <m/>
    <m/>
    <m/>
    <m/>
    <m/>
    <m/>
    <m/>
    <m/>
    <m/>
    <m/>
    <m/>
    <m/>
    <m/>
    <m/>
    <m/>
    <m/>
  </r>
  <r>
    <x v="42"/>
    <x v="45"/>
    <m/>
    <m/>
    <m/>
    <m/>
    <m/>
    <m/>
    <m/>
    <m/>
    <m/>
    <m/>
    <m/>
    <m/>
    <m/>
    <m/>
    <m/>
    <m/>
    <m/>
  </r>
  <r>
    <x v="42"/>
    <x v="46"/>
    <m/>
    <m/>
    <m/>
    <m/>
    <m/>
    <m/>
    <m/>
    <m/>
    <m/>
    <m/>
    <m/>
    <m/>
    <m/>
    <m/>
    <m/>
    <m/>
    <m/>
  </r>
  <r>
    <x v="42"/>
    <x v="47"/>
    <m/>
    <m/>
    <m/>
    <m/>
    <m/>
    <m/>
    <m/>
    <m/>
    <m/>
    <m/>
    <m/>
    <m/>
    <m/>
    <m/>
    <m/>
    <m/>
    <m/>
  </r>
  <r>
    <x v="42"/>
    <x v="48"/>
    <m/>
    <m/>
    <m/>
    <m/>
    <m/>
    <m/>
    <m/>
    <m/>
    <m/>
    <m/>
    <m/>
    <m/>
    <m/>
    <m/>
    <m/>
    <m/>
    <m/>
  </r>
  <r>
    <x v="42"/>
    <x v="49"/>
    <m/>
    <m/>
    <m/>
    <m/>
    <m/>
    <m/>
    <m/>
    <m/>
    <m/>
    <m/>
    <m/>
    <m/>
    <m/>
    <m/>
    <m/>
    <m/>
    <m/>
  </r>
  <r>
    <x v="42"/>
    <x v="50"/>
    <m/>
    <m/>
    <m/>
    <m/>
    <m/>
    <m/>
    <m/>
    <m/>
    <m/>
    <m/>
    <m/>
    <m/>
    <m/>
    <m/>
    <m/>
    <m/>
    <m/>
  </r>
  <r>
    <x v="42"/>
    <x v="51"/>
    <m/>
    <m/>
    <m/>
    <m/>
    <m/>
    <m/>
    <m/>
    <m/>
    <m/>
    <m/>
    <m/>
    <m/>
    <m/>
    <m/>
    <m/>
    <m/>
    <m/>
  </r>
  <r>
    <x v="43"/>
    <x v="0"/>
    <m/>
    <m/>
    <m/>
    <m/>
    <m/>
    <m/>
    <m/>
    <m/>
    <m/>
    <m/>
    <m/>
    <m/>
    <m/>
    <m/>
    <m/>
    <m/>
    <m/>
  </r>
  <r>
    <x v="43"/>
    <x v="1"/>
    <m/>
    <m/>
    <m/>
    <m/>
    <m/>
    <m/>
    <m/>
    <m/>
    <m/>
    <m/>
    <m/>
    <m/>
    <m/>
    <m/>
    <m/>
    <m/>
    <m/>
  </r>
  <r>
    <x v="43"/>
    <x v="3"/>
    <m/>
    <m/>
    <m/>
    <m/>
    <m/>
    <m/>
    <m/>
    <m/>
    <m/>
    <m/>
    <m/>
    <m/>
    <m/>
    <m/>
    <m/>
    <m/>
    <m/>
  </r>
  <r>
    <x v="43"/>
    <x v="4"/>
    <m/>
    <m/>
    <m/>
    <m/>
    <m/>
    <m/>
    <m/>
    <m/>
    <m/>
    <m/>
    <m/>
    <m/>
    <m/>
    <m/>
    <m/>
    <m/>
    <m/>
  </r>
  <r>
    <x v="43"/>
    <x v="5"/>
    <m/>
    <m/>
    <m/>
    <m/>
    <m/>
    <m/>
    <m/>
    <m/>
    <m/>
    <m/>
    <m/>
    <m/>
    <m/>
    <m/>
    <m/>
    <m/>
    <m/>
  </r>
  <r>
    <x v="43"/>
    <x v="6"/>
    <m/>
    <m/>
    <m/>
    <m/>
    <m/>
    <m/>
    <m/>
    <m/>
    <m/>
    <m/>
    <m/>
    <m/>
    <m/>
    <m/>
    <m/>
    <m/>
    <m/>
  </r>
  <r>
    <x v="43"/>
    <x v="7"/>
    <m/>
    <m/>
    <m/>
    <m/>
    <m/>
    <m/>
    <m/>
    <m/>
    <m/>
    <m/>
    <m/>
    <m/>
    <m/>
    <m/>
    <m/>
    <m/>
    <m/>
  </r>
  <r>
    <x v="43"/>
    <x v="8"/>
    <m/>
    <m/>
    <m/>
    <m/>
    <m/>
    <m/>
    <m/>
    <m/>
    <m/>
    <m/>
    <m/>
    <m/>
    <m/>
    <m/>
    <m/>
    <m/>
    <m/>
  </r>
  <r>
    <x v="43"/>
    <x v="9"/>
    <m/>
    <m/>
    <m/>
    <m/>
    <m/>
    <m/>
    <m/>
    <m/>
    <m/>
    <m/>
    <m/>
    <m/>
    <m/>
    <m/>
    <m/>
    <m/>
    <m/>
  </r>
  <r>
    <x v="43"/>
    <x v="10"/>
    <m/>
    <m/>
    <m/>
    <m/>
    <m/>
    <m/>
    <m/>
    <m/>
    <m/>
    <m/>
    <m/>
    <m/>
    <m/>
    <m/>
    <m/>
    <m/>
    <m/>
  </r>
  <r>
    <x v="43"/>
    <x v="11"/>
    <m/>
    <m/>
    <m/>
    <m/>
    <m/>
    <m/>
    <m/>
    <m/>
    <m/>
    <m/>
    <m/>
    <m/>
    <m/>
    <m/>
    <m/>
    <m/>
    <m/>
  </r>
  <r>
    <x v="43"/>
    <x v="12"/>
    <m/>
    <m/>
    <m/>
    <m/>
    <m/>
    <m/>
    <m/>
    <m/>
    <m/>
    <m/>
    <m/>
    <m/>
    <m/>
    <m/>
    <m/>
    <m/>
    <m/>
  </r>
  <r>
    <x v="43"/>
    <x v="14"/>
    <m/>
    <m/>
    <m/>
    <m/>
    <m/>
    <m/>
    <m/>
    <m/>
    <m/>
    <m/>
    <m/>
    <m/>
    <m/>
    <m/>
    <m/>
    <m/>
    <m/>
  </r>
  <r>
    <x v="43"/>
    <x v="76"/>
    <m/>
    <m/>
    <m/>
    <m/>
    <m/>
    <m/>
    <m/>
    <m/>
    <m/>
    <m/>
    <m/>
    <m/>
    <m/>
    <m/>
    <m/>
    <m/>
    <m/>
  </r>
  <r>
    <x v="43"/>
    <x v="15"/>
    <m/>
    <m/>
    <m/>
    <m/>
    <m/>
    <m/>
    <m/>
    <m/>
    <m/>
    <m/>
    <m/>
    <m/>
    <m/>
    <m/>
    <m/>
    <m/>
    <m/>
  </r>
  <r>
    <x v="43"/>
    <x v="16"/>
    <m/>
    <m/>
    <m/>
    <m/>
    <m/>
    <m/>
    <m/>
    <m/>
    <m/>
    <m/>
    <m/>
    <m/>
    <m/>
    <m/>
    <m/>
    <m/>
    <m/>
  </r>
  <r>
    <x v="43"/>
    <x v="17"/>
    <m/>
    <m/>
    <m/>
    <m/>
    <m/>
    <m/>
    <m/>
    <m/>
    <m/>
    <m/>
    <m/>
    <m/>
    <m/>
    <m/>
    <m/>
    <m/>
    <m/>
  </r>
  <r>
    <x v="43"/>
    <x v="18"/>
    <m/>
    <m/>
    <m/>
    <m/>
    <m/>
    <m/>
    <m/>
    <m/>
    <m/>
    <m/>
    <m/>
    <m/>
    <m/>
    <m/>
    <m/>
    <m/>
    <m/>
  </r>
  <r>
    <x v="43"/>
    <x v="19"/>
    <m/>
    <m/>
    <m/>
    <m/>
    <m/>
    <m/>
    <m/>
    <m/>
    <m/>
    <m/>
    <m/>
    <m/>
    <m/>
    <m/>
    <m/>
    <m/>
    <m/>
  </r>
  <r>
    <x v="43"/>
    <x v="20"/>
    <m/>
    <m/>
    <m/>
    <m/>
    <m/>
    <m/>
    <m/>
    <m/>
    <m/>
    <m/>
    <m/>
    <m/>
    <m/>
    <m/>
    <m/>
    <m/>
    <m/>
  </r>
  <r>
    <x v="43"/>
    <x v="21"/>
    <m/>
    <m/>
    <m/>
    <m/>
    <m/>
    <m/>
    <m/>
    <m/>
    <m/>
    <m/>
    <m/>
    <m/>
    <m/>
    <m/>
    <m/>
    <m/>
    <m/>
  </r>
  <r>
    <x v="43"/>
    <x v="22"/>
    <m/>
    <m/>
    <m/>
    <m/>
    <m/>
    <m/>
    <m/>
    <m/>
    <m/>
    <m/>
    <m/>
    <m/>
    <m/>
    <m/>
    <m/>
    <m/>
    <m/>
  </r>
  <r>
    <x v="43"/>
    <x v="23"/>
    <m/>
    <m/>
    <m/>
    <m/>
    <m/>
    <m/>
    <m/>
    <m/>
    <m/>
    <m/>
    <m/>
    <m/>
    <m/>
    <m/>
    <m/>
    <m/>
    <m/>
  </r>
  <r>
    <x v="43"/>
    <x v="77"/>
    <m/>
    <m/>
    <m/>
    <m/>
    <m/>
    <m/>
    <m/>
    <m/>
    <m/>
    <m/>
    <m/>
    <m/>
    <m/>
    <m/>
    <m/>
    <m/>
    <m/>
  </r>
  <r>
    <x v="43"/>
    <x v="25"/>
    <m/>
    <m/>
    <m/>
    <m/>
    <m/>
    <m/>
    <m/>
    <m/>
    <m/>
    <m/>
    <m/>
    <m/>
    <m/>
    <m/>
    <m/>
    <m/>
    <m/>
  </r>
  <r>
    <x v="43"/>
    <x v="26"/>
    <m/>
    <m/>
    <m/>
    <m/>
    <m/>
    <m/>
    <m/>
    <m/>
    <m/>
    <m/>
    <m/>
    <m/>
    <m/>
    <m/>
    <m/>
    <m/>
    <m/>
  </r>
  <r>
    <x v="43"/>
    <x v="27"/>
    <m/>
    <m/>
    <m/>
    <m/>
    <m/>
    <m/>
    <m/>
    <m/>
    <m/>
    <m/>
    <m/>
    <m/>
    <m/>
    <m/>
    <m/>
    <m/>
    <m/>
  </r>
  <r>
    <x v="43"/>
    <x v="28"/>
    <m/>
    <m/>
    <m/>
    <m/>
    <m/>
    <m/>
    <m/>
    <m/>
    <m/>
    <m/>
    <m/>
    <m/>
    <m/>
    <m/>
    <m/>
    <m/>
    <m/>
  </r>
  <r>
    <x v="43"/>
    <x v="78"/>
    <m/>
    <m/>
    <m/>
    <m/>
    <m/>
    <m/>
    <m/>
    <m/>
    <m/>
    <m/>
    <m/>
    <m/>
    <m/>
    <m/>
    <m/>
    <m/>
    <m/>
  </r>
  <r>
    <x v="43"/>
    <x v="30"/>
    <m/>
    <m/>
    <m/>
    <m/>
    <m/>
    <m/>
    <m/>
    <m/>
    <m/>
    <m/>
    <m/>
    <m/>
    <m/>
    <m/>
    <m/>
    <m/>
    <m/>
  </r>
  <r>
    <x v="43"/>
    <x v="31"/>
    <m/>
    <m/>
    <m/>
    <m/>
    <m/>
    <m/>
    <n v="2"/>
    <n v="1"/>
    <m/>
    <m/>
    <m/>
    <m/>
    <m/>
    <m/>
    <m/>
    <m/>
    <m/>
  </r>
  <r>
    <x v="43"/>
    <x v="32"/>
    <m/>
    <m/>
    <m/>
    <m/>
    <m/>
    <m/>
    <m/>
    <m/>
    <m/>
    <m/>
    <m/>
    <m/>
    <m/>
    <m/>
    <m/>
    <m/>
    <m/>
  </r>
  <r>
    <x v="43"/>
    <x v="33"/>
    <m/>
    <m/>
    <m/>
    <m/>
    <m/>
    <m/>
    <m/>
    <m/>
    <m/>
    <m/>
    <m/>
    <m/>
    <m/>
    <m/>
    <m/>
    <m/>
    <m/>
  </r>
  <r>
    <x v="43"/>
    <x v="34"/>
    <m/>
    <m/>
    <m/>
    <m/>
    <m/>
    <m/>
    <m/>
    <m/>
    <m/>
    <m/>
    <m/>
    <m/>
    <m/>
    <m/>
    <m/>
    <m/>
    <m/>
  </r>
  <r>
    <x v="43"/>
    <x v="79"/>
    <m/>
    <m/>
    <m/>
    <m/>
    <m/>
    <m/>
    <m/>
    <m/>
    <m/>
    <m/>
    <m/>
    <m/>
    <m/>
    <m/>
    <m/>
    <m/>
    <m/>
  </r>
  <r>
    <x v="43"/>
    <x v="35"/>
    <m/>
    <m/>
    <m/>
    <m/>
    <m/>
    <m/>
    <m/>
    <m/>
    <m/>
    <m/>
    <m/>
    <m/>
    <m/>
    <m/>
    <m/>
    <m/>
    <m/>
  </r>
  <r>
    <x v="43"/>
    <x v="36"/>
    <m/>
    <m/>
    <m/>
    <m/>
    <m/>
    <m/>
    <m/>
    <m/>
    <m/>
    <m/>
    <m/>
    <m/>
    <m/>
    <m/>
    <m/>
    <m/>
    <m/>
  </r>
  <r>
    <x v="43"/>
    <x v="37"/>
    <m/>
    <m/>
    <m/>
    <m/>
    <m/>
    <m/>
    <m/>
    <m/>
    <m/>
    <m/>
    <m/>
    <m/>
    <m/>
    <m/>
    <m/>
    <m/>
    <m/>
  </r>
  <r>
    <x v="43"/>
    <x v="38"/>
    <m/>
    <m/>
    <m/>
    <m/>
    <m/>
    <m/>
    <m/>
    <m/>
    <m/>
    <m/>
    <m/>
    <m/>
    <m/>
    <m/>
    <m/>
    <m/>
    <m/>
  </r>
  <r>
    <x v="43"/>
    <x v="39"/>
    <m/>
    <m/>
    <m/>
    <m/>
    <m/>
    <m/>
    <m/>
    <m/>
    <m/>
    <m/>
    <m/>
    <m/>
    <m/>
    <m/>
    <m/>
    <m/>
    <m/>
  </r>
  <r>
    <x v="43"/>
    <x v="41"/>
    <m/>
    <m/>
    <m/>
    <m/>
    <m/>
    <m/>
    <m/>
    <m/>
    <m/>
    <m/>
    <m/>
    <m/>
    <m/>
    <m/>
    <m/>
    <m/>
    <m/>
  </r>
  <r>
    <x v="43"/>
    <x v="42"/>
    <m/>
    <m/>
    <m/>
    <m/>
    <m/>
    <m/>
    <n v="1"/>
    <m/>
    <m/>
    <m/>
    <m/>
    <m/>
    <m/>
    <m/>
    <m/>
    <m/>
    <m/>
  </r>
  <r>
    <x v="43"/>
    <x v="43"/>
    <m/>
    <m/>
    <m/>
    <m/>
    <m/>
    <m/>
    <m/>
    <m/>
    <m/>
    <m/>
    <m/>
    <m/>
    <m/>
    <m/>
    <m/>
    <m/>
    <m/>
  </r>
  <r>
    <x v="43"/>
    <x v="44"/>
    <m/>
    <m/>
    <m/>
    <m/>
    <m/>
    <m/>
    <m/>
    <m/>
    <m/>
    <m/>
    <m/>
    <m/>
    <m/>
    <m/>
    <m/>
    <m/>
    <m/>
  </r>
  <r>
    <x v="43"/>
    <x v="45"/>
    <m/>
    <m/>
    <m/>
    <m/>
    <m/>
    <m/>
    <m/>
    <m/>
    <m/>
    <m/>
    <m/>
    <m/>
    <m/>
    <m/>
    <m/>
    <m/>
    <m/>
  </r>
  <r>
    <x v="43"/>
    <x v="46"/>
    <m/>
    <m/>
    <m/>
    <m/>
    <m/>
    <m/>
    <m/>
    <m/>
    <m/>
    <m/>
    <m/>
    <m/>
    <m/>
    <m/>
    <m/>
    <m/>
    <m/>
  </r>
  <r>
    <x v="43"/>
    <x v="80"/>
    <m/>
    <m/>
    <m/>
    <m/>
    <m/>
    <m/>
    <m/>
    <m/>
    <m/>
    <m/>
    <m/>
    <m/>
    <m/>
    <m/>
    <m/>
    <m/>
    <m/>
  </r>
  <r>
    <x v="43"/>
    <x v="48"/>
    <m/>
    <m/>
    <m/>
    <m/>
    <m/>
    <m/>
    <n v="1"/>
    <m/>
    <m/>
    <m/>
    <m/>
    <m/>
    <m/>
    <m/>
    <m/>
    <m/>
    <m/>
  </r>
  <r>
    <x v="43"/>
    <x v="49"/>
    <m/>
    <m/>
    <m/>
    <m/>
    <m/>
    <m/>
    <m/>
    <m/>
    <m/>
    <m/>
    <m/>
    <m/>
    <m/>
    <m/>
    <m/>
    <m/>
    <m/>
  </r>
  <r>
    <x v="43"/>
    <x v="50"/>
    <m/>
    <m/>
    <m/>
    <m/>
    <m/>
    <m/>
    <n v="1"/>
    <m/>
    <m/>
    <m/>
    <m/>
    <m/>
    <m/>
    <m/>
    <m/>
    <m/>
    <m/>
  </r>
  <r>
    <x v="43"/>
    <x v="51"/>
    <m/>
    <m/>
    <m/>
    <m/>
    <m/>
    <m/>
    <m/>
    <m/>
    <m/>
    <m/>
    <m/>
    <m/>
    <m/>
    <m/>
    <m/>
    <m/>
    <m/>
  </r>
  <r>
    <x v="44"/>
    <x v="0"/>
    <m/>
    <m/>
    <m/>
    <m/>
    <m/>
    <m/>
    <m/>
    <m/>
    <m/>
    <m/>
    <m/>
    <m/>
    <m/>
    <m/>
    <m/>
    <m/>
    <m/>
  </r>
  <r>
    <x v="44"/>
    <x v="1"/>
    <m/>
    <m/>
    <m/>
    <m/>
    <m/>
    <m/>
    <m/>
    <m/>
    <m/>
    <m/>
    <m/>
    <m/>
    <m/>
    <m/>
    <m/>
    <m/>
    <m/>
  </r>
  <r>
    <x v="44"/>
    <x v="2"/>
    <m/>
    <m/>
    <m/>
    <m/>
    <m/>
    <m/>
    <m/>
    <m/>
    <m/>
    <m/>
    <m/>
    <m/>
    <m/>
    <m/>
    <m/>
    <m/>
    <m/>
  </r>
  <r>
    <x v="44"/>
    <x v="3"/>
    <m/>
    <m/>
    <m/>
    <m/>
    <m/>
    <m/>
    <m/>
    <m/>
    <m/>
    <m/>
    <m/>
    <m/>
    <m/>
    <m/>
    <m/>
    <m/>
    <m/>
  </r>
  <r>
    <x v="44"/>
    <x v="4"/>
    <m/>
    <m/>
    <m/>
    <m/>
    <m/>
    <m/>
    <m/>
    <m/>
    <m/>
    <m/>
    <m/>
    <m/>
    <m/>
    <m/>
    <m/>
    <m/>
    <m/>
  </r>
  <r>
    <x v="44"/>
    <x v="5"/>
    <m/>
    <m/>
    <m/>
    <m/>
    <m/>
    <m/>
    <m/>
    <m/>
    <m/>
    <m/>
    <m/>
    <m/>
    <m/>
    <m/>
    <m/>
    <m/>
    <m/>
  </r>
  <r>
    <x v="44"/>
    <x v="6"/>
    <m/>
    <m/>
    <m/>
    <m/>
    <m/>
    <m/>
    <m/>
    <m/>
    <m/>
    <m/>
    <m/>
    <m/>
    <m/>
    <m/>
    <m/>
    <m/>
    <m/>
  </r>
  <r>
    <x v="44"/>
    <x v="7"/>
    <m/>
    <m/>
    <m/>
    <m/>
    <m/>
    <m/>
    <m/>
    <m/>
    <m/>
    <m/>
    <m/>
    <m/>
    <m/>
    <m/>
    <m/>
    <m/>
    <m/>
  </r>
  <r>
    <x v="44"/>
    <x v="8"/>
    <m/>
    <m/>
    <m/>
    <m/>
    <m/>
    <m/>
    <m/>
    <m/>
    <m/>
    <m/>
    <m/>
    <m/>
    <m/>
    <m/>
    <m/>
    <m/>
    <m/>
  </r>
  <r>
    <x v="44"/>
    <x v="9"/>
    <m/>
    <m/>
    <m/>
    <m/>
    <m/>
    <m/>
    <m/>
    <m/>
    <m/>
    <m/>
    <m/>
    <m/>
    <m/>
    <m/>
    <m/>
    <m/>
    <m/>
  </r>
  <r>
    <x v="44"/>
    <x v="10"/>
    <m/>
    <m/>
    <m/>
    <m/>
    <m/>
    <m/>
    <m/>
    <m/>
    <m/>
    <m/>
    <m/>
    <m/>
    <m/>
    <m/>
    <m/>
    <m/>
    <m/>
  </r>
  <r>
    <x v="44"/>
    <x v="11"/>
    <m/>
    <m/>
    <m/>
    <m/>
    <m/>
    <m/>
    <m/>
    <m/>
    <m/>
    <m/>
    <m/>
    <m/>
    <m/>
    <m/>
    <m/>
    <m/>
    <m/>
  </r>
  <r>
    <x v="44"/>
    <x v="12"/>
    <m/>
    <m/>
    <m/>
    <m/>
    <m/>
    <m/>
    <m/>
    <m/>
    <m/>
    <m/>
    <m/>
    <m/>
    <m/>
    <m/>
    <m/>
    <m/>
    <m/>
  </r>
  <r>
    <x v="44"/>
    <x v="13"/>
    <m/>
    <m/>
    <m/>
    <m/>
    <m/>
    <m/>
    <m/>
    <m/>
    <m/>
    <m/>
    <m/>
    <m/>
    <m/>
    <m/>
    <m/>
    <m/>
    <m/>
  </r>
  <r>
    <x v="44"/>
    <x v="14"/>
    <m/>
    <m/>
    <m/>
    <m/>
    <m/>
    <m/>
    <m/>
    <m/>
    <m/>
    <m/>
    <m/>
    <m/>
    <m/>
    <m/>
    <m/>
    <m/>
    <m/>
  </r>
  <r>
    <x v="44"/>
    <x v="15"/>
    <m/>
    <m/>
    <m/>
    <m/>
    <m/>
    <m/>
    <m/>
    <m/>
    <m/>
    <m/>
    <m/>
    <m/>
    <m/>
    <m/>
    <m/>
    <m/>
    <m/>
  </r>
  <r>
    <x v="44"/>
    <x v="16"/>
    <m/>
    <m/>
    <m/>
    <m/>
    <m/>
    <m/>
    <m/>
    <m/>
    <m/>
    <m/>
    <m/>
    <m/>
    <m/>
    <m/>
    <m/>
    <m/>
    <m/>
  </r>
  <r>
    <x v="44"/>
    <x v="17"/>
    <m/>
    <m/>
    <m/>
    <m/>
    <m/>
    <m/>
    <m/>
    <m/>
    <m/>
    <m/>
    <m/>
    <m/>
    <m/>
    <m/>
    <m/>
    <m/>
    <m/>
  </r>
  <r>
    <x v="44"/>
    <x v="18"/>
    <m/>
    <m/>
    <m/>
    <m/>
    <m/>
    <m/>
    <m/>
    <m/>
    <m/>
    <m/>
    <m/>
    <m/>
    <m/>
    <m/>
    <m/>
    <m/>
    <m/>
  </r>
  <r>
    <x v="44"/>
    <x v="19"/>
    <m/>
    <m/>
    <m/>
    <m/>
    <m/>
    <m/>
    <m/>
    <m/>
    <m/>
    <m/>
    <m/>
    <m/>
    <m/>
    <m/>
    <m/>
    <m/>
    <m/>
  </r>
  <r>
    <x v="44"/>
    <x v="20"/>
    <m/>
    <m/>
    <m/>
    <m/>
    <m/>
    <m/>
    <m/>
    <m/>
    <m/>
    <m/>
    <m/>
    <m/>
    <m/>
    <m/>
    <m/>
    <m/>
    <m/>
  </r>
  <r>
    <x v="44"/>
    <x v="21"/>
    <m/>
    <m/>
    <m/>
    <m/>
    <m/>
    <m/>
    <m/>
    <m/>
    <m/>
    <m/>
    <m/>
    <m/>
    <m/>
    <m/>
    <m/>
    <m/>
    <m/>
  </r>
  <r>
    <x v="44"/>
    <x v="22"/>
    <m/>
    <m/>
    <m/>
    <m/>
    <m/>
    <m/>
    <m/>
    <m/>
    <m/>
    <m/>
    <m/>
    <m/>
    <m/>
    <m/>
    <m/>
    <m/>
    <m/>
  </r>
  <r>
    <x v="44"/>
    <x v="23"/>
    <m/>
    <m/>
    <m/>
    <m/>
    <m/>
    <m/>
    <m/>
    <m/>
    <m/>
    <m/>
    <m/>
    <m/>
    <m/>
    <m/>
    <m/>
    <m/>
    <m/>
  </r>
  <r>
    <x v="44"/>
    <x v="24"/>
    <m/>
    <m/>
    <m/>
    <m/>
    <m/>
    <m/>
    <m/>
    <m/>
    <m/>
    <m/>
    <m/>
    <m/>
    <m/>
    <m/>
    <m/>
    <m/>
    <m/>
  </r>
  <r>
    <x v="44"/>
    <x v="25"/>
    <m/>
    <m/>
    <m/>
    <m/>
    <m/>
    <m/>
    <m/>
    <m/>
    <m/>
    <m/>
    <m/>
    <m/>
    <m/>
    <m/>
    <m/>
    <m/>
    <m/>
  </r>
  <r>
    <x v="44"/>
    <x v="26"/>
    <m/>
    <m/>
    <m/>
    <m/>
    <m/>
    <m/>
    <m/>
    <m/>
    <m/>
    <m/>
    <m/>
    <m/>
    <m/>
    <m/>
    <m/>
    <m/>
    <m/>
  </r>
  <r>
    <x v="44"/>
    <x v="27"/>
    <m/>
    <m/>
    <m/>
    <m/>
    <m/>
    <m/>
    <m/>
    <m/>
    <m/>
    <m/>
    <m/>
    <m/>
    <m/>
    <m/>
    <m/>
    <m/>
    <m/>
  </r>
  <r>
    <x v="44"/>
    <x v="28"/>
    <m/>
    <m/>
    <m/>
    <m/>
    <m/>
    <m/>
    <m/>
    <m/>
    <m/>
    <m/>
    <m/>
    <m/>
    <m/>
    <m/>
    <m/>
    <m/>
    <m/>
  </r>
  <r>
    <x v="44"/>
    <x v="29"/>
    <m/>
    <m/>
    <m/>
    <m/>
    <m/>
    <m/>
    <m/>
    <m/>
    <m/>
    <m/>
    <m/>
    <m/>
    <m/>
    <m/>
    <m/>
    <m/>
    <m/>
  </r>
  <r>
    <x v="44"/>
    <x v="30"/>
    <m/>
    <m/>
    <m/>
    <m/>
    <m/>
    <m/>
    <m/>
    <m/>
    <m/>
    <m/>
    <m/>
    <m/>
    <m/>
    <m/>
    <m/>
    <m/>
    <m/>
  </r>
  <r>
    <x v="44"/>
    <x v="31"/>
    <n v="1"/>
    <m/>
    <n v="1"/>
    <m/>
    <m/>
    <m/>
    <n v="3"/>
    <n v="1"/>
    <n v="1"/>
    <m/>
    <n v="4"/>
    <n v="4"/>
    <n v="4"/>
    <n v="4"/>
    <n v="1"/>
    <n v="4"/>
    <m/>
  </r>
  <r>
    <x v="44"/>
    <x v="32"/>
    <m/>
    <m/>
    <m/>
    <m/>
    <m/>
    <m/>
    <m/>
    <m/>
    <m/>
    <m/>
    <m/>
    <m/>
    <m/>
    <m/>
    <m/>
    <m/>
    <m/>
  </r>
  <r>
    <x v="44"/>
    <x v="33"/>
    <m/>
    <m/>
    <m/>
    <m/>
    <m/>
    <m/>
    <m/>
    <m/>
    <m/>
    <m/>
    <m/>
    <m/>
    <m/>
    <m/>
    <m/>
    <m/>
    <m/>
  </r>
  <r>
    <x v="44"/>
    <x v="34"/>
    <m/>
    <m/>
    <m/>
    <m/>
    <m/>
    <m/>
    <m/>
    <m/>
    <m/>
    <m/>
    <m/>
    <m/>
    <m/>
    <m/>
    <m/>
    <m/>
    <m/>
  </r>
  <r>
    <x v="44"/>
    <x v="35"/>
    <n v="3"/>
    <m/>
    <m/>
    <m/>
    <m/>
    <m/>
    <n v="2"/>
    <n v="3"/>
    <n v="2"/>
    <n v="2"/>
    <n v="5"/>
    <n v="2"/>
    <n v="2"/>
    <n v="4"/>
    <n v="2"/>
    <n v="2"/>
    <m/>
  </r>
  <r>
    <x v="44"/>
    <x v="36"/>
    <m/>
    <m/>
    <m/>
    <m/>
    <m/>
    <m/>
    <m/>
    <m/>
    <m/>
    <m/>
    <m/>
    <m/>
    <m/>
    <m/>
    <m/>
    <m/>
    <m/>
  </r>
  <r>
    <x v="44"/>
    <x v="37"/>
    <m/>
    <m/>
    <m/>
    <m/>
    <m/>
    <m/>
    <m/>
    <m/>
    <m/>
    <m/>
    <m/>
    <m/>
    <m/>
    <m/>
    <m/>
    <m/>
    <m/>
  </r>
  <r>
    <x v="44"/>
    <x v="38"/>
    <m/>
    <m/>
    <m/>
    <m/>
    <m/>
    <m/>
    <m/>
    <m/>
    <m/>
    <m/>
    <m/>
    <m/>
    <m/>
    <m/>
    <m/>
    <m/>
    <m/>
  </r>
  <r>
    <x v="44"/>
    <x v="39"/>
    <m/>
    <m/>
    <m/>
    <m/>
    <m/>
    <m/>
    <m/>
    <m/>
    <m/>
    <m/>
    <m/>
    <m/>
    <m/>
    <m/>
    <m/>
    <m/>
    <m/>
  </r>
  <r>
    <x v="44"/>
    <x v="40"/>
    <m/>
    <m/>
    <m/>
    <m/>
    <m/>
    <m/>
    <m/>
    <m/>
    <m/>
    <m/>
    <m/>
    <m/>
    <m/>
    <m/>
    <m/>
    <m/>
    <m/>
  </r>
  <r>
    <x v="44"/>
    <x v="41"/>
    <m/>
    <m/>
    <m/>
    <m/>
    <m/>
    <m/>
    <m/>
    <m/>
    <m/>
    <m/>
    <m/>
    <m/>
    <m/>
    <m/>
    <m/>
    <m/>
    <m/>
  </r>
  <r>
    <x v="44"/>
    <x v="42"/>
    <m/>
    <m/>
    <m/>
    <m/>
    <m/>
    <m/>
    <m/>
    <m/>
    <m/>
    <m/>
    <m/>
    <n v="3"/>
    <m/>
    <n v="3"/>
    <m/>
    <m/>
    <m/>
  </r>
  <r>
    <x v="44"/>
    <x v="43"/>
    <m/>
    <m/>
    <m/>
    <m/>
    <m/>
    <m/>
    <m/>
    <m/>
    <m/>
    <m/>
    <m/>
    <m/>
    <m/>
    <m/>
    <m/>
    <m/>
    <m/>
  </r>
  <r>
    <x v="44"/>
    <x v="44"/>
    <m/>
    <m/>
    <m/>
    <m/>
    <m/>
    <m/>
    <m/>
    <m/>
    <m/>
    <m/>
    <m/>
    <m/>
    <m/>
    <m/>
    <m/>
    <m/>
    <m/>
  </r>
  <r>
    <x v="44"/>
    <x v="45"/>
    <m/>
    <m/>
    <m/>
    <m/>
    <m/>
    <m/>
    <m/>
    <m/>
    <m/>
    <m/>
    <m/>
    <m/>
    <m/>
    <m/>
    <m/>
    <m/>
    <m/>
  </r>
  <r>
    <x v="44"/>
    <x v="46"/>
    <m/>
    <m/>
    <m/>
    <m/>
    <m/>
    <m/>
    <m/>
    <m/>
    <m/>
    <m/>
    <m/>
    <m/>
    <m/>
    <m/>
    <m/>
    <m/>
    <m/>
  </r>
  <r>
    <x v="44"/>
    <x v="47"/>
    <m/>
    <m/>
    <m/>
    <m/>
    <m/>
    <m/>
    <m/>
    <m/>
    <m/>
    <m/>
    <m/>
    <m/>
    <m/>
    <m/>
    <m/>
    <m/>
    <m/>
  </r>
  <r>
    <x v="44"/>
    <x v="48"/>
    <m/>
    <m/>
    <m/>
    <m/>
    <m/>
    <m/>
    <m/>
    <m/>
    <m/>
    <m/>
    <m/>
    <m/>
    <m/>
    <m/>
    <m/>
    <m/>
    <m/>
  </r>
  <r>
    <x v="44"/>
    <x v="49"/>
    <m/>
    <m/>
    <m/>
    <m/>
    <m/>
    <m/>
    <m/>
    <m/>
    <m/>
    <m/>
    <m/>
    <m/>
    <m/>
    <m/>
    <m/>
    <m/>
    <m/>
  </r>
  <r>
    <x v="44"/>
    <x v="50"/>
    <m/>
    <m/>
    <m/>
    <m/>
    <m/>
    <m/>
    <m/>
    <m/>
    <m/>
    <m/>
    <m/>
    <m/>
    <m/>
    <m/>
    <m/>
    <m/>
    <m/>
  </r>
  <r>
    <x v="44"/>
    <x v="51"/>
    <m/>
    <m/>
    <m/>
    <m/>
    <m/>
    <m/>
    <m/>
    <m/>
    <m/>
    <m/>
    <m/>
    <m/>
    <m/>
    <m/>
    <m/>
    <m/>
    <m/>
  </r>
  <r>
    <x v="45"/>
    <x v="0"/>
    <m/>
    <n v="1"/>
    <m/>
    <n v="1"/>
    <m/>
    <n v="1"/>
    <m/>
    <n v="3"/>
    <m/>
    <n v="1"/>
    <m/>
    <m/>
    <m/>
    <m/>
    <m/>
    <n v="2"/>
    <m/>
  </r>
  <r>
    <x v="45"/>
    <x v="1"/>
    <m/>
    <m/>
    <m/>
    <m/>
    <m/>
    <m/>
    <m/>
    <m/>
    <m/>
    <m/>
    <m/>
    <m/>
    <m/>
    <m/>
    <m/>
    <m/>
    <m/>
  </r>
  <r>
    <x v="45"/>
    <x v="2"/>
    <m/>
    <m/>
    <m/>
    <m/>
    <m/>
    <m/>
    <m/>
    <m/>
    <m/>
    <m/>
    <m/>
    <m/>
    <m/>
    <m/>
    <m/>
    <m/>
    <m/>
  </r>
  <r>
    <x v="45"/>
    <x v="3"/>
    <m/>
    <m/>
    <m/>
    <m/>
    <m/>
    <m/>
    <m/>
    <m/>
    <m/>
    <m/>
    <m/>
    <m/>
    <m/>
    <m/>
    <m/>
    <m/>
    <m/>
  </r>
  <r>
    <x v="45"/>
    <x v="4"/>
    <m/>
    <m/>
    <m/>
    <m/>
    <m/>
    <m/>
    <m/>
    <m/>
    <m/>
    <m/>
    <m/>
    <m/>
    <m/>
    <m/>
    <m/>
    <m/>
    <m/>
  </r>
  <r>
    <x v="45"/>
    <x v="5"/>
    <m/>
    <m/>
    <m/>
    <m/>
    <m/>
    <m/>
    <m/>
    <m/>
    <m/>
    <m/>
    <m/>
    <m/>
    <m/>
    <m/>
    <m/>
    <m/>
    <m/>
  </r>
  <r>
    <x v="45"/>
    <x v="6"/>
    <m/>
    <m/>
    <m/>
    <m/>
    <m/>
    <m/>
    <m/>
    <m/>
    <m/>
    <m/>
    <m/>
    <m/>
    <m/>
    <m/>
    <m/>
    <m/>
    <m/>
  </r>
  <r>
    <x v="45"/>
    <x v="7"/>
    <m/>
    <m/>
    <m/>
    <m/>
    <m/>
    <m/>
    <m/>
    <m/>
    <m/>
    <m/>
    <m/>
    <m/>
    <m/>
    <m/>
    <m/>
    <m/>
    <m/>
  </r>
  <r>
    <x v="45"/>
    <x v="8"/>
    <m/>
    <m/>
    <m/>
    <m/>
    <m/>
    <m/>
    <m/>
    <m/>
    <m/>
    <m/>
    <m/>
    <m/>
    <m/>
    <m/>
    <m/>
    <m/>
    <m/>
  </r>
  <r>
    <x v="45"/>
    <x v="9"/>
    <m/>
    <m/>
    <m/>
    <m/>
    <m/>
    <m/>
    <m/>
    <m/>
    <m/>
    <m/>
    <m/>
    <m/>
    <m/>
    <m/>
    <m/>
    <m/>
    <m/>
  </r>
  <r>
    <x v="45"/>
    <x v="10"/>
    <m/>
    <m/>
    <m/>
    <m/>
    <m/>
    <m/>
    <m/>
    <m/>
    <m/>
    <m/>
    <m/>
    <m/>
    <m/>
    <m/>
    <m/>
    <m/>
    <m/>
  </r>
  <r>
    <x v="45"/>
    <x v="11"/>
    <m/>
    <m/>
    <m/>
    <m/>
    <m/>
    <m/>
    <m/>
    <m/>
    <m/>
    <m/>
    <m/>
    <m/>
    <m/>
    <m/>
    <m/>
    <m/>
    <m/>
  </r>
  <r>
    <x v="45"/>
    <x v="12"/>
    <m/>
    <m/>
    <m/>
    <m/>
    <m/>
    <m/>
    <m/>
    <m/>
    <m/>
    <m/>
    <m/>
    <m/>
    <m/>
    <m/>
    <m/>
    <m/>
    <m/>
  </r>
  <r>
    <x v="45"/>
    <x v="13"/>
    <m/>
    <m/>
    <m/>
    <m/>
    <m/>
    <m/>
    <m/>
    <m/>
    <m/>
    <m/>
    <m/>
    <m/>
    <m/>
    <m/>
    <m/>
    <m/>
    <m/>
  </r>
  <r>
    <x v="45"/>
    <x v="14"/>
    <m/>
    <m/>
    <m/>
    <m/>
    <m/>
    <m/>
    <m/>
    <m/>
    <m/>
    <m/>
    <m/>
    <m/>
    <m/>
    <m/>
    <m/>
    <m/>
    <m/>
  </r>
  <r>
    <x v="45"/>
    <x v="15"/>
    <m/>
    <m/>
    <m/>
    <m/>
    <m/>
    <m/>
    <m/>
    <m/>
    <m/>
    <m/>
    <m/>
    <m/>
    <m/>
    <m/>
    <m/>
    <m/>
    <m/>
  </r>
  <r>
    <x v="45"/>
    <x v="16"/>
    <m/>
    <m/>
    <m/>
    <m/>
    <m/>
    <m/>
    <m/>
    <m/>
    <m/>
    <m/>
    <m/>
    <m/>
    <m/>
    <m/>
    <m/>
    <m/>
    <m/>
  </r>
  <r>
    <x v="45"/>
    <x v="17"/>
    <m/>
    <m/>
    <m/>
    <m/>
    <m/>
    <m/>
    <m/>
    <m/>
    <m/>
    <m/>
    <m/>
    <m/>
    <m/>
    <m/>
    <m/>
    <m/>
    <m/>
  </r>
  <r>
    <x v="45"/>
    <x v="18"/>
    <m/>
    <m/>
    <m/>
    <m/>
    <m/>
    <m/>
    <m/>
    <m/>
    <m/>
    <m/>
    <m/>
    <m/>
    <m/>
    <m/>
    <m/>
    <m/>
    <m/>
  </r>
  <r>
    <x v="45"/>
    <x v="19"/>
    <m/>
    <m/>
    <m/>
    <m/>
    <m/>
    <m/>
    <m/>
    <m/>
    <m/>
    <m/>
    <m/>
    <m/>
    <m/>
    <m/>
    <m/>
    <m/>
    <m/>
  </r>
  <r>
    <x v="45"/>
    <x v="20"/>
    <m/>
    <m/>
    <m/>
    <m/>
    <m/>
    <m/>
    <m/>
    <m/>
    <m/>
    <m/>
    <m/>
    <m/>
    <m/>
    <m/>
    <m/>
    <m/>
    <m/>
  </r>
  <r>
    <x v="45"/>
    <x v="21"/>
    <m/>
    <m/>
    <m/>
    <m/>
    <m/>
    <m/>
    <m/>
    <m/>
    <m/>
    <m/>
    <m/>
    <m/>
    <m/>
    <m/>
    <m/>
    <m/>
    <m/>
  </r>
  <r>
    <x v="45"/>
    <x v="22"/>
    <m/>
    <m/>
    <m/>
    <m/>
    <m/>
    <m/>
    <m/>
    <m/>
    <m/>
    <m/>
    <m/>
    <m/>
    <m/>
    <m/>
    <m/>
    <m/>
    <m/>
  </r>
  <r>
    <x v="45"/>
    <x v="23"/>
    <m/>
    <m/>
    <m/>
    <m/>
    <m/>
    <m/>
    <m/>
    <m/>
    <m/>
    <m/>
    <m/>
    <m/>
    <m/>
    <m/>
    <m/>
    <m/>
    <m/>
  </r>
  <r>
    <x v="45"/>
    <x v="24"/>
    <m/>
    <m/>
    <m/>
    <m/>
    <m/>
    <m/>
    <m/>
    <m/>
    <m/>
    <m/>
    <m/>
    <m/>
    <m/>
    <m/>
    <m/>
    <m/>
    <m/>
  </r>
  <r>
    <x v="45"/>
    <x v="25"/>
    <m/>
    <m/>
    <m/>
    <m/>
    <m/>
    <m/>
    <m/>
    <m/>
    <m/>
    <m/>
    <m/>
    <m/>
    <m/>
    <m/>
    <m/>
    <m/>
    <m/>
  </r>
  <r>
    <x v="45"/>
    <x v="26"/>
    <m/>
    <m/>
    <m/>
    <m/>
    <m/>
    <m/>
    <m/>
    <m/>
    <m/>
    <m/>
    <m/>
    <m/>
    <m/>
    <m/>
    <m/>
    <m/>
    <m/>
  </r>
  <r>
    <x v="45"/>
    <x v="27"/>
    <m/>
    <m/>
    <m/>
    <m/>
    <m/>
    <m/>
    <m/>
    <m/>
    <m/>
    <m/>
    <m/>
    <m/>
    <m/>
    <m/>
    <m/>
    <m/>
    <m/>
  </r>
  <r>
    <x v="45"/>
    <x v="28"/>
    <m/>
    <m/>
    <m/>
    <m/>
    <m/>
    <m/>
    <m/>
    <m/>
    <m/>
    <m/>
    <m/>
    <m/>
    <m/>
    <m/>
    <m/>
    <m/>
    <m/>
  </r>
  <r>
    <x v="45"/>
    <x v="29"/>
    <m/>
    <m/>
    <m/>
    <m/>
    <m/>
    <m/>
    <m/>
    <m/>
    <m/>
    <m/>
    <m/>
    <m/>
    <m/>
    <m/>
    <m/>
    <m/>
    <m/>
  </r>
  <r>
    <x v="45"/>
    <x v="30"/>
    <m/>
    <m/>
    <m/>
    <m/>
    <m/>
    <m/>
    <m/>
    <m/>
    <m/>
    <m/>
    <m/>
    <m/>
    <m/>
    <m/>
    <m/>
    <m/>
    <m/>
  </r>
  <r>
    <x v="45"/>
    <x v="31"/>
    <m/>
    <m/>
    <m/>
    <m/>
    <m/>
    <m/>
    <m/>
    <m/>
    <m/>
    <m/>
    <m/>
    <m/>
    <m/>
    <m/>
    <m/>
    <m/>
    <m/>
  </r>
  <r>
    <x v="45"/>
    <x v="32"/>
    <m/>
    <m/>
    <m/>
    <m/>
    <m/>
    <m/>
    <m/>
    <m/>
    <m/>
    <m/>
    <m/>
    <m/>
    <m/>
    <m/>
    <m/>
    <m/>
    <m/>
  </r>
  <r>
    <x v="45"/>
    <x v="33"/>
    <m/>
    <m/>
    <m/>
    <m/>
    <m/>
    <m/>
    <m/>
    <m/>
    <m/>
    <m/>
    <m/>
    <m/>
    <m/>
    <m/>
    <m/>
    <m/>
    <m/>
  </r>
  <r>
    <x v="45"/>
    <x v="34"/>
    <m/>
    <m/>
    <m/>
    <m/>
    <m/>
    <m/>
    <m/>
    <m/>
    <m/>
    <m/>
    <m/>
    <n v="5"/>
    <m/>
    <m/>
    <m/>
    <m/>
    <m/>
  </r>
  <r>
    <x v="45"/>
    <x v="35"/>
    <m/>
    <m/>
    <m/>
    <m/>
    <m/>
    <m/>
    <m/>
    <m/>
    <m/>
    <m/>
    <m/>
    <m/>
    <m/>
    <m/>
    <m/>
    <m/>
    <m/>
  </r>
  <r>
    <x v="45"/>
    <x v="36"/>
    <m/>
    <m/>
    <m/>
    <m/>
    <m/>
    <m/>
    <m/>
    <m/>
    <m/>
    <m/>
    <m/>
    <m/>
    <m/>
    <m/>
    <m/>
    <m/>
    <m/>
  </r>
  <r>
    <x v="45"/>
    <x v="37"/>
    <m/>
    <m/>
    <m/>
    <m/>
    <m/>
    <m/>
    <m/>
    <m/>
    <m/>
    <m/>
    <m/>
    <m/>
    <m/>
    <m/>
    <m/>
    <m/>
    <m/>
  </r>
  <r>
    <x v="45"/>
    <x v="38"/>
    <m/>
    <m/>
    <m/>
    <m/>
    <m/>
    <m/>
    <m/>
    <m/>
    <m/>
    <m/>
    <m/>
    <m/>
    <m/>
    <m/>
    <m/>
    <m/>
    <m/>
  </r>
  <r>
    <x v="45"/>
    <x v="39"/>
    <m/>
    <m/>
    <m/>
    <m/>
    <m/>
    <m/>
    <m/>
    <m/>
    <m/>
    <m/>
    <m/>
    <m/>
    <m/>
    <m/>
    <m/>
    <m/>
    <m/>
  </r>
  <r>
    <x v="45"/>
    <x v="40"/>
    <m/>
    <m/>
    <m/>
    <m/>
    <m/>
    <m/>
    <m/>
    <m/>
    <m/>
    <m/>
    <m/>
    <m/>
    <m/>
    <m/>
    <m/>
    <m/>
    <m/>
  </r>
  <r>
    <x v="45"/>
    <x v="41"/>
    <m/>
    <m/>
    <m/>
    <m/>
    <m/>
    <m/>
    <m/>
    <m/>
    <m/>
    <m/>
    <m/>
    <m/>
    <m/>
    <m/>
    <m/>
    <m/>
    <m/>
  </r>
  <r>
    <x v="45"/>
    <x v="42"/>
    <m/>
    <m/>
    <m/>
    <m/>
    <m/>
    <m/>
    <m/>
    <m/>
    <m/>
    <m/>
    <m/>
    <m/>
    <m/>
    <m/>
    <m/>
    <m/>
    <m/>
  </r>
  <r>
    <x v="45"/>
    <x v="43"/>
    <m/>
    <m/>
    <m/>
    <m/>
    <m/>
    <m/>
    <m/>
    <m/>
    <m/>
    <m/>
    <m/>
    <m/>
    <m/>
    <m/>
    <m/>
    <m/>
    <m/>
  </r>
  <r>
    <x v="45"/>
    <x v="44"/>
    <m/>
    <m/>
    <m/>
    <m/>
    <m/>
    <m/>
    <m/>
    <m/>
    <m/>
    <m/>
    <m/>
    <m/>
    <m/>
    <m/>
    <m/>
    <m/>
    <m/>
  </r>
  <r>
    <x v="45"/>
    <x v="45"/>
    <m/>
    <m/>
    <m/>
    <m/>
    <m/>
    <m/>
    <m/>
    <m/>
    <m/>
    <m/>
    <m/>
    <m/>
    <m/>
    <m/>
    <m/>
    <m/>
    <m/>
  </r>
  <r>
    <x v="45"/>
    <x v="46"/>
    <m/>
    <m/>
    <m/>
    <m/>
    <m/>
    <m/>
    <m/>
    <m/>
    <m/>
    <m/>
    <m/>
    <m/>
    <m/>
    <m/>
    <m/>
    <m/>
    <m/>
  </r>
  <r>
    <x v="45"/>
    <x v="47"/>
    <m/>
    <m/>
    <m/>
    <m/>
    <m/>
    <m/>
    <m/>
    <m/>
    <m/>
    <m/>
    <m/>
    <m/>
    <m/>
    <m/>
    <m/>
    <m/>
    <m/>
  </r>
  <r>
    <x v="45"/>
    <x v="48"/>
    <m/>
    <m/>
    <m/>
    <m/>
    <m/>
    <m/>
    <m/>
    <m/>
    <m/>
    <m/>
    <m/>
    <m/>
    <m/>
    <m/>
    <m/>
    <m/>
    <m/>
  </r>
  <r>
    <x v="45"/>
    <x v="49"/>
    <m/>
    <m/>
    <m/>
    <m/>
    <m/>
    <m/>
    <m/>
    <n v="9"/>
    <m/>
    <m/>
    <m/>
    <m/>
    <m/>
    <m/>
    <m/>
    <m/>
    <m/>
  </r>
  <r>
    <x v="45"/>
    <x v="50"/>
    <m/>
    <m/>
    <m/>
    <m/>
    <m/>
    <m/>
    <m/>
    <m/>
    <m/>
    <m/>
    <m/>
    <m/>
    <m/>
    <m/>
    <m/>
    <m/>
    <m/>
  </r>
  <r>
    <x v="45"/>
    <x v="51"/>
    <m/>
    <m/>
    <m/>
    <m/>
    <m/>
    <m/>
    <m/>
    <m/>
    <m/>
    <m/>
    <m/>
    <m/>
    <m/>
    <m/>
    <m/>
    <m/>
    <m/>
  </r>
  <r>
    <x v="46"/>
    <x v="0"/>
    <m/>
    <m/>
    <m/>
    <m/>
    <m/>
    <m/>
    <m/>
    <m/>
    <m/>
    <m/>
    <m/>
    <m/>
    <m/>
    <m/>
    <m/>
    <m/>
    <m/>
  </r>
  <r>
    <x v="46"/>
    <x v="1"/>
    <m/>
    <m/>
    <m/>
    <m/>
    <m/>
    <m/>
    <m/>
    <m/>
    <m/>
    <m/>
    <m/>
    <m/>
    <m/>
    <m/>
    <m/>
    <m/>
    <m/>
  </r>
  <r>
    <x v="46"/>
    <x v="2"/>
    <m/>
    <m/>
    <m/>
    <m/>
    <m/>
    <m/>
    <m/>
    <m/>
    <m/>
    <m/>
    <m/>
    <m/>
    <m/>
    <m/>
    <m/>
    <m/>
    <m/>
  </r>
  <r>
    <x v="46"/>
    <x v="3"/>
    <m/>
    <m/>
    <m/>
    <m/>
    <m/>
    <m/>
    <m/>
    <m/>
    <m/>
    <m/>
    <m/>
    <m/>
    <m/>
    <m/>
    <m/>
    <m/>
    <m/>
  </r>
  <r>
    <x v="46"/>
    <x v="4"/>
    <m/>
    <m/>
    <m/>
    <m/>
    <m/>
    <m/>
    <m/>
    <m/>
    <m/>
    <m/>
    <m/>
    <m/>
    <m/>
    <m/>
    <m/>
    <m/>
    <m/>
  </r>
  <r>
    <x v="46"/>
    <x v="5"/>
    <m/>
    <m/>
    <m/>
    <m/>
    <m/>
    <m/>
    <m/>
    <m/>
    <m/>
    <m/>
    <m/>
    <m/>
    <m/>
    <m/>
    <m/>
    <m/>
    <m/>
  </r>
  <r>
    <x v="46"/>
    <x v="6"/>
    <m/>
    <m/>
    <m/>
    <m/>
    <m/>
    <m/>
    <m/>
    <m/>
    <m/>
    <m/>
    <m/>
    <m/>
    <m/>
    <m/>
    <m/>
    <m/>
    <m/>
  </r>
  <r>
    <x v="46"/>
    <x v="7"/>
    <m/>
    <m/>
    <m/>
    <m/>
    <m/>
    <m/>
    <m/>
    <m/>
    <m/>
    <m/>
    <m/>
    <m/>
    <m/>
    <m/>
    <m/>
    <m/>
    <m/>
  </r>
  <r>
    <x v="46"/>
    <x v="8"/>
    <m/>
    <m/>
    <m/>
    <m/>
    <m/>
    <m/>
    <m/>
    <m/>
    <m/>
    <m/>
    <m/>
    <m/>
    <m/>
    <m/>
    <m/>
    <m/>
    <m/>
  </r>
  <r>
    <x v="46"/>
    <x v="9"/>
    <m/>
    <m/>
    <m/>
    <m/>
    <m/>
    <m/>
    <m/>
    <m/>
    <m/>
    <m/>
    <m/>
    <m/>
    <m/>
    <m/>
    <m/>
    <m/>
    <m/>
  </r>
  <r>
    <x v="46"/>
    <x v="10"/>
    <m/>
    <m/>
    <m/>
    <m/>
    <m/>
    <m/>
    <m/>
    <m/>
    <m/>
    <m/>
    <m/>
    <m/>
    <m/>
    <m/>
    <m/>
    <m/>
    <m/>
  </r>
  <r>
    <x v="46"/>
    <x v="11"/>
    <m/>
    <m/>
    <m/>
    <m/>
    <m/>
    <m/>
    <m/>
    <m/>
    <m/>
    <m/>
    <m/>
    <m/>
    <m/>
    <m/>
    <m/>
    <m/>
    <m/>
  </r>
  <r>
    <x v="46"/>
    <x v="12"/>
    <m/>
    <m/>
    <m/>
    <m/>
    <m/>
    <m/>
    <m/>
    <m/>
    <m/>
    <m/>
    <m/>
    <m/>
    <m/>
    <m/>
    <m/>
    <m/>
    <m/>
  </r>
  <r>
    <x v="46"/>
    <x v="13"/>
    <m/>
    <m/>
    <m/>
    <m/>
    <m/>
    <m/>
    <m/>
    <m/>
    <m/>
    <m/>
    <m/>
    <m/>
    <m/>
    <m/>
    <m/>
    <m/>
    <m/>
  </r>
  <r>
    <x v="46"/>
    <x v="14"/>
    <m/>
    <m/>
    <m/>
    <m/>
    <m/>
    <m/>
    <m/>
    <m/>
    <m/>
    <m/>
    <m/>
    <m/>
    <m/>
    <m/>
    <m/>
    <m/>
    <m/>
  </r>
  <r>
    <x v="46"/>
    <x v="15"/>
    <m/>
    <m/>
    <m/>
    <m/>
    <m/>
    <m/>
    <m/>
    <n v="3"/>
    <m/>
    <n v="6"/>
    <m/>
    <m/>
    <m/>
    <n v="4"/>
    <m/>
    <m/>
    <m/>
  </r>
  <r>
    <x v="46"/>
    <x v="16"/>
    <m/>
    <m/>
    <m/>
    <m/>
    <m/>
    <m/>
    <m/>
    <m/>
    <m/>
    <m/>
    <m/>
    <m/>
    <m/>
    <m/>
    <m/>
    <m/>
    <m/>
  </r>
  <r>
    <x v="46"/>
    <x v="17"/>
    <m/>
    <m/>
    <m/>
    <m/>
    <m/>
    <m/>
    <m/>
    <m/>
    <m/>
    <m/>
    <m/>
    <m/>
    <m/>
    <m/>
    <m/>
    <m/>
    <m/>
  </r>
  <r>
    <x v="46"/>
    <x v="18"/>
    <m/>
    <m/>
    <m/>
    <m/>
    <m/>
    <m/>
    <m/>
    <m/>
    <m/>
    <m/>
    <m/>
    <m/>
    <m/>
    <m/>
    <m/>
    <m/>
    <m/>
  </r>
  <r>
    <x v="46"/>
    <x v="19"/>
    <m/>
    <m/>
    <m/>
    <m/>
    <m/>
    <m/>
    <m/>
    <m/>
    <m/>
    <m/>
    <m/>
    <m/>
    <m/>
    <m/>
    <m/>
    <m/>
    <m/>
  </r>
  <r>
    <x v="46"/>
    <x v="20"/>
    <m/>
    <m/>
    <m/>
    <m/>
    <m/>
    <m/>
    <m/>
    <m/>
    <m/>
    <m/>
    <m/>
    <m/>
    <m/>
    <m/>
    <m/>
    <m/>
    <m/>
  </r>
  <r>
    <x v="46"/>
    <x v="21"/>
    <m/>
    <m/>
    <m/>
    <m/>
    <m/>
    <m/>
    <m/>
    <m/>
    <m/>
    <m/>
    <m/>
    <m/>
    <m/>
    <m/>
    <m/>
    <m/>
    <m/>
  </r>
  <r>
    <x v="46"/>
    <x v="22"/>
    <m/>
    <m/>
    <m/>
    <m/>
    <m/>
    <m/>
    <m/>
    <m/>
    <m/>
    <m/>
    <m/>
    <m/>
    <m/>
    <m/>
    <m/>
    <m/>
    <m/>
  </r>
  <r>
    <x v="46"/>
    <x v="23"/>
    <m/>
    <m/>
    <m/>
    <m/>
    <m/>
    <m/>
    <m/>
    <m/>
    <m/>
    <m/>
    <m/>
    <m/>
    <m/>
    <m/>
    <m/>
    <m/>
    <m/>
  </r>
  <r>
    <x v="46"/>
    <x v="24"/>
    <m/>
    <m/>
    <m/>
    <m/>
    <m/>
    <m/>
    <m/>
    <m/>
    <m/>
    <m/>
    <m/>
    <m/>
    <m/>
    <m/>
    <m/>
    <m/>
    <m/>
  </r>
  <r>
    <x v="46"/>
    <x v="25"/>
    <m/>
    <m/>
    <m/>
    <m/>
    <m/>
    <m/>
    <m/>
    <m/>
    <m/>
    <m/>
    <m/>
    <m/>
    <m/>
    <m/>
    <m/>
    <m/>
    <m/>
  </r>
  <r>
    <x v="46"/>
    <x v="26"/>
    <m/>
    <m/>
    <m/>
    <m/>
    <m/>
    <m/>
    <m/>
    <m/>
    <m/>
    <m/>
    <m/>
    <m/>
    <m/>
    <m/>
    <m/>
    <m/>
    <m/>
  </r>
  <r>
    <x v="46"/>
    <x v="27"/>
    <m/>
    <m/>
    <m/>
    <m/>
    <m/>
    <m/>
    <m/>
    <m/>
    <m/>
    <m/>
    <m/>
    <m/>
    <m/>
    <m/>
    <m/>
    <m/>
    <m/>
  </r>
  <r>
    <x v="46"/>
    <x v="28"/>
    <m/>
    <m/>
    <m/>
    <m/>
    <m/>
    <m/>
    <m/>
    <m/>
    <m/>
    <m/>
    <m/>
    <m/>
    <m/>
    <m/>
    <m/>
    <m/>
    <m/>
  </r>
  <r>
    <x v="46"/>
    <x v="29"/>
    <m/>
    <m/>
    <m/>
    <m/>
    <m/>
    <m/>
    <m/>
    <m/>
    <m/>
    <m/>
    <m/>
    <m/>
    <m/>
    <m/>
    <m/>
    <m/>
    <m/>
  </r>
  <r>
    <x v="46"/>
    <x v="30"/>
    <m/>
    <m/>
    <m/>
    <m/>
    <m/>
    <m/>
    <m/>
    <m/>
    <m/>
    <m/>
    <m/>
    <m/>
    <m/>
    <m/>
    <m/>
    <m/>
    <m/>
  </r>
  <r>
    <x v="46"/>
    <x v="31"/>
    <m/>
    <m/>
    <m/>
    <m/>
    <m/>
    <m/>
    <m/>
    <m/>
    <m/>
    <m/>
    <m/>
    <m/>
    <m/>
    <m/>
    <m/>
    <m/>
    <m/>
  </r>
  <r>
    <x v="46"/>
    <x v="32"/>
    <m/>
    <m/>
    <m/>
    <m/>
    <m/>
    <m/>
    <m/>
    <m/>
    <m/>
    <m/>
    <m/>
    <m/>
    <m/>
    <m/>
    <m/>
    <m/>
    <m/>
  </r>
  <r>
    <x v="46"/>
    <x v="33"/>
    <m/>
    <m/>
    <m/>
    <m/>
    <m/>
    <m/>
    <m/>
    <m/>
    <m/>
    <m/>
    <m/>
    <m/>
    <m/>
    <m/>
    <m/>
    <m/>
    <m/>
  </r>
  <r>
    <x v="46"/>
    <x v="34"/>
    <m/>
    <m/>
    <m/>
    <m/>
    <m/>
    <m/>
    <m/>
    <m/>
    <m/>
    <m/>
    <m/>
    <m/>
    <m/>
    <m/>
    <m/>
    <m/>
    <m/>
  </r>
  <r>
    <x v="46"/>
    <x v="35"/>
    <m/>
    <m/>
    <m/>
    <m/>
    <m/>
    <m/>
    <m/>
    <m/>
    <m/>
    <m/>
    <m/>
    <m/>
    <m/>
    <m/>
    <m/>
    <m/>
    <m/>
  </r>
  <r>
    <x v="46"/>
    <x v="36"/>
    <m/>
    <m/>
    <m/>
    <m/>
    <m/>
    <m/>
    <m/>
    <m/>
    <m/>
    <m/>
    <m/>
    <m/>
    <m/>
    <m/>
    <m/>
    <m/>
    <m/>
  </r>
  <r>
    <x v="46"/>
    <x v="37"/>
    <m/>
    <m/>
    <m/>
    <m/>
    <m/>
    <m/>
    <m/>
    <m/>
    <m/>
    <m/>
    <m/>
    <m/>
    <m/>
    <m/>
    <m/>
    <m/>
    <m/>
  </r>
  <r>
    <x v="46"/>
    <x v="38"/>
    <m/>
    <m/>
    <m/>
    <m/>
    <m/>
    <m/>
    <m/>
    <m/>
    <m/>
    <m/>
    <m/>
    <m/>
    <m/>
    <m/>
    <m/>
    <m/>
    <m/>
  </r>
  <r>
    <x v="46"/>
    <x v="39"/>
    <m/>
    <m/>
    <m/>
    <m/>
    <m/>
    <m/>
    <m/>
    <m/>
    <m/>
    <m/>
    <m/>
    <m/>
    <m/>
    <m/>
    <m/>
    <m/>
    <m/>
  </r>
  <r>
    <x v="46"/>
    <x v="40"/>
    <m/>
    <m/>
    <m/>
    <m/>
    <m/>
    <m/>
    <m/>
    <m/>
    <m/>
    <m/>
    <m/>
    <m/>
    <m/>
    <m/>
    <m/>
    <m/>
    <m/>
  </r>
  <r>
    <x v="46"/>
    <x v="41"/>
    <m/>
    <m/>
    <m/>
    <m/>
    <m/>
    <m/>
    <m/>
    <m/>
    <m/>
    <m/>
    <m/>
    <m/>
    <m/>
    <m/>
    <m/>
    <m/>
    <m/>
  </r>
  <r>
    <x v="46"/>
    <x v="42"/>
    <m/>
    <m/>
    <m/>
    <m/>
    <m/>
    <m/>
    <m/>
    <m/>
    <m/>
    <m/>
    <m/>
    <m/>
    <m/>
    <m/>
    <m/>
    <m/>
    <m/>
  </r>
  <r>
    <x v="46"/>
    <x v="43"/>
    <m/>
    <m/>
    <m/>
    <m/>
    <m/>
    <m/>
    <m/>
    <m/>
    <m/>
    <m/>
    <m/>
    <m/>
    <m/>
    <m/>
    <m/>
    <m/>
    <m/>
  </r>
  <r>
    <x v="46"/>
    <x v="44"/>
    <m/>
    <m/>
    <m/>
    <m/>
    <m/>
    <m/>
    <m/>
    <m/>
    <m/>
    <m/>
    <m/>
    <m/>
    <m/>
    <m/>
    <m/>
    <m/>
    <m/>
  </r>
  <r>
    <x v="46"/>
    <x v="45"/>
    <m/>
    <m/>
    <m/>
    <m/>
    <m/>
    <m/>
    <m/>
    <m/>
    <m/>
    <m/>
    <m/>
    <m/>
    <m/>
    <m/>
    <m/>
    <m/>
    <m/>
  </r>
  <r>
    <x v="46"/>
    <x v="46"/>
    <m/>
    <m/>
    <m/>
    <m/>
    <m/>
    <m/>
    <m/>
    <m/>
    <m/>
    <m/>
    <m/>
    <m/>
    <m/>
    <m/>
    <m/>
    <m/>
    <m/>
  </r>
  <r>
    <x v="46"/>
    <x v="47"/>
    <m/>
    <m/>
    <m/>
    <m/>
    <m/>
    <m/>
    <m/>
    <m/>
    <m/>
    <m/>
    <m/>
    <m/>
    <m/>
    <m/>
    <m/>
    <m/>
    <m/>
  </r>
  <r>
    <x v="46"/>
    <x v="48"/>
    <m/>
    <m/>
    <m/>
    <m/>
    <m/>
    <m/>
    <m/>
    <m/>
    <m/>
    <m/>
    <m/>
    <m/>
    <m/>
    <m/>
    <m/>
    <m/>
    <m/>
  </r>
  <r>
    <x v="46"/>
    <x v="49"/>
    <m/>
    <m/>
    <m/>
    <m/>
    <m/>
    <m/>
    <m/>
    <m/>
    <m/>
    <m/>
    <m/>
    <m/>
    <m/>
    <m/>
    <m/>
    <m/>
    <m/>
  </r>
  <r>
    <x v="46"/>
    <x v="50"/>
    <m/>
    <m/>
    <m/>
    <m/>
    <m/>
    <m/>
    <m/>
    <m/>
    <m/>
    <m/>
    <m/>
    <m/>
    <m/>
    <m/>
    <m/>
    <m/>
    <m/>
  </r>
  <r>
    <x v="46"/>
    <x v="51"/>
    <m/>
    <m/>
    <m/>
    <m/>
    <m/>
    <m/>
    <m/>
    <m/>
    <m/>
    <m/>
    <m/>
    <m/>
    <m/>
    <m/>
    <m/>
    <m/>
    <m/>
  </r>
  <r>
    <x v="47"/>
    <x v="0"/>
    <m/>
    <m/>
    <m/>
    <m/>
    <m/>
    <m/>
    <m/>
    <m/>
    <m/>
    <m/>
    <m/>
    <m/>
    <m/>
    <m/>
    <m/>
    <m/>
    <m/>
  </r>
  <r>
    <x v="47"/>
    <x v="1"/>
    <m/>
    <m/>
    <m/>
    <m/>
    <m/>
    <m/>
    <m/>
    <m/>
    <m/>
    <m/>
    <m/>
    <m/>
    <m/>
    <m/>
    <m/>
    <m/>
    <m/>
  </r>
  <r>
    <x v="47"/>
    <x v="2"/>
    <m/>
    <m/>
    <m/>
    <m/>
    <m/>
    <m/>
    <m/>
    <m/>
    <m/>
    <m/>
    <m/>
    <m/>
    <m/>
    <m/>
    <m/>
    <m/>
    <m/>
  </r>
  <r>
    <x v="47"/>
    <x v="3"/>
    <m/>
    <m/>
    <m/>
    <m/>
    <m/>
    <m/>
    <m/>
    <m/>
    <m/>
    <m/>
    <m/>
    <m/>
    <m/>
    <m/>
    <m/>
    <m/>
    <m/>
  </r>
  <r>
    <x v="47"/>
    <x v="4"/>
    <m/>
    <m/>
    <m/>
    <m/>
    <m/>
    <m/>
    <m/>
    <m/>
    <m/>
    <m/>
    <m/>
    <m/>
    <m/>
    <m/>
    <m/>
    <m/>
    <m/>
  </r>
  <r>
    <x v="47"/>
    <x v="5"/>
    <m/>
    <m/>
    <m/>
    <m/>
    <m/>
    <m/>
    <m/>
    <m/>
    <m/>
    <m/>
    <m/>
    <m/>
    <m/>
    <m/>
    <m/>
    <m/>
    <m/>
  </r>
  <r>
    <x v="47"/>
    <x v="6"/>
    <m/>
    <m/>
    <m/>
    <m/>
    <m/>
    <m/>
    <m/>
    <m/>
    <m/>
    <m/>
    <m/>
    <m/>
    <m/>
    <m/>
    <m/>
    <m/>
    <m/>
  </r>
  <r>
    <x v="47"/>
    <x v="7"/>
    <m/>
    <m/>
    <m/>
    <m/>
    <m/>
    <m/>
    <m/>
    <m/>
    <m/>
    <m/>
    <m/>
    <m/>
    <m/>
    <m/>
    <m/>
    <m/>
    <m/>
  </r>
  <r>
    <x v="47"/>
    <x v="8"/>
    <m/>
    <m/>
    <m/>
    <m/>
    <m/>
    <m/>
    <m/>
    <m/>
    <m/>
    <m/>
    <m/>
    <m/>
    <m/>
    <m/>
    <m/>
    <m/>
    <m/>
  </r>
  <r>
    <x v="47"/>
    <x v="9"/>
    <m/>
    <m/>
    <m/>
    <m/>
    <m/>
    <m/>
    <m/>
    <m/>
    <m/>
    <m/>
    <m/>
    <m/>
    <m/>
    <m/>
    <m/>
    <m/>
    <m/>
  </r>
  <r>
    <x v="47"/>
    <x v="10"/>
    <m/>
    <m/>
    <m/>
    <m/>
    <m/>
    <m/>
    <m/>
    <m/>
    <m/>
    <m/>
    <m/>
    <m/>
    <m/>
    <m/>
    <m/>
    <m/>
    <m/>
  </r>
  <r>
    <x v="47"/>
    <x v="11"/>
    <m/>
    <m/>
    <m/>
    <m/>
    <m/>
    <m/>
    <m/>
    <m/>
    <m/>
    <m/>
    <m/>
    <m/>
    <m/>
    <m/>
    <m/>
    <m/>
    <m/>
  </r>
  <r>
    <x v="47"/>
    <x v="12"/>
    <m/>
    <m/>
    <m/>
    <m/>
    <m/>
    <m/>
    <m/>
    <m/>
    <m/>
    <m/>
    <m/>
    <m/>
    <m/>
    <m/>
    <m/>
    <m/>
    <m/>
  </r>
  <r>
    <x v="47"/>
    <x v="13"/>
    <m/>
    <m/>
    <m/>
    <m/>
    <m/>
    <m/>
    <m/>
    <m/>
    <m/>
    <m/>
    <m/>
    <m/>
    <m/>
    <m/>
    <m/>
    <m/>
    <m/>
  </r>
  <r>
    <x v="47"/>
    <x v="14"/>
    <m/>
    <m/>
    <m/>
    <m/>
    <m/>
    <m/>
    <m/>
    <m/>
    <m/>
    <m/>
    <m/>
    <m/>
    <m/>
    <m/>
    <m/>
    <m/>
    <m/>
  </r>
  <r>
    <x v="47"/>
    <x v="15"/>
    <m/>
    <m/>
    <m/>
    <m/>
    <m/>
    <m/>
    <m/>
    <m/>
    <m/>
    <m/>
    <m/>
    <m/>
    <m/>
    <m/>
    <m/>
    <m/>
    <m/>
  </r>
  <r>
    <x v="47"/>
    <x v="16"/>
    <m/>
    <m/>
    <m/>
    <m/>
    <m/>
    <m/>
    <m/>
    <m/>
    <m/>
    <m/>
    <m/>
    <m/>
    <m/>
    <m/>
    <m/>
    <m/>
    <m/>
  </r>
  <r>
    <x v="47"/>
    <x v="17"/>
    <m/>
    <m/>
    <m/>
    <m/>
    <m/>
    <m/>
    <m/>
    <m/>
    <m/>
    <m/>
    <m/>
    <m/>
    <m/>
    <m/>
    <m/>
    <m/>
    <m/>
  </r>
  <r>
    <x v="47"/>
    <x v="18"/>
    <m/>
    <m/>
    <m/>
    <m/>
    <m/>
    <m/>
    <m/>
    <m/>
    <m/>
    <m/>
    <m/>
    <m/>
    <m/>
    <m/>
    <m/>
    <m/>
    <m/>
  </r>
  <r>
    <x v="47"/>
    <x v="19"/>
    <m/>
    <m/>
    <m/>
    <m/>
    <m/>
    <m/>
    <m/>
    <m/>
    <m/>
    <m/>
    <m/>
    <m/>
    <m/>
    <m/>
    <m/>
    <m/>
    <m/>
  </r>
  <r>
    <x v="47"/>
    <x v="20"/>
    <m/>
    <m/>
    <m/>
    <m/>
    <m/>
    <m/>
    <m/>
    <m/>
    <m/>
    <m/>
    <m/>
    <m/>
    <m/>
    <m/>
    <m/>
    <m/>
    <m/>
  </r>
  <r>
    <x v="47"/>
    <x v="21"/>
    <m/>
    <m/>
    <m/>
    <m/>
    <m/>
    <m/>
    <m/>
    <m/>
    <m/>
    <m/>
    <m/>
    <m/>
    <m/>
    <m/>
    <m/>
    <m/>
    <m/>
  </r>
  <r>
    <x v="47"/>
    <x v="22"/>
    <m/>
    <m/>
    <m/>
    <m/>
    <m/>
    <m/>
    <m/>
    <m/>
    <m/>
    <m/>
    <m/>
    <m/>
    <m/>
    <m/>
    <m/>
    <m/>
    <m/>
  </r>
  <r>
    <x v="47"/>
    <x v="23"/>
    <m/>
    <m/>
    <m/>
    <m/>
    <m/>
    <m/>
    <m/>
    <m/>
    <m/>
    <m/>
    <m/>
    <m/>
    <m/>
    <m/>
    <m/>
    <m/>
    <m/>
  </r>
  <r>
    <x v="47"/>
    <x v="24"/>
    <m/>
    <m/>
    <m/>
    <m/>
    <m/>
    <m/>
    <m/>
    <m/>
    <m/>
    <m/>
    <m/>
    <m/>
    <m/>
    <m/>
    <m/>
    <m/>
    <m/>
  </r>
  <r>
    <x v="47"/>
    <x v="25"/>
    <m/>
    <m/>
    <m/>
    <m/>
    <m/>
    <m/>
    <m/>
    <m/>
    <m/>
    <m/>
    <m/>
    <m/>
    <m/>
    <m/>
    <m/>
    <m/>
    <m/>
  </r>
  <r>
    <x v="47"/>
    <x v="26"/>
    <m/>
    <m/>
    <m/>
    <m/>
    <m/>
    <m/>
    <m/>
    <m/>
    <m/>
    <m/>
    <m/>
    <m/>
    <m/>
    <m/>
    <m/>
    <m/>
    <m/>
  </r>
  <r>
    <x v="47"/>
    <x v="27"/>
    <m/>
    <m/>
    <m/>
    <m/>
    <m/>
    <m/>
    <m/>
    <m/>
    <m/>
    <m/>
    <m/>
    <m/>
    <m/>
    <m/>
    <m/>
    <m/>
    <m/>
  </r>
  <r>
    <x v="47"/>
    <x v="28"/>
    <m/>
    <m/>
    <m/>
    <m/>
    <m/>
    <m/>
    <m/>
    <m/>
    <m/>
    <m/>
    <m/>
    <m/>
    <m/>
    <m/>
    <m/>
    <m/>
    <m/>
  </r>
  <r>
    <x v="47"/>
    <x v="29"/>
    <m/>
    <m/>
    <m/>
    <m/>
    <m/>
    <m/>
    <m/>
    <m/>
    <m/>
    <m/>
    <m/>
    <m/>
    <m/>
    <m/>
    <m/>
    <m/>
    <m/>
  </r>
  <r>
    <x v="47"/>
    <x v="30"/>
    <m/>
    <m/>
    <m/>
    <m/>
    <m/>
    <m/>
    <m/>
    <m/>
    <m/>
    <m/>
    <m/>
    <m/>
    <m/>
    <m/>
    <m/>
    <m/>
    <m/>
  </r>
  <r>
    <x v="47"/>
    <x v="31"/>
    <m/>
    <m/>
    <m/>
    <m/>
    <m/>
    <m/>
    <m/>
    <m/>
    <m/>
    <m/>
    <m/>
    <m/>
    <m/>
    <m/>
    <m/>
    <m/>
    <m/>
  </r>
  <r>
    <x v="47"/>
    <x v="32"/>
    <m/>
    <m/>
    <m/>
    <m/>
    <m/>
    <m/>
    <m/>
    <m/>
    <m/>
    <m/>
    <m/>
    <m/>
    <m/>
    <m/>
    <m/>
    <m/>
    <m/>
  </r>
  <r>
    <x v="47"/>
    <x v="33"/>
    <m/>
    <m/>
    <m/>
    <m/>
    <m/>
    <m/>
    <m/>
    <m/>
    <m/>
    <m/>
    <m/>
    <m/>
    <m/>
    <m/>
    <m/>
    <m/>
    <m/>
  </r>
  <r>
    <x v="47"/>
    <x v="34"/>
    <m/>
    <m/>
    <m/>
    <m/>
    <m/>
    <m/>
    <m/>
    <m/>
    <m/>
    <m/>
    <m/>
    <m/>
    <m/>
    <m/>
    <m/>
    <m/>
    <m/>
  </r>
  <r>
    <x v="47"/>
    <x v="35"/>
    <m/>
    <m/>
    <m/>
    <m/>
    <m/>
    <m/>
    <m/>
    <m/>
    <m/>
    <m/>
    <m/>
    <m/>
    <m/>
    <m/>
    <m/>
    <m/>
    <m/>
  </r>
  <r>
    <x v="47"/>
    <x v="36"/>
    <m/>
    <m/>
    <m/>
    <m/>
    <m/>
    <m/>
    <m/>
    <m/>
    <m/>
    <m/>
    <m/>
    <m/>
    <m/>
    <m/>
    <m/>
    <m/>
    <m/>
  </r>
  <r>
    <x v="47"/>
    <x v="37"/>
    <m/>
    <m/>
    <m/>
    <m/>
    <m/>
    <m/>
    <m/>
    <m/>
    <m/>
    <m/>
    <m/>
    <m/>
    <m/>
    <m/>
    <m/>
    <m/>
    <m/>
  </r>
  <r>
    <x v="47"/>
    <x v="38"/>
    <m/>
    <m/>
    <m/>
    <m/>
    <m/>
    <m/>
    <m/>
    <m/>
    <m/>
    <m/>
    <m/>
    <m/>
    <m/>
    <m/>
    <m/>
    <m/>
    <m/>
  </r>
  <r>
    <x v="47"/>
    <x v="39"/>
    <m/>
    <m/>
    <m/>
    <m/>
    <m/>
    <m/>
    <m/>
    <m/>
    <m/>
    <m/>
    <m/>
    <m/>
    <m/>
    <m/>
    <m/>
    <m/>
    <m/>
  </r>
  <r>
    <x v="47"/>
    <x v="40"/>
    <m/>
    <m/>
    <m/>
    <m/>
    <m/>
    <m/>
    <m/>
    <m/>
    <m/>
    <m/>
    <m/>
    <m/>
    <m/>
    <m/>
    <m/>
    <m/>
    <m/>
  </r>
  <r>
    <x v="47"/>
    <x v="41"/>
    <m/>
    <m/>
    <m/>
    <m/>
    <m/>
    <m/>
    <m/>
    <m/>
    <m/>
    <m/>
    <m/>
    <m/>
    <m/>
    <m/>
    <m/>
    <m/>
    <m/>
  </r>
  <r>
    <x v="47"/>
    <x v="42"/>
    <m/>
    <m/>
    <m/>
    <m/>
    <m/>
    <m/>
    <m/>
    <m/>
    <m/>
    <m/>
    <m/>
    <m/>
    <m/>
    <m/>
    <m/>
    <m/>
    <m/>
  </r>
  <r>
    <x v="47"/>
    <x v="43"/>
    <m/>
    <m/>
    <m/>
    <m/>
    <m/>
    <m/>
    <m/>
    <m/>
    <m/>
    <m/>
    <m/>
    <m/>
    <m/>
    <m/>
    <m/>
    <m/>
    <m/>
  </r>
  <r>
    <x v="47"/>
    <x v="44"/>
    <m/>
    <m/>
    <m/>
    <m/>
    <m/>
    <m/>
    <m/>
    <m/>
    <m/>
    <m/>
    <m/>
    <m/>
    <m/>
    <m/>
    <m/>
    <m/>
    <m/>
  </r>
  <r>
    <x v="47"/>
    <x v="45"/>
    <m/>
    <m/>
    <m/>
    <m/>
    <m/>
    <m/>
    <m/>
    <m/>
    <m/>
    <m/>
    <m/>
    <m/>
    <m/>
    <m/>
    <m/>
    <m/>
    <m/>
  </r>
  <r>
    <x v="47"/>
    <x v="46"/>
    <m/>
    <m/>
    <m/>
    <m/>
    <m/>
    <m/>
    <m/>
    <m/>
    <m/>
    <m/>
    <m/>
    <m/>
    <m/>
    <m/>
    <m/>
    <m/>
    <m/>
  </r>
  <r>
    <x v="47"/>
    <x v="47"/>
    <m/>
    <m/>
    <m/>
    <m/>
    <m/>
    <m/>
    <m/>
    <m/>
    <m/>
    <m/>
    <m/>
    <m/>
    <m/>
    <m/>
    <m/>
    <m/>
    <m/>
  </r>
  <r>
    <x v="47"/>
    <x v="48"/>
    <m/>
    <m/>
    <m/>
    <m/>
    <m/>
    <m/>
    <m/>
    <m/>
    <m/>
    <m/>
    <m/>
    <m/>
    <m/>
    <m/>
    <m/>
    <m/>
    <m/>
  </r>
  <r>
    <x v="47"/>
    <x v="49"/>
    <m/>
    <m/>
    <m/>
    <m/>
    <m/>
    <m/>
    <m/>
    <m/>
    <m/>
    <m/>
    <m/>
    <m/>
    <m/>
    <m/>
    <m/>
    <m/>
    <m/>
  </r>
  <r>
    <x v="47"/>
    <x v="50"/>
    <m/>
    <m/>
    <m/>
    <m/>
    <m/>
    <m/>
    <m/>
    <m/>
    <m/>
    <m/>
    <m/>
    <m/>
    <m/>
    <m/>
    <m/>
    <m/>
    <m/>
  </r>
  <r>
    <x v="47"/>
    <x v="51"/>
    <m/>
    <m/>
    <m/>
    <m/>
    <m/>
    <m/>
    <m/>
    <m/>
    <m/>
    <m/>
    <m/>
    <m/>
    <m/>
    <m/>
    <m/>
    <m/>
    <m/>
  </r>
  <r>
    <x v="48"/>
    <x v="0"/>
    <m/>
    <m/>
    <m/>
    <m/>
    <m/>
    <m/>
    <m/>
    <m/>
    <m/>
    <m/>
    <m/>
    <m/>
    <m/>
    <m/>
    <m/>
    <m/>
    <m/>
  </r>
  <r>
    <x v="48"/>
    <x v="1"/>
    <m/>
    <m/>
    <m/>
    <m/>
    <m/>
    <m/>
    <m/>
    <m/>
    <m/>
    <m/>
    <m/>
    <m/>
    <m/>
    <m/>
    <m/>
    <m/>
    <m/>
  </r>
  <r>
    <x v="48"/>
    <x v="2"/>
    <m/>
    <m/>
    <m/>
    <m/>
    <m/>
    <m/>
    <m/>
    <m/>
    <m/>
    <m/>
    <m/>
    <m/>
    <m/>
    <m/>
    <m/>
    <m/>
    <m/>
  </r>
  <r>
    <x v="48"/>
    <x v="3"/>
    <m/>
    <m/>
    <m/>
    <m/>
    <m/>
    <m/>
    <m/>
    <m/>
    <m/>
    <m/>
    <m/>
    <m/>
    <m/>
    <m/>
    <m/>
    <m/>
    <m/>
  </r>
  <r>
    <x v="48"/>
    <x v="4"/>
    <m/>
    <m/>
    <m/>
    <m/>
    <m/>
    <m/>
    <m/>
    <m/>
    <m/>
    <m/>
    <m/>
    <m/>
    <m/>
    <m/>
    <m/>
    <m/>
    <m/>
  </r>
  <r>
    <x v="48"/>
    <x v="5"/>
    <m/>
    <m/>
    <m/>
    <m/>
    <m/>
    <m/>
    <m/>
    <m/>
    <m/>
    <m/>
    <m/>
    <m/>
    <m/>
    <m/>
    <m/>
    <m/>
    <m/>
  </r>
  <r>
    <x v="48"/>
    <x v="6"/>
    <m/>
    <m/>
    <m/>
    <m/>
    <m/>
    <m/>
    <m/>
    <m/>
    <m/>
    <m/>
    <m/>
    <m/>
    <m/>
    <m/>
    <m/>
    <m/>
    <m/>
  </r>
  <r>
    <x v="48"/>
    <x v="7"/>
    <m/>
    <m/>
    <m/>
    <m/>
    <m/>
    <m/>
    <m/>
    <m/>
    <m/>
    <m/>
    <m/>
    <m/>
    <m/>
    <m/>
    <m/>
    <m/>
    <m/>
  </r>
  <r>
    <x v="48"/>
    <x v="8"/>
    <m/>
    <m/>
    <m/>
    <m/>
    <m/>
    <m/>
    <m/>
    <m/>
    <m/>
    <m/>
    <m/>
    <m/>
    <m/>
    <m/>
    <m/>
    <m/>
    <m/>
  </r>
  <r>
    <x v="48"/>
    <x v="9"/>
    <m/>
    <m/>
    <m/>
    <m/>
    <m/>
    <m/>
    <m/>
    <m/>
    <m/>
    <m/>
    <m/>
    <m/>
    <m/>
    <m/>
    <m/>
    <m/>
    <m/>
  </r>
  <r>
    <x v="48"/>
    <x v="10"/>
    <m/>
    <m/>
    <m/>
    <m/>
    <m/>
    <m/>
    <m/>
    <m/>
    <m/>
    <m/>
    <m/>
    <m/>
    <m/>
    <m/>
    <m/>
    <m/>
    <m/>
  </r>
  <r>
    <x v="48"/>
    <x v="11"/>
    <m/>
    <m/>
    <m/>
    <m/>
    <m/>
    <m/>
    <m/>
    <m/>
    <m/>
    <m/>
    <m/>
    <m/>
    <m/>
    <m/>
    <m/>
    <m/>
    <m/>
  </r>
  <r>
    <x v="48"/>
    <x v="12"/>
    <m/>
    <m/>
    <m/>
    <m/>
    <m/>
    <m/>
    <n v="25"/>
    <n v="10"/>
    <m/>
    <m/>
    <m/>
    <n v="10"/>
    <m/>
    <n v="30"/>
    <m/>
    <m/>
    <m/>
  </r>
  <r>
    <x v="48"/>
    <x v="13"/>
    <m/>
    <m/>
    <m/>
    <m/>
    <m/>
    <m/>
    <m/>
    <m/>
    <m/>
    <m/>
    <m/>
    <m/>
    <m/>
    <m/>
    <m/>
    <m/>
    <m/>
  </r>
  <r>
    <x v="48"/>
    <x v="14"/>
    <m/>
    <m/>
    <m/>
    <m/>
    <m/>
    <m/>
    <m/>
    <m/>
    <m/>
    <m/>
    <m/>
    <m/>
    <m/>
    <m/>
    <m/>
    <m/>
    <m/>
  </r>
  <r>
    <x v="48"/>
    <x v="15"/>
    <m/>
    <m/>
    <m/>
    <m/>
    <m/>
    <m/>
    <m/>
    <m/>
    <m/>
    <m/>
    <m/>
    <m/>
    <m/>
    <m/>
    <m/>
    <m/>
    <m/>
  </r>
  <r>
    <x v="48"/>
    <x v="16"/>
    <m/>
    <m/>
    <m/>
    <m/>
    <m/>
    <m/>
    <m/>
    <m/>
    <m/>
    <m/>
    <m/>
    <m/>
    <m/>
    <m/>
    <m/>
    <m/>
    <m/>
  </r>
  <r>
    <x v="48"/>
    <x v="17"/>
    <m/>
    <m/>
    <m/>
    <m/>
    <m/>
    <m/>
    <m/>
    <m/>
    <m/>
    <m/>
    <m/>
    <m/>
    <m/>
    <m/>
    <m/>
    <m/>
    <m/>
  </r>
  <r>
    <x v="48"/>
    <x v="18"/>
    <m/>
    <m/>
    <m/>
    <m/>
    <m/>
    <m/>
    <m/>
    <m/>
    <m/>
    <m/>
    <m/>
    <m/>
    <m/>
    <m/>
    <m/>
    <m/>
    <m/>
  </r>
  <r>
    <x v="48"/>
    <x v="19"/>
    <m/>
    <m/>
    <m/>
    <m/>
    <m/>
    <m/>
    <m/>
    <m/>
    <m/>
    <m/>
    <m/>
    <m/>
    <m/>
    <m/>
    <m/>
    <m/>
    <m/>
  </r>
  <r>
    <x v="48"/>
    <x v="20"/>
    <m/>
    <m/>
    <m/>
    <m/>
    <m/>
    <m/>
    <m/>
    <m/>
    <m/>
    <m/>
    <m/>
    <m/>
    <m/>
    <m/>
    <m/>
    <m/>
    <m/>
  </r>
  <r>
    <x v="48"/>
    <x v="21"/>
    <m/>
    <m/>
    <m/>
    <m/>
    <m/>
    <m/>
    <m/>
    <m/>
    <m/>
    <m/>
    <m/>
    <m/>
    <m/>
    <m/>
    <m/>
    <m/>
    <m/>
  </r>
  <r>
    <x v="48"/>
    <x v="22"/>
    <m/>
    <m/>
    <m/>
    <m/>
    <m/>
    <m/>
    <m/>
    <m/>
    <m/>
    <m/>
    <m/>
    <m/>
    <m/>
    <m/>
    <m/>
    <m/>
    <m/>
  </r>
  <r>
    <x v="48"/>
    <x v="23"/>
    <m/>
    <m/>
    <m/>
    <m/>
    <m/>
    <m/>
    <m/>
    <m/>
    <m/>
    <m/>
    <m/>
    <m/>
    <m/>
    <m/>
    <m/>
    <m/>
    <m/>
  </r>
  <r>
    <x v="48"/>
    <x v="24"/>
    <m/>
    <m/>
    <m/>
    <m/>
    <m/>
    <m/>
    <m/>
    <m/>
    <m/>
    <m/>
    <m/>
    <m/>
    <m/>
    <m/>
    <m/>
    <m/>
    <m/>
  </r>
  <r>
    <x v="48"/>
    <x v="25"/>
    <m/>
    <m/>
    <m/>
    <m/>
    <m/>
    <m/>
    <m/>
    <m/>
    <m/>
    <m/>
    <m/>
    <m/>
    <m/>
    <m/>
    <m/>
    <m/>
    <m/>
  </r>
  <r>
    <x v="48"/>
    <x v="26"/>
    <m/>
    <m/>
    <m/>
    <m/>
    <m/>
    <m/>
    <m/>
    <m/>
    <m/>
    <m/>
    <m/>
    <m/>
    <m/>
    <m/>
    <m/>
    <m/>
    <m/>
  </r>
  <r>
    <x v="48"/>
    <x v="27"/>
    <m/>
    <m/>
    <m/>
    <m/>
    <m/>
    <m/>
    <m/>
    <m/>
    <m/>
    <m/>
    <m/>
    <m/>
    <m/>
    <m/>
    <m/>
    <m/>
    <m/>
  </r>
  <r>
    <x v="48"/>
    <x v="28"/>
    <m/>
    <m/>
    <m/>
    <m/>
    <m/>
    <m/>
    <m/>
    <m/>
    <m/>
    <m/>
    <m/>
    <m/>
    <m/>
    <m/>
    <m/>
    <m/>
    <m/>
  </r>
  <r>
    <x v="48"/>
    <x v="29"/>
    <m/>
    <m/>
    <m/>
    <m/>
    <m/>
    <m/>
    <m/>
    <m/>
    <m/>
    <m/>
    <m/>
    <m/>
    <m/>
    <m/>
    <m/>
    <m/>
    <m/>
  </r>
  <r>
    <x v="48"/>
    <x v="30"/>
    <m/>
    <m/>
    <m/>
    <m/>
    <m/>
    <m/>
    <m/>
    <m/>
    <m/>
    <m/>
    <m/>
    <m/>
    <m/>
    <m/>
    <m/>
    <m/>
    <m/>
  </r>
  <r>
    <x v="48"/>
    <x v="31"/>
    <m/>
    <m/>
    <m/>
    <m/>
    <m/>
    <m/>
    <m/>
    <m/>
    <m/>
    <m/>
    <m/>
    <m/>
    <m/>
    <m/>
    <m/>
    <m/>
    <m/>
  </r>
  <r>
    <x v="48"/>
    <x v="32"/>
    <m/>
    <m/>
    <m/>
    <m/>
    <m/>
    <m/>
    <m/>
    <m/>
    <m/>
    <m/>
    <m/>
    <m/>
    <m/>
    <m/>
    <m/>
    <m/>
    <m/>
  </r>
  <r>
    <x v="48"/>
    <x v="33"/>
    <m/>
    <m/>
    <m/>
    <m/>
    <m/>
    <m/>
    <m/>
    <m/>
    <m/>
    <m/>
    <m/>
    <m/>
    <m/>
    <m/>
    <m/>
    <m/>
    <m/>
  </r>
  <r>
    <x v="48"/>
    <x v="34"/>
    <m/>
    <m/>
    <m/>
    <m/>
    <m/>
    <m/>
    <m/>
    <m/>
    <m/>
    <m/>
    <m/>
    <m/>
    <m/>
    <m/>
    <m/>
    <m/>
    <m/>
  </r>
  <r>
    <x v="48"/>
    <x v="35"/>
    <m/>
    <m/>
    <m/>
    <m/>
    <m/>
    <m/>
    <n v="25"/>
    <n v="10"/>
    <m/>
    <m/>
    <m/>
    <n v="10"/>
    <m/>
    <n v="30"/>
    <m/>
    <m/>
    <m/>
  </r>
  <r>
    <x v="48"/>
    <x v="36"/>
    <m/>
    <m/>
    <m/>
    <m/>
    <m/>
    <m/>
    <m/>
    <m/>
    <m/>
    <m/>
    <m/>
    <m/>
    <m/>
    <m/>
    <m/>
    <m/>
    <m/>
  </r>
  <r>
    <x v="48"/>
    <x v="37"/>
    <m/>
    <m/>
    <m/>
    <m/>
    <m/>
    <m/>
    <m/>
    <m/>
    <m/>
    <m/>
    <m/>
    <m/>
    <m/>
    <m/>
    <m/>
    <m/>
    <m/>
  </r>
  <r>
    <x v="48"/>
    <x v="38"/>
    <m/>
    <m/>
    <m/>
    <m/>
    <m/>
    <m/>
    <m/>
    <m/>
    <m/>
    <m/>
    <m/>
    <m/>
    <m/>
    <m/>
    <m/>
    <m/>
    <m/>
  </r>
  <r>
    <x v="48"/>
    <x v="39"/>
    <m/>
    <m/>
    <m/>
    <m/>
    <m/>
    <m/>
    <m/>
    <m/>
    <m/>
    <m/>
    <m/>
    <m/>
    <m/>
    <m/>
    <m/>
    <m/>
    <m/>
  </r>
  <r>
    <x v="48"/>
    <x v="40"/>
    <m/>
    <m/>
    <m/>
    <m/>
    <m/>
    <m/>
    <m/>
    <m/>
    <m/>
    <m/>
    <m/>
    <m/>
    <m/>
    <m/>
    <m/>
    <m/>
    <m/>
  </r>
  <r>
    <x v="48"/>
    <x v="41"/>
    <m/>
    <m/>
    <m/>
    <m/>
    <m/>
    <m/>
    <m/>
    <m/>
    <m/>
    <m/>
    <m/>
    <m/>
    <m/>
    <m/>
    <m/>
    <m/>
    <m/>
  </r>
  <r>
    <x v="48"/>
    <x v="42"/>
    <n v="35"/>
    <n v="30"/>
    <n v="15"/>
    <n v="15"/>
    <n v="15"/>
    <n v="15"/>
    <n v="160"/>
    <n v="20"/>
    <n v="0"/>
    <n v="30"/>
    <n v="30"/>
    <n v="30"/>
    <m/>
    <n v="100"/>
    <m/>
    <m/>
    <m/>
  </r>
  <r>
    <x v="48"/>
    <x v="43"/>
    <m/>
    <m/>
    <m/>
    <m/>
    <m/>
    <m/>
    <n v="20"/>
    <n v="10"/>
    <m/>
    <m/>
    <n v="10"/>
    <n v="10"/>
    <m/>
    <n v="20"/>
    <m/>
    <m/>
    <m/>
  </r>
  <r>
    <x v="48"/>
    <x v="44"/>
    <m/>
    <m/>
    <m/>
    <m/>
    <m/>
    <m/>
    <m/>
    <m/>
    <m/>
    <m/>
    <m/>
    <m/>
    <m/>
    <m/>
    <m/>
    <m/>
    <m/>
  </r>
  <r>
    <x v="48"/>
    <x v="45"/>
    <m/>
    <m/>
    <m/>
    <m/>
    <m/>
    <m/>
    <m/>
    <m/>
    <m/>
    <m/>
    <m/>
    <m/>
    <m/>
    <m/>
    <m/>
    <m/>
    <m/>
  </r>
  <r>
    <x v="48"/>
    <x v="46"/>
    <m/>
    <m/>
    <m/>
    <m/>
    <m/>
    <m/>
    <m/>
    <m/>
    <m/>
    <m/>
    <m/>
    <m/>
    <m/>
    <m/>
    <m/>
    <m/>
    <m/>
  </r>
  <r>
    <x v="48"/>
    <x v="47"/>
    <m/>
    <m/>
    <m/>
    <m/>
    <m/>
    <m/>
    <m/>
    <m/>
    <m/>
    <m/>
    <m/>
    <m/>
    <m/>
    <m/>
    <m/>
    <m/>
    <m/>
  </r>
  <r>
    <x v="48"/>
    <x v="48"/>
    <m/>
    <m/>
    <m/>
    <m/>
    <m/>
    <m/>
    <m/>
    <m/>
    <m/>
    <m/>
    <m/>
    <m/>
    <m/>
    <m/>
    <m/>
    <m/>
    <m/>
  </r>
  <r>
    <x v="48"/>
    <x v="49"/>
    <m/>
    <m/>
    <m/>
    <m/>
    <m/>
    <m/>
    <m/>
    <m/>
    <m/>
    <m/>
    <m/>
    <m/>
    <m/>
    <m/>
    <m/>
    <m/>
    <m/>
  </r>
  <r>
    <x v="48"/>
    <x v="50"/>
    <m/>
    <m/>
    <m/>
    <m/>
    <m/>
    <m/>
    <m/>
    <m/>
    <m/>
    <m/>
    <m/>
    <m/>
    <m/>
    <m/>
    <m/>
    <m/>
    <m/>
  </r>
  <r>
    <x v="48"/>
    <x v="51"/>
    <m/>
    <m/>
    <m/>
    <m/>
    <m/>
    <m/>
    <n v="30"/>
    <n v="10"/>
    <m/>
    <m/>
    <m/>
    <n v="10"/>
    <m/>
    <n v="30"/>
    <m/>
    <m/>
    <m/>
  </r>
  <r>
    <x v="49"/>
    <x v="0"/>
    <m/>
    <m/>
    <m/>
    <m/>
    <m/>
    <m/>
    <m/>
    <m/>
    <m/>
    <m/>
    <m/>
    <m/>
    <m/>
    <m/>
    <m/>
    <m/>
    <m/>
  </r>
  <r>
    <x v="49"/>
    <x v="1"/>
    <m/>
    <m/>
    <m/>
    <m/>
    <m/>
    <m/>
    <m/>
    <m/>
    <m/>
    <m/>
    <m/>
    <m/>
    <m/>
    <m/>
    <m/>
    <m/>
    <m/>
  </r>
  <r>
    <x v="49"/>
    <x v="2"/>
    <m/>
    <m/>
    <m/>
    <m/>
    <m/>
    <m/>
    <m/>
    <m/>
    <m/>
    <m/>
    <m/>
    <m/>
    <m/>
    <m/>
    <m/>
    <m/>
    <m/>
  </r>
  <r>
    <x v="49"/>
    <x v="3"/>
    <m/>
    <m/>
    <m/>
    <m/>
    <m/>
    <m/>
    <m/>
    <m/>
    <m/>
    <m/>
    <m/>
    <m/>
    <m/>
    <m/>
    <m/>
    <m/>
    <m/>
  </r>
  <r>
    <x v="49"/>
    <x v="4"/>
    <m/>
    <m/>
    <m/>
    <m/>
    <m/>
    <m/>
    <m/>
    <m/>
    <m/>
    <m/>
    <m/>
    <m/>
    <m/>
    <m/>
    <m/>
    <m/>
    <m/>
  </r>
  <r>
    <x v="49"/>
    <x v="5"/>
    <m/>
    <m/>
    <m/>
    <m/>
    <m/>
    <m/>
    <m/>
    <m/>
    <m/>
    <m/>
    <m/>
    <m/>
    <m/>
    <m/>
    <m/>
    <m/>
    <m/>
  </r>
  <r>
    <x v="49"/>
    <x v="6"/>
    <m/>
    <m/>
    <m/>
    <m/>
    <m/>
    <m/>
    <m/>
    <m/>
    <m/>
    <m/>
    <m/>
    <m/>
    <m/>
    <m/>
    <m/>
    <m/>
    <m/>
  </r>
  <r>
    <x v="49"/>
    <x v="7"/>
    <m/>
    <m/>
    <m/>
    <m/>
    <m/>
    <m/>
    <m/>
    <m/>
    <m/>
    <m/>
    <m/>
    <m/>
    <m/>
    <m/>
    <m/>
    <m/>
    <m/>
  </r>
  <r>
    <x v="49"/>
    <x v="8"/>
    <m/>
    <m/>
    <m/>
    <m/>
    <m/>
    <m/>
    <m/>
    <m/>
    <m/>
    <m/>
    <m/>
    <m/>
    <m/>
    <m/>
    <m/>
    <m/>
    <m/>
  </r>
  <r>
    <x v="49"/>
    <x v="9"/>
    <m/>
    <m/>
    <m/>
    <m/>
    <m/>
    <m/>
    <m/>
    <m/>
    <m/>
    <m/>
    <m/>
    <m/>
    <m/>
    <m/>
    <m/>
    <m/>
    <m/>
  </r>
  <r>
    <x v="49"/>
    <x v="10"/>
    <m/>
    <m/>
    <m/>
    <m/>
    <m/>
    <m/>
    <m/>
    <m/>
    <m/>
    <m/>
    <m/>
    <m/>
    <m/>
    <m/>
    <m/>
    <m/>
    <m/>
  </r>
  <r>
    <x v="49"/>
    <x v="11"/>
    <m/>
    <m/>
    <m/>
    <m/>
    <m/>
    <m/>
    <m/>
    <m/>
    <m/>
    <m/>
    <m/>
    <m/>
    <m/>
    <m/>
    <m/>
    <m/>
    <m/>
  </r>
  <r>
    <x v="49"/>
    <x v="12"/>
    <m/>
    <m/>
    <m/>
    <m/>
    <m/>
    <m/>
    <m/>
    <m/>
    <m/>
    <m/>
    <m/>
    <m/>
    <m/>
    <m/>
    <m/>
    <m/>
    <m/>
  </r>
  <r>
    <x v="49"/>
    <x v="13"/>
    <m/>
    <m/>
    <m/>
    <m/>
    <m/>
    <m/>
    <m/>
    <m/>
    <m/>
    <m/>
    <m/>
    <m/>
    <m/>
    <m/>
    <m/>
    <m/>
    <m/>
  </r>
  <r>
    <x v="49"/>
    <x v="14"/>
    <m/>
    <m/>
    <m/>
    <m/>
    <m/>
    <m/>
    <m/>
    <m/>
    <m/>
    <m/>
    <m/>
    <m/>
    <m/>
    <m/>
    <m/>
    <m/>
    <m/>
  </r>
  <r>
    <x v="49"/>
    <x v="15"/>
    <m/>
    <m/>
    <m/>
    <m/>
    <m/>
    <m/>
    <m/>
    <m/>
    <m/>
    <m/>
    <m/>
    <m/>
    <m/>
    <m/>
    <m/>
    <m/>
    <m/>
  </r>
  <r>
    <x v="49"/>
    <x v="16"/>
    <m/>
    <m/>
    <m/>
    <m/>
    <m/>
    <m/>
    <m/>
    <m/>
    <m/>
    <m/>
    <m/>
    <m/>
    <m/>
    <m/>
    <m/>
    <m/>
    <m/>
  </r>
  <r>
    <x v="49"/>
    <x v="17"/>
    <m/>
    <m/>
    <m/>
    <m/>
    <m/>
    <m/>
    <m/>
    <m/>
    <m/>
    <m/>
    <m/>
    <m/>
    <m/>
    <m/>
    <m/>
    <m/>
    <m/>
  </r>
  <r>
    <x v="49"/>
    <x v="18"/>
    <m/>
    <m/>
    <m/>
    <m/>
    <m/>
    <m/>
    <m/>
    <m/>
    <m/>
    <m/>
    <m/>
    <m/>
    <m/>
    <m/>
    <m/>
    <m/>
    <m/>
  </r>
  <r>
    <x v="49"/>
    <x v="19"/>
    <m/>
    <m/>
    <m/>
    <m/>
    <m/>
    <m/>
    <m/>
    <m/>
    <m/>
    <m/>
    <m/>
    <m/>
    <m/>
    <m/>
    <m/>
    <m/>
    <m/>
  </r>
  <r>
    <x v="49"/>
    <x v="20"/>
    <m/>
    <m/>
    <m/>
    <m/>
    <m/>
    <m/>
    <n v="3"/>
    <m/>
    <n v="3"/>
    <m/>
    <n v="3"/>
    <m/>
    <m/>
    <n v="3"/>
    <m/>
    <n v="3"/>
    <m/>
  </r>
  <r>
    <x v="49"/>
    <x v="21"/>
    <m/>
    <m/>
    <m/>
    <m/>
    <m/>
    <m/>
    <m/>
    <m/>
    <m/>
    <m/>
    <m/>
    <m/>
    <m/>
    <m/>
    <m/>
    <m/>
    <m/>
  </r>
  <r>
    <x v="49"/>
    <x v="22"/>
    <m/>
    <m/>
    <m/>
    <m/>
    <m/>
    <m/>
    <m/>
    <m/>
    <m/>
    <m/>
    <m/>
    <m/>
    <m/>
    <m/>
    <m/>
    <m/>
    <m/>
  </r>
  <r>
    <x v="49"/>
    <x v="23"/>
    <m/>
    <m/>
    <m/>
    <m/>
    <m/>
    <m/>
    <m/>
    <m/>
    <m/>
    <m/>
    <m/>
    <m/>
    <m/>
    <m/>
    <m/>
    <m/>
    <m/>
  </r>
  <r>
    <x v="49"/>
    <x v="24"/>
    <m/>
    <m/>
    <m/>
    <m/>
    <m/>
    <m/>
    <m/>
    <m/>
    <m/>
    <m/>
    <m/>
    <m/>
    <m/>
    <m/>
    <m/>
    <m/>
    <m/>
  </r>
  <r>
    <x v="49"/>
    <x v="25"/>
    <m/>
    <m/>
    <m/>
    <m/>
    <m/>
    <m/>
    <m/>
    <m/>
    <m/>
    <m/>
    <m/>
    <m/>
    <m/>
    <m/>
    <m/>
    <m/>
    <m/>
  </r>
  <r>
    <x v="49"/>
    <x v="26"/>
    <m/>
    <m/>
    <m/>
    <m/>
    <m/>
    <m/>
    <m/>
    <m/>
    <m/>
    <m/>
    <m/>
    <m/>
    <m/>
    <m/>
    <m/>
    <m/>
    <m/>
  </r>
  <r>
    <x v="49"/>
    <x v="27"/>
    <m/>
    <m/>
    <m/>
    <m/>
    <m/>
    <m/>
    <m/>
    <m/>
    <m/>
    <m/>
    <m/>
    <m/>
    <m/>
    <m/>
    <m/>
    <m/>
    <m/>
  </r>
  <r>
    <x v="49"/>
    <x v="28"/>
    <m/>
    <m/>
    <m/>
    <m/>
    <m/>
    <m/>
    <m/>
    <m/>
    <m/>
    <m/>
    <m/>
    <m/>
    <m/>
    <m/>
    <m/>
    <m/>
    <m/>
  </r>
  <r>
    <x v="49"/>
    <x v="29"/>
    <m/>
    <m/>
    <m/>
    <m/>
    <m/>
    <m/>
    <m/>
    <m/>
    <m/>
    <m/>
    <m/>
    <m/>
    <m/>
    <m/>
    <m/>
    <m/>
    <m/>
  </r>
  <r>
    <x v="49"/>
    <x v="30"/>
    <m/>
    <m/>
    <m/>
    <m/>
    <m/>
    <m/>
    <m/>
    <m/>
    <m/>
    <m/>
    <m/>
    <m/>
    <m/>
    <m/>
    <m/>
    <m/>
    <m/>
  </r>
  <r>
    <x v="49"/>
    <x v="31"/>
    <m/>
    <m/>
    <m/>
    <m/>
    <m/>
    <m/>
    <n v="3"/>
    <n v="1"/>
    <n v="1"/>
    <m/>
    <n v="3"/>
    <n v="1"/>
    <n v="1"/>
    <n v="3"/>
    <n v="1"/>
    <n v="3"/>
    <m/>
  </r>
  <r>
    <x v="49"/>
    <x v="32"/>
    <m/>
    <m/>
    <m/>
    <m/>
    <m/>
    <m/>
    <m/>
    <m/>
    <m/>
    <m/>
    <m/>
    <m/>
    <m/>
    <m/>
    <m/>
    <m/>
    <m/>
  </r>
  <r>
    <x v="49"/>
    <x v="33"/>
    <m/>
    <m/>
    <m/>
    <m/>
    <m/>
    <m/>
    <m/>
    <m/>
    <m/>
    <m/>
    <m/>
    <m/>
    <m/>
    <m/>
    <m/>
    <m/>
    <m/>
  </r>
  <r>
    <x v="49"/>
    <x v="34"/>
    <m/>
    <m/>
    <m/>
    <m/>
    <m/>
    <m/>
    <m/>
    <m/>
    <m/>
    <m/>
    <m/>
    <m/>
    <m/>
    <m/>
    <m/>
    <m/>
    <m/>
  </r>
  <r>
    <x v="49"/>
    <x v="35"/>
    <m/>
    <m/>
    <m/>
    <m/>
    <m/>
    <m/>
    <m/>
    <m/>
    <m/>
    <m/>
    <m/>
    <m/>
    <m/>
    <m/>
    <m/>
    <m/>
    <m/>
  </r>
  <r>
    <x v="49"/>
    <x v="36"/>
    <m/>
    <m/>
    <m/>
    <m/>
    <m/>
    <m/>
    <m/>
    <m/>
    <m/>
    <m/>
    <m/>
    <m/>
    <m/>
    <m/>
    <m/>
    <m/>
    <m/>
  </r>
  <r>
    <x v="49"/>
    <x v="37"/>
    <m/>
    <m/>
    <m/>
    <m/>
    <m/>
    <m/>
    <m/>
    <m/>
    <m/>
    <m/>
    <m/>
    <m/>
    <m/>
    <m/>
    <m/>
    <m/>
    <m/>
  </r>
  <r>
    <x v="49"/>
    <x v="38"/>
    <m/>
    <m/>
    <m/>
    <m/>
    <m/>
    <m/>
    <n v="3"/>
    <m/>
    <n v="3"/>
    <m/>
    <n v="3"/>
    <m/>
    <m/>
    <n v="3"/>
    <m/>
    <n v="3"/>
    <m/>
  </r>
  <r>
    <x v="49"/>
    <x v="39"/>
    <m/>
    <m/>
    <m/>
    <m/>
    <m/>
    <m/>
    <m/>
    <m/>
    <m/>
    <m/>
    <m/>
    <m/>
    <m/>
    <m/>
    <m/>
    <m/>
    <m/>
  </r>
  <r>
    <x v="49"/>
    <x v="40"/>
    <m/>
    <m/>
    <m/>
    <m/>
    <m/>
    <m/>
    <m/>
    <m/>
    <m/>
    <m/>
    <m/>
    <m/>
    <m/>
    <m/>
    <m/>
    <m/>
    <m/>
  </r>
  <r>
    <x v="49"/>
    <x v="41"/>
    <m/>
    <m/>
    <m/>
    <m/>
    <m/>
    <m/>
    <m/>
    <m/>
    <m/>
    <m/>
    <m/>
    <m/>
    <m/>
    <m/>
    <m/>
    <m/>
    <m/>
  </r>
  <r>
    <x v="49"/>
    <x v="42"/>
    <m/>
    <m/>
    <m/>
    <m/>
    <m/>
    <m/>
    <m/>
    <m/>
    <m/>
    <m/>
    <m/>
    <m/>
    <m/>
    <m/>
    <m/>
    <m/>
    <m/>
  </r>
  <r>
    <x v="49"/>
    <x v="43"/>
    <m/>
    <m/>
    <m/>
    <m/>
    <m/>
    <m/>
    <m/>
    <m/>
    <m/>
    <m/>
    <m/>
    <m/>
    <m/>
    <m/>
    <m/>
    <m/>
    <m/>
  </r>
  <r>
    <x v="49"/>
    <x v="44"/>
    <m/>
    <m/>
    <m/>
    <m/>
    <m/>
    <m/>
    <m/>
    <m/>
    <m/>
    <m/>
    <m/>
    <m/>
    <m/>
    <m/>
    <m/>
    <m/>
    <m/>
  </r>
  <r>
    <x v="49"/>
    <x v="45"/>
    <m/>
    <m/>
    <m/>
    <m/>
    <m/>
    <m/>
    <m/>
    <m/>
    <m/>
    <m/>
    <m/>
    <m/>
    <m/>
    <m/>
    <m/>
    <m/>
    <m/>
  </r>
  <r>
    <x v="49"/>
    <x v="46"/>
    <m/>
    <m/>
    <m/>
    <m/>
    <m/>
    <m/>
    <m/>
    <m/>
    <m/>
    <m/>
    <m/>
    <m/>
    <m/>
    <m/>
    <m/>
    <m/>
    <m/>
  </r>
  <r>
    <x v="49"/>
    <x v="47"/>
    <m/>
    <m/>
    <m/>
    <m/>
    <m/>
    <m/>
    <m/>
    <m/>
    <m/>
    <m/>
    <m/>
    <m/>
    <m/>
    <m/>
    <m/>
    <m/>
    <m/>
  </r>
  <r>
    <x v="49"/>
    <x v="48"/>
    <m/>
    <m/>
    <m/>
    <m/>
    <m/>
    <m/>
    <m/>
    <m/>
    <m/>
    <m/>
    <m/>
    <m/>
    <m/>
    <m/>
    <m/>
    <m/>
    <m/>
  </r>
  <r>
    <x v="49"/>
    <x v="49"/>
    <m/>
    <m/>
    <m/>
    <m/>
    <m/>
    <m/>
    <m/>
    <m/>
    <m/>
    <m/>
    <m/>
    <m/>
    <m/>
    <m/>
    <m/>
    <m/>
    <m/>
  </r>
  <r>
    <x v="49"/>
    <x v="50"/>
    <m/>
    <m/>
    <m/>
    <m/>
    <m/>
    <m/>
    <m/>
    <m/>
    <m/>
    <m/>
    <m/>
    <m/>
    <m/>
    <m/>
    <m/>
    <m/>
    <m/>
  </r>
  <r>
    <x v="49"/>
    <x v="51"/>
    <m/>
    <m/>
    <m/>
    <m/>
    <m/>
    <m/>
    <m/>
    <m/>
    <m/>
    <m/>
    <m/>
    <m/>
    <m/>
    <m/>
    <m/>
    <m/>
    <m/>
  </r>
  <r>
    <x v="50"/>
    <x v="0"/>
    <m/>
    <m/>
    <m/>
    <m/>
    <m/>
    <m/>
    <m/>
    <m/>
    <m/>
    <m/>
    <m/>
    <m/>
    <m/>
    <m/>
    <m/>
    <m/>
    <m/>
  </r>
  <r>
    <x v="50"/>
    <x v="1"/>
    <m/>
    <m/>
    <m/>
    <m/>
    <m/>
    <m/>
    <m/>
    <m/>
    <m/>
    <m/>
    <m/>
    <m/>
    <m/>
    <m/>
    <m/>
    <m/>
    <m/>
  </r>
  <r>
    <x v="50"/>
    <x v="2"/>
    <m/>
    <m/>
    <m/>
    <m/>
    <m/>
    <m/>
    <m/>
    <m/>
    <m/>
    <m/>
    <m/>
    <m/>
    <m/>
    <m/>
    <m/>
    <m/>
    <m/>
  </r>
  <r>
    <x v="50"/>
    <x v="3"/>
    <m/>
    <m/>
    <m/>
    <m/>
    <m/>
    <m/>
    <m/>
    <m/>
    <m/>
    <m/>
    <m/>
    <m/>
    <m/>
    <m/>
    <m/>
    <m/>
    <m/>
  </r>
  <r>
    <x v="50"/>
    <x v="4"/>
    <m/>
    <m/>
    <m/>
    <m/>
    <m/>
    <m/>
    <m/>
    <m/>
    <m/>
    <m/>
    <m/>
    <m/>
    <m/>
    <m/>
    <m/>
    <m/>
    <m/>
  </r>
  <r>
    <x v="50"/>
    <x v="5"/>
    <m/>
    <m/>
    <m/>
    <m/>
    <m/>
    <m/>
    <m/>
    <m/>
    <m/>
    <m/>
    <m/>
    <m/>
    <m/>
    <m/>
    <m/>
    <m/>
    <m/>
  </r>
  <r>
    <x v="50"/>
    <x v="6"/>
    <m/>
    <m/>
    <m/>
    <m/>
    <m/>
    <m/>
    <m/>
    <m/>
    <m/>
    <m/>
    <m/>
    <m/>
    <m/>
    <m/>
    <m/>
    <m/>
    <m/>
  </r>
  <r>
    <x v="50"/>
    <x v="7"/>
    <m/>
    <m/>
    <m/>
    <m/>
    <m/>
    <m/>
    <m/>
    <m/>
    <m/>
    <m/>
    <m/>
    <m/>
    <m/>
    <m/>
    <m/>
    <m/>
    <m/>
  </r>
  <r>
    <x v="50"/>
    <x v="8"/>
    <m/>
    <m/>
    <m/>
    <m/>
    <m/>
    <m/>
    <m/>
    <m/>
    <m/>
    <m/>
    <m/>
    <m/>
    <m/>
    <m/>
    <m/>
    <m/>
    <m/>
  </r>
  <r>
    <x v="50"/>
    <x v="9"/>
    <m/>
    <m/>
    <m/>
    <m/>
    <m/>
    <m/>
    <m/>
    <m/>
    <m/>
    <m/>
    <m/>
    <m/>
    <m/>
    <m/>
    <m/>
    <m/>
    <m/>
  </r>
  <r>
    <x v="50"/>
    <x v="10"/>
    <m/>
    <m/>
    <m/>
    <m/>
    <m/>
    <m/>
    <m/>
    <m/>
    <m/>
    <m/>
    <m/>
    <m/>
    <m/>
    <m/>
    <m/>
    <m/>
    <m/>
  </r>
  <r>
    <x v="50"/>
    <x v="11"/>
    <m/>
    <m/>
    <m/>
    <m/>
    <m/>
    <m/>
    <m/>
    <m/>
    <m/>
    <m/>
    <m/>
    <m/>
    <m/>
    <m/>
    <m/>
    <m/>
    <m/>
  </r>
  <r>
    <x v="50"/>
    <x v="12"/>
    <m/>
    <m/>
    <m/>
    <m/>
    <m/>
    <m/>
    <m/>
    <m/>
    <m/>
    <m/>
    <m/>
    <m/>
    <m/>
    <m/>
    <m/>
    <m/>
    <m/>
  </r>
  <r>
    <x v="50"/>
    <x v="13"/>
    <m/>
    <m/>
    <m/>
    <m/>
    <m/>
    <m/>
    <m/>
    <m/>
    <m/>
    <m/>
    <m/>
    <m/>
    <m/>
    <m/>
    <m/>
    <m/>
    <m/>
  </r>
  <r>
    <x v="50"/>
    <x v="14"/>
    <m/>
    <m/>
    <m/>
    <m/>
    <m/>
    <m/>
    <m/>
    <m/>
    <m/>
    <m/>
    <m/>
    <m/>
    <m/>
    <m/>
    <m/>
    <m/>
    <m/>
  </r>
  <r>
    <x v="50"/>
    <x v="15"/>
    <m/>
    <m/>
    <m/>
    <m/>
    <m/>
    <m/>
    <m/>
    <m/>
    <m/>
    <m/>
    <m/>
    <m/>
    <m/>
    <m/>
    <m/>
    <m/>
    <m/>
  </r>
  <r>
    <x v="50"/>
    <x v="16"/>
    <m/>
    <m/>
    <m/>
    <m/>
    <m/>
    <m/>
    <m/>
    <m/>
    <m/>
    <m/>
    <m/>
    <m/>
    <m/>
    <m/>
    <m/>
    <m/>
    <m/>
  </r>
  <r>
    <x v="50"/>
    <x v="17"/>
    <m/>
    <m/>
    <m/>
    <m/>
    <m/>
    <m/>
    <m/>
    <m/>
    <m/>
    <m/>
    <m/>
    <m/>
    <m/>
    <m/>
    <m/>
    <m/>
    <m/>
  </r>
  <r>
    <x v="50"/>
    <x v="18"/>
    <m/>
    <m/>
    <m/>
    <m/>
    <m/>
    <m/>
    <m/>
    <m/>
    <m/>
    <m/>
    <m/>
    <m/>
    <m/>
    <m/>
    <m/>
    <m/>
    <m/>
  </r>
  <r>
    <x v="50"/>
    <x v="19"/>
    <m/>
    <m/>
    <m/>
    <m/>
    <m/>
    <m/>
    <m/>
    <m/>
    <m/>
    <m/>
    <m/>
    <m/>
    <m/>
    <m/>
    <m/>
    <m/>
    <m/>
  </r>
  <r>
    <x v="50"/>
    <x v="20"/>
    <m/>
    <m/>
    <m/>
    <m/>
    <m/>
    <m/>
    <m/>
    <m/>
    <m/>
    <m/>
    <m/>
    <m/>
    <m/>
    <m/>
    <m/>
    <m/>
    <m/>
  </r>
  <r>
    <x v="50"/>
    <x v="21"/>
    <m/>
    <m/>
    <m/>
    <m/>
    <m/>
    <m/>
    <m/>
    <m/>
    <m/>
    <m/>
    <m/>
    <m/>
    <m/>
    <m/>
    <m/>
    <m/>
    <m/>
  </r>
  <r>
    <x v="50"/>
    <x v="22"/>
    <m/>
    <m/>
    <m/>
    <m/>
    <m/>
    <m/>
    <m/>
    <m/>
    <m/>
    <m/>
    <m/>
    <m/>
    <m/>
    <m/>
    <m/>
    <m/>
    <m/>
  </r>
  <r>
    <x v="50"/>
    <x v="23"/>
    <m/>
    <m/>
    <m/>
    <m/>
    <m/>
    <m/>
    <m/>
    <m/>
    <m/>
    <m/>
    <m/>
    <m/>
    <m/>
    <m/>
    <m/>
    <m/>
    <m/>
  </r>
  <r>
    <x v="50"/>
    <x v="24"/>
    <m/>
    <m/>
    <m/>
    <m/>
    <m/>
    <m/>
    <m/>
    <m/>
    <m/>
    <m/>
    <m/>
    <m/>
    <m/>
    <m/>
    <m/>
    <m/>
    <m/>
  </r>
  <r>
    <x v="50"/>
    <x v="25"/>
    <m/>
    <m/>
    <m/>
    <m/>
    <m/>
    <m/>
    <m/>
    <m/>
    <m/>
    <m/>
    <m/>
    <m/>
    <m/>
    <m/>
    <m/>
    <m/>
    <m/>
  </r>
  <r>
    <x v="50"/>
    <x v="26"/>
    <m/>
    <m/>
    <m/>
    <m/>
    <m/>
    <m/>
    <m/>
    <m/>
    <m/>
    <m/>
    <m/>
    <m/>
    <m/>
    <m/>
    <m/>
    <m/>
    <m/>
  </r>
  <r>
    <x v="50"/>
    <x v="27"/>
    <m/>
    <m/>
    <m/>
    <m/>
    <m/>
    <m/>
    <m/>
    <m/>
    <m/>
    <m/>
    <m/>
    <m/>
    <m/>
    <m/>
    <m/>
    <m/>
    <m/>
  </r>
  <r>
    <x v="50"/>
    <x v="28"/>
    <m/>
    <m/>
    <m/>
    <m/>
    <m/>
    <m/>
    <m/>
    <m/>
    <m/>
    <m/>
    <m/>
    <m/>
    <m/>
    <m/>
    <m/>
    <m/>
    <m/>
  </r>
  <r>
    <x v="50"/>
    <x v="29"/>
    <m/>
    <m/>
    <m/>
    <m/>
    <m/>
    <m/>
    <m/>
    <m/>
    <m/>
    <m/>
    <m/>
    <m/>
    <m/>
    <m/>
    <m/>
    <m/>
    <m/>
  </r>
  <r>
    <x v="50"/>
    <x v="30"/>
    <m/>
    <m/>
    <m/>
    <m/>
    <m/>
    <m/>
    <m/>
    <m/>
    <m/>
    <m/>
    <m/>
    <m/>
    <m/>
    <m/>
    <m/>
    <m/>
    <m/>
  </r>
  <r>
    <x v="50"/>
    <x v="31"/>
    <m/>
    <m/>
    <m/>
    <m/>
    <m/>
    <m/>
    <m/>
    <m/>
    <m/>
    <m/>
    <m/>
    <m/>
    <m/>
    <m/>
    <m/>
    <m/>
    <m/>
  </r>
  <r>
    <x v="50"/>
    <x v="32"/>
    <m/>
    <m/>
    <m/>
    <m/>
    <m/>
    <m/>
    <m/>
    <m/>
    <m/>
    <m/>
    <m/>
    <m/>
    <m/>
    <m/>
    <m/>
    <m/>
    <m/>
  </r>
  <r>
    <x v="50"/>
    <x v="33"/>
    <m/>
    <m/>
    <m/>
    <m/>
    <m/>
    <m/>
    <m/>
    <m/>
    <m/>
    <m/>
    <m/>
    <m/>
    <m/>
    <m/>
    <m/>
    <m/>
    <m/>
  </r>
  <r>
    <x v="50"/>
    <x v="34"/>
    <m/>
    <m/>
    <m/>
    <m/>
    <m/>
    <m/>
    <m/>
    <m/>
    <m/>
    <m/>
    <m/>
    <m/>
    <m/>
    <m/>
    <m/>
    <m/>
    <m/>
  </r>
  <r>
    <x v="50"/>
    <x v="35"/>
    <m/>
    <m/>
    <m/>
    <m/>
    <m/>
    <m/>
    <m/>
    <m/>
    <m/>
    <m/>
    <m/>
    <m/>
    <m/>
    <m/>
    <m/>
    <m/>
    <m/>
  </r>
  <r>
    <x v="50"/>
    <x v="36"/>
    <m/>
    <m/>
    <m/>
    <m/>
    <m/>
    <m/>
    <m/>
    <m/>
    <m/>
    <m/>
    <m/>
    <m/>
    <m/>
    <m/>
    <m/>
    <m/>
    <m/>
  </r>
  <r>
    <x v="50"/>
    <x v="37"/>
    <m/>
    <m/>
    <m/>
    <m/>
    <m/>
    <m/>
    <m/>
    <m/>
    <m/>
    <m/>
    <m/>
    <m/>
    <m/>
    <m/>
    <m/>
    <m/>
    <m/>
  </r>
  <r>
    <x v="50"/>
    <x v="38"/>
    <m/>
    <m/>
    <m/>
    <m/>
    <m/>
    <m/>
    <m/>
    <m/>
    <m/>
    <m/>
    <m/>
    <m/>
    <m/>
    <m/>
    <m/>
    <m/>
    <m/>
  </r>
  <r>
    <x v="50"/>
    <x v="39"/>
    <m/>
    <m/>
    <m/>
    <m/>
    <m/>
    <m/>
    <m/>
    <m/>
    <m/>
    <m/>
    <m/>
    <m/>
    <m/>
    <m/>
    <m/>
    <m/>
    <m/>
  </r>
  <r>
    <x v="50"/>
    <x v="40"/>
    <m/>
    <m/>
    <m/>
    <m/>
    <m/>
    <m/>
    <m/>
    <m/>
    <m/>
    <m/>
    <m/>
    <m/>
    <m/>
    <m/>
    <m/>
    <m/>
    <m/>
  </r>
  <r>
    <x v="50"/>
    <x v="41"/>
    <m/>
    <m/>
    <m/>
    <m/>
    <m/>
    <m/>
    <m/>
    <m/>
    <m/>
    <m/>
    <m/>
    <m/>
    <m/>
    <m/>
    <m/>
    <m/>
    <m/>
  </r>
  <r>
    <x v="50"/>
    <x v="42"/>
    <m/>
    <m/>
    <m/>
    <m/>
    <m/>
    <m/>
    <m/>
    <m/>
    <m/>
    <m/>
    <m/>
    <m/>
    <m/>
    <m/>
    <m/>
    <m/>
    <m/>
  </r>
  <r>
    <x v="50"/>
    <x v="43"/>
    <m/>
    <m/>
    <m/>
    <m/>
    <m/>
    <m/>
    <m/>
    <m/>
    <m/>
    <m/>
    <m/>
    <m/>
    <m/>
    <m/>
    <m/>
    <m/>
    <m/>
  </r>
  <r>
    <x v="50"/>
    <x v="44"/>
    <m/>
    <m/>
    <m/>
    <m/>
    <m/>
    <m/>
    <m/>
    <m/>
    <m/>
    <m/>
    <m/>
    <m/>
    <m/>
    <m/>
    <m/>
    <m/>
    <m/>
  </r>
  <r>
    <x v="50"/>
    <x v="45"/>
    <m/>
    <m/>
    <m/>
    <m/>
    <m/>
    <m/>
    <m/>
    <m/>
    <m/>
    <m/>
    <m/>
    <m/>
    <m/>
    <m/>
    <m/>
    <m/>
    <m/>
  </r>
  <r>
    <x v="50"/>
    <x v="46"/>
    <m/>
    <m/>
    <m/>
    <m/>
    <m/>
    <m/>
    <m/>
    <m/>
    <m/>
    <m/>
    <m/>
    <m/>
    <m/>
    <m/>
    <m/>
    <m/>
    <m/>
  </r>
  <r>
    <x v="50"/>
    <x v="47"/>
    <m/>
    <m/>
    <m/>
    <m/>
    <m/>
    <m/>
    <m/>
    <m/>
    <m/>
    <m/>
    <m/>
    <m/>
    <m/>
    <m/>
    <m/>
    <m/>
    <m/>
  </r>
  <r>
    <x v="50"/>
    <x v="48"/>
    <m/>
    <m/>
    <m/>
    <m/>
    <m/>
    <m/>
    <m/>
    <m/>
    <m/>
    <m/>
    <m/>
    <m/>
    <m/>
    <m/>
    <m/>
    <m/>
    <m/>
  </r>
  <r>
    <x v="50"/>
    <x v="49"/>
    <m/>
    <m/>
    <m/>
    <m/>
    <m/>
    <m/>
    <m/>
    <m/>
    <m/>
    <m/>
    <m/>
    <m/>
    <m/>
    <m/>
    <m/>
    <m/>
    <m/>
  </r>
  <r>
    <x v="50"/>
    <x v="50"/>
    <m/>
    <m/>
    <m/>
    <m/>
    <m/>
    <m/>
    <m/>
    <m/>
    <m/>
    <m/>
    <m/>
    <m/>
    <m/>
    <m/>
    <m/>
    <m/>
    <m/>
  </r>
  <r>
    <x v="50"/>
    <x v="51"/>
    <m/>
    <m/>
    <m/>
    <m/>
    <m/>
    <m/>
    <m/>
    <m/>
    <m/>
    <m/>
    <m/>
    <m/>
    <m/>
    <m/>
    <m/>
    <m/>
    <m/>
  </r>
  <r>
    <x v="51"/>
    <x v="0"/>
    <m/>
    <m/>
    <m/>
    <m/>
    <m/>
    <m/>
    <m/>
    <m/>
    <m/>
    <m/>
    <m/>
    <m/>
    <m/>
    <m/>
    <m/>
    <m/>
    <m/>
  </r>
  <r>
    <x v="51"/>
    <x v="1"/>
    <m/>
    <m/>
    <m/>
    <m/>
    <m/>
    <m/>
    <n v="1"/>
    <n v="1"/>
    <m/>
    <m/>
    <n v="1"/>
    <n v="1"/>
    <m/>
    <m/>
    <n v="2"/>
    <n v="5"/>
    <m/>
  </r>
  <r>
    <x v="51"/>
    <x v="2"/>
    <m/>
    <m/>
    <m/>
    <m/>
    <m/>
    <m/>
    <m/>
    <m/>
    <m/>
    <m/>
    <m/>
    <m/>
    <m/>
    <m/>
    <m/>
    <m/>
    <m/>
  </r>
  <r>
    <x v="51"/>
    <x v="3"/>
    <m/>
    <m/>
    <m/>
    <m/>
    <m/>
    <m/>
    <n v="5"/>
    <n v="2"/>
    <n v="6"/>
    <m/>
    <n v="3"/>
    <n v="3"/>
    <m/>
    <n v="2"/>
    <n v="2"/>
    <n v="7"/>
    <m/>
  </r>
  <r>
    <x v="51"/>
    <x v="4"/>
    <m/>
    <m/>
    <m/>
    <m/>
    <m/>
    <m/>
    <n v="5"/>
    <n v="1"/>
    <n v="4"/>
    <m/>
    <m/>
    <m/>
    <m/>
    <n v="1"/>
    <m/>
    <n v="4"/>
    <m/>
  </r>
  <r>
    <x v="51"/>
    <x v="5"/>
    <m/>
    <m/>
    <m/>
    <m/>
    <m/>
    <m/>
    <m/>
    <m/>
    <m/>
    <m/>
    <m/>
    <m/>
    <m/>
    <m/>
    <m/>
    <m/>
    <m/>
  </r>
  <r>
    <x v="51"/>
    <x v="6"/>
    <m/>
    <m/>
    <m/>
    <m/>
    <m/>
    <m/>
    <m/>
    <m/>
    <m/>
    <m/>
    <m/>
    <m/>
    <m/>
    <m/>
    <m/>
    <m/>
    <m/>
  </r>
  <r>
    <x v="51"/>
    <x v="7"/>
    <m/>
    <m/>
    <m/>
    <m/>
    <m/>
    <m/>
    <m/>
    <m/>
    <m/>
    <m/>
    <m/>
    <m/>
    <m/>
    <m/>
    <m/>
    <m/>
    <m/>
  </r>
  <r>
    <x v="51"/>
    <x v="8"/>
    <n v="1"/>
    <m/>
    <m/>
    <m/>
    <m/>
    <m/>
    <n v="5"/>
    <n v="6"/>
    <n v="1"/>
    <m/>
    <n v="4"/>
    <n v="1"/>
    <m/>
    <n v="5"/>
    <n v="2"/>
    <n v="8"/>
    <m/>
  </r>
  <r>
    <x v="51"/>
    <x v="9"/>
    <m/>
    <m/>
    <m/>
    <m/>
    <m/>
    <m/>
    <n v="2"/>
    <n v="2"/>
    <m/>
    <m/>
    <n v="2"/>
    <m/>
    <m/>
    <n v="2"/>
    <n v="2"/>
    <n v="4"/>
    <m/>
  </r>
  <r>
    <x v="51"/>
    <x v="10"/>
    <m/>
    <m/>
    <m/>
    <m/>
    <m/>
    <m/>
    <m/>
    <m/>
    <m/>
    <m/>
    <m/>
    <m/>
    <m/>
    <m/>
    <m/>
    <m/>
    <m/>
  </r>
  <r>
    <x v="51"/>
    <x v="11"/>
    <m/>
    <m/>
    <m/>
    <m/>
    <n v="3"/>
    <m/>
    <m/>
    <m/>
    <m/>
    <m/>
    <n v="2"/>
    <n v="2"/>
    <m/>
    <m/>
    <n v="2"/>
    <n v="4"/>
    <m/>
  </r>
  <r>
    <x v="51"/>
    <x v="12"/>
    <m/>
    <m/>
    <m/>
    <m/>
    <m/>
    <m/>
    <n v="2"/>
    <n v="2"/>
    <n v="1"/>
    <m/>
    <n v="2"/>
    <n v="2"/>
    <m/>
    <n v="2"/>
    <n v="1"/>
    <n v="2"/>
    <m/>
  </r>
  <r>
    <x v="51"/>
    <x v="13"/>
    <n v="1"/>
    <m/>
    <m/>
    <m/>
    <m/>
    <m/>
    <n v="2"/>
    <n v="2"/>
    <n v="1"/>
    <m/>
    <n v="4"/>
    <n v="1"/>
    <m/>
    <n v="1"/>
    <n v="2"/>
    <n v="3"/>
    <m/>
  </r>
  <r>
    <x v="51"/>
    <x v="14"/>
    <m/>
    <m/>
    <m/>
    <m/>
    <m/>
    <m/>
    <m/>
    <m/>
    <m/>
    <m/>
    <m/>
    <m/>
    <m/>
    <m/>
    <m/>
    <m/>
    <m/>
  </r>
  <r>
    <x v="51"/>
    <x v="15"/>
    <m/>
    <m/>
    <m/>
    <m/>
    <m/>
    <m/>
    <m/>
    <m/>
    <m/>
    <m/>
    <m/>
    <m/>
    <m/>
    <m/>
    <m/>
    <m/>
    <m/>
  </r>
  <r>
    <x v="51"/>
    <x v="16"/>
    <m/>
    <m/>
    <m/>
    <m/>
    <m/>
    <m/>
    <n v="2"/>
    <n v="2"/>
    <m/>
    <m/>
    <n v="2"/>
    <m/>
    <m/>
    <n v="2"/>
    <n v="1"/>
    <n v="2"/>
    <m/>
  </r>
  <r>
    <x v="51"/>
    <x v="17"/>
    <m/>
    <m/>
    <m/>
    <m/>
    <m/>
    <m/>
    <n v="1"/>
    <n v="1"/>
    <m/>
    <m/>
    <n v="1"/>
    <m/>
    <m/>
    <n v="1"/>
    <n v="2"/>
    <n v="4"/>
    <m/>
  </r>
  <r>
    <x v="51"/>
    <x v="18"/>
    <m/>
    <m/>
    <m/>
    <m/>
    <m/>
    <m/>
    <m/>
    <n v="1"/>
    <m/>
    <m/>
    <m/>
    <n v="1"/>
    <m/>
    <n v="1"/>
    <n v="1"/>
    <n v="2"/>
    <m/>
  </r>
  <r>
    <x v="51"/>
    <x v="19"/>
    <m/>
    <m/>
    <m/>
    <m/>
    <m/>
    <m/>
    <m/>
    <m/>
    <m/>
    <m/>
    <m/>
    <m/>
    <m/>
    <m/>
    <m/>
    <m/>
    <m/>
  </r>
  <r>
    <x v="51"/>
    <x v="20"/>
    <n v="2"/>
    <m/>
    <m/>
    <m/>
    <m/>
    <m/>
    <n v="2"/>
    <n v="2"/>
    <n v="1"/>
    <m/>
    <n v="2"/>
    <m/>
    <m/>
    <n v="2"/>
    <n v="2"/>
    <n v="5"/>
    <m/>
  </r>
  <r>
    <x v="51"/>
    <x v="21"/>
    <m/>
    <m/>
    <m/>
    <m/>
    <m/>
    <m/>
    <n v="1"/>
    <n v="1"/>
    <m/>
    <m/>
    <n v="1"/>
    <n v="1"/>
    <m/>
    <n v="1"/>
    <n v="1"/>
    <n v="1"/>
    <m/>
  </r>
  <r>
    <x v="51"/>
    <x v="22"/>
    <m/>
    <m/>
    <m/>
    <m/>
    <m/>
    <m/>
    <m/>
    <m/>
    <m/>
    <m/>
    <m/>
    <m/>
    <m/>
    <m/>
    <m/>
    <m/>
    <m/>
  </r>
  <r>
    <x v="51"/>
    <x v="23"/>
    <m/>
    <m/>
    <m/>
    <m/>
    <m/>
    <m/>
    <n v="2"/>
    <n v="2"/>
    <m/>
    <m/>
    <n v="1"/>
    <m/>
    <m/>
    <n v="1"/>
    <n v="1"/>
    <n v="4"/>
    <m/>
  </r>
  <r>
    <x v="51"/>
    <x v="24"/>
    <m/>
    <m/>
    <m/>
    <m/>
    <m/>
    <m/>
    <n v="1"/>
    <n v="1"/>
    <m/>
    <m/>
    <n v="1"/>
    <m/>
    <m/>
    <n v="1"/>
    <n v="1"/>
    <n v="3"/>
    <m/>
  </r>
  <r>
    <x v="51"/>
    <x v="25"/>
    <n v="1"/>
    <m/>
    <m/>
    <m/>
    <m/>
    <m/>
    <n v="2"/>
    <n v="2"/>
    <n v="1"/>
    <m/>
    <n v="4"/>
    <n v="1"/>
    <m/>
    <n v="2"/>
    <n v="2"/>
    <n v="5"/>
    <m/>
  </r>
  <r>
    <x v="51"/>
    <x v="26"/>
    <m/>
    <m/>
    <m/>
    <m/>
    <m/>
    <m/>
    <n v="2"/>
    <n v="2"/>
    <m/>
    <m/>
    <n v="1"/>
    <m/>
    <m/>
    <n v="1"/>
    <n v="1"/>
    <n v="4"/>
    <m/>
  </r>
  <r>
    <x v="51"/>
    <x v="27"/>
    <m/>
    <m/>
    <m/>
    <m/>
    <m/>
    <m/>
    <n v="1"/>
    <n v="1"/>
    <m/>
    <m/>
    <n v="1"/>
    <m/>
    <m/>
    <n v="1"/>
    <n v="1"/>
    <n v="2"/>
    <m/>
  </r>
  <r>
    <x v="51"/>
    <x v="28"/>
    <m/>
    <m/>
    <m/>
    <m/>
    <m/>
    <m/>
    <m/>
    <n v="3"/>
    <m/>
    <m/>
    <m/>
    <m/>
    <m/>
    <m/>
    <m/>
    <m/>
    <m/>
  </r>
  <r>
    <x v="51"/>
    <x v="29"/>
    <n v="2"/>
    <n v="2"/>
    <n v="2"/>
    <n v="2"/>
    <n v="2"/>
    <n v="2"/>
    <n v="2"/>
    <m/>
    <m/>
    <m/>
    <m/>
    <m/>
    <m/>
    <m/>
    <n v="1"/>
    <n v="4"/>
    <m/>
  </r>
  <r>
    <x v="51"/>
    <x v="30"/>
    <n v="1"/>
    <n v="1"/>
    <n v="1"/>
    <n v="1"/>
    <n v="1"/>
    <n v="1"/>
    <n v="1"/>
    <n v="1"/>
    <m/>
    <m/>
    <n v="1"/>
    <n v="1"/>
    <m/>
    <n v="1"/>
    <n v="1"/>
    <n v="3"/>
    <m/>
  </r>
  <r>
    <x v="51"/>
    <x v="31"/>
    <n v="5"/>
    <n v="4"/>
    <n v="5"/>
    <n v="4"/>
    <n v="5"/>
    <n v="5"/>
    <n v="7"/>
    <n v="7"/>
    <n v="8"/>
    <m/>
    <n v="8"/>
    <n v="8"/>
    <m/>
    <n v="7"/>
    <n v="7"/>
    <n v="16"/>
    <m/>
  </r>
  <r>
    <x v="51"/>
    <x v="32"/>
    <m/>
    <m/>
    <m/>
    <m/>
    <m/>
    <m/>
    <m/>
    <m/>
    <m/>
    <m/>
    <m/>
    <m/>
    <m/>
    <n v="1"/>
    <n v="2"/>
    <n v="3"/>
    <m/>
  </r>
  <r>
    <x v="51"/>
    <x v="33"/>
    <m/>
    <m/>
    <m/>
    <m/>
    <m/>
    <m/>
    <n v="2"/>
    <n v="2"/>
    <m/>
    <m/>
    <n v="1"/>
    <m/>
    <m/>
    <n v="1"/>
    <n v="1"/>
    <n v="3"/>
    <m/>
  </r>
  <r>
    <x v="51"/>
    <x v="34"/>
    <m/>
    <m/>
    <m/>
    <m/>
    <m/>
    <m/>
    <n v="1"/>
    <n v="1"/>
    <n v="2"/>
    <m/>
    <m/>
    <n v="2"/>
    <m/>
    <n v="1"/>
    <n v="1"/>
    <n v="6"/>
    <m/>
  </r>
  <r>
    <x v="51"/>
    <x v="35"/>
    <n v="12"/>
    <m/>
    <m/>
    <m/>
    <n v="12"/>
    <m/>
    <n v="6"/>
    <m/>
    <n v="8"/>
    <m/>
    <n v="12"/>
    <n v="12"/>
    <m/>
    <n v="10"/>
    <n v="6"/>
    <n v="16"/>
    <m/>
  </r>
  <r>
    <x v="51"/>
    <x v="36"/>
    <m/>
    <m/>
    <m/>
    <m/>
    <m/>
    <m/>
    <n v="1"/>
    <n v="1"/>
    <m/>
    <m/>
    <n v="3"/>
    <m/>
    <m/>
    <n v="2"/>
    <n v="2"/>
    <n v="4"/>
    <m/>
  </r>
  <r>
    <x v="51"/>
    <x v="37"/>
    <n v="1"/>
    <m/>
    <m/>
    <m/>
    <m/>
    <m/>
    <n v="2"/>
    <n v="3"/>
    <n v="2"/>
    <m/>
    <n v="4"/>
    <n v="1"/>
    <m/>
    <n v="3"/>
    <n v="2"/>
    <n v="5"/>
    <m/>
  </r>
  <r>
    <x v="51"/>
    <x v="38"/>
    <m/>
    <m/>
    <m/>
    <m/>
    <m/>
    <m/>
    <m/>
    <m/>
    <m/>
    <m/>
    <m/>
    <m/>
    <m/>
    <m/>
    <m/>
    <m/>
    <m/>
  </r>
  <r>
    <x v="51"/>
    <x v="39"/>
    <n v="2"/>
    <n v="2"/>
    <n v="2"/>
    <n v="2"/>
    <n v="2"/>
    <n v="2"/>
    <n v="2"/>
    <n v="2"/>
    <n v="2"/>
    <m/>
    <n v="2"/>
    <n v="2"/>
    <m/>
    <n v="2"/>
    <n v="1"/>
    <n v="2"/>
    <m/>
  </r>
  <r>
    <x v="51"/>
    <x v="40"/>
    <m/>
    <m/>
    <m/>
    <m/>
    <m/>
    <m/>
    <n v="5"/>
    <n v="2"/>
    <m/>
    <m/>
    <m/>
    <m/>
    <m/>
    <m/>
    <n v="2"/>
    <n v="4"/>
    <m/>
  </r>
  <r>
    <x v="51"/>
    <x v="41"/>
    <m/>
    <m/>
    <m/>
    <m/>
    <m/>
    <m/>
    <m/>
    <m/>
    <m/>
    <m/>
    <m/>
    <m/>
    <m/>
    <m/>
    <m/>
    <m/>
    <m/>
  </r>
  <r>
    <x v="51"/>
    <x v="42"/>
    <n v="1"/>
    <m/>
    <m/>
    <m/>
    <m/>
    <m/>
    <n v="9"/>
    <n v="7"/>
    <n v="3"/>
    <m/>
    <n v="4"/>
    <n v="3"/>
    <m/>
    <n v="5"/>
    <n v="5"/>
    <n v="14"/>
    <m/>
  </r>
  <r>
    <x v="51"/>
    <x v="43"/>
    <n v="1"/>
    <m/>
    <n v="1"/>
    <m/>
    <n v="1"/>
    <m/>
    <m/>
    <n v="1"/>
    <n v="3"/>
    <m/>
    <n v="2"/>
    <n v="1"/>
    <m/>
    <n v="1"/>
    <n v="2"/>
    <n v="9"/>
    <m/>
  </r>
  <r>
    <x v="51"/>
    <x v="44"/>
    <n v="1"/>
    <m/>
    <m/>
    <m/>
    <m/>
    <m/>
    <n v="2"/>
    <n v="1"/>
    <n v="1"/>
    <m/>
    <n v="4"/>
    <n v="1"/>
    <m/>
    <n v="0"/>
    <n v="2"/>
    <n v="3"/>
    <m/>
  </r>
  <r>
    <x v="51"/>
    <x v="45"/>
    <m/>
    <m/>
    <m/>
    <m/>
    <m/>
    <m/>
    <m/>
    <m/>
    <m/>
    <m/>
    <m/>
    <m/>
    <m/>
    <n v="3"/>
    <n v="2"/>
    <n v="6"/>
    <m/>
  </r>
  <r>
    <x v="51"/>
    <x v="46"/>
    <m/>
    <m/>
    <m/>
    <m/>
    <m/>
    <m/>
    <n v="1"/>
    <n v="1"/>
    <m/>
    <m/>
    <m/>
    <m/>
    <m/>
    <m/>
    <n v="2"/>
    <n v="3"/>
    <m/>
  </r>
  <r>
    <x v="51"/>
    <x v="47"/>
    <n v="1"/>
    <m/>
    <m/>
    <m/>
    <m/>
    <m/>
    <m/>
    <m/>
    <m/>
    <m/>
    <n v="4"/>
    <n v="2"/>
    <m/>
    <n v="4"/>
    <n v="2"/>
    <n v="8"/>
    <m/>
  </r>
  <r>
    <x v="51"/>
    <x v="48"/>
    <n v="4"/>
    <n v="4"/>
    <n v="3"/>
    <n v="4"/>
    <n v="1"/>
    <n v="1"/>
    <n v="4"/>
    <n v="5"/>
    <n v="5"/>
    <m/>
    <n v="6"/>
    <n v="5"/>
    <m/>
    <n v="5"/>
    <n v="4"/>
    <n v="14"/>
    <m/>
  </r>
  <r>
    <x v="51"/>
    <x v="49"/>
    <m/>
    <m/>
    <m/>
    <m/>
    <m/>
    <m/>
    <n v="1"/>
    <n v="2"/>
    <n v="2"/>
    <m/>
    <m/>
    <n v="2"/>
    <m/>
    <n v="2"/>
    <n v="2"/>
    <n v="6"/>
    <m/>
  </r>
  <r>
    <x v="51"/>
    <x v="50"/>
    <n v="3"/>
    <m/>
    <m/>
    <m/>
    <m/>
    <m/>
    <n v="3"/>
    <n v="3"/>
    <m/>
    <m/>
    <n v="3"/>
    <n v="1"/>
    <m/>
    <n v="1"/>
    <n v="1"/>
    <n v="7"/>
    <m/>
  </r>
  <r>
    <x v="51"/>
    <x v="51"/>
    <m/>
    <m/>
    <m/>
    <m/>
    <m/>
    <m/>
    <m/>
    <n v="3"/>
    <m/>
    <m/>
    <m/>
    <m/>
    <m/>
    <n v="3"/>
    <n v="4"/>
    <n v="10"/>
    <m/>
  </r>
  <r>
    <x v="51"/>
    <x v="81"/>
    <n v="3"/>
    <n v="3"/>
    <n v="3"/>
    <n v="3"/>
    <m/>
    <m/>
    <n v="2"/>
    <n v="2"/>
    <n v="3"/>
    <m/>
    <n v="2"/>
    <n v="4"/>
    <m/>
    <n v="2"/>
    <n v="2"/>
    <n v="4"/>
    <m/>
  </r>
  <r>
    <x v="51"/>
    <x v="53"/>
    <n v="2"/>
    <n v="1"/>
    <n v="1"/>
    <n v="1"/>
    <m/>
    <m/>
    <m/>
    <m/>
    <n v="2"/>
    <m/>
    <n v="2"/>
    <n v="1"/>
    <m/>
    <m/>
    <m/>
    <m/>
    <m/>
  </r>
  <r>
    <x v="51"/>
    <x v="82"/>
    <m/>
    <m/>
    <m/>
    <m/>
    <m/>
    <m/>
    <m/>
    <n v="1"/>
    <n v="1"/>
    <m/>
    <m/>
    <m/>
    <m/>
    <n v="1"/>
    <m/>
    <n v="1"/>
    <m/>
  </r>
  <r>
    <x v="51"/>
    <x v="83"/>
    <n v="1"/>
    <m/>
    <m/>
    <m/>
    <m/>
    <m/>
    <n v="3"/>
    <n v="3"/>
    <n v="2"/>
    <m/>
    <n v="3"/>
    <n v="2"/>
    <m/>
    <n v="2"/>
    <n v="2"/>
    <n v="6"/>
    <m/>
  </r>
  <r>
    <x v="51"/>
    <x v="84"/>
    <n v="1"/>
    <m/>
    <m/>
    <m/>
    <m/>
    <m/>
    <n v="1"/>
    <n v="1"/>
    <n v="1"/>
    <m/>
    <n v="1"/>
    <n v="1"/>
    <m/>
    <n v="1"/>
    <n v="1"/>
    <n v="3"/>
    <m/>
  </r>
  <r>
    <x v="51"/>
    <x v="85"/>
    <n v="1"/>
    <m/>
    <m/>
    <m/>
    <m/>
    <m/>
    <n v="1"/>
    <n v="1"/>
    <n v="1"/>
    <m/>
    <n v="1"/>
    <n v="1"/>
    <m/>
    <n v="1"/>
    <n v="1"/>
    <n v="2"/>
    <m/>
  </r>
  <r>
    <x v="52"/>
    <x v="0"/>
    <m/>
    <m/>
    <m/>
    <m/>
    <m/>
    <m/>
    <m/>
    <m/>
    <m/>
    <m/>
    <m/>
    <m/>
    <m/>
    <m/>
    <m/>
    <m/>
    <m/>
  </r>
  <r>
    <x v="52"/>
    <x v="1"/>
    <n v="0"/>
    <n v="0"/>
    <n v="0"/>
    <n v="0"/>
    <m/>
    <n v="0"/>
    <n v="15"/>
    <n v="1"/>
    <n v="0"/>
    <n v="0"/>
    <n v="0"/>
    <n v="0"/>
    <n v="4"/>
    <n v="3"/>
    <n v="2"/>
    <n v="0"/>
    <m/>
  </r>
  <r>
    <x v="52"/>
    <x v="2"/>
    <n v="0"/>
    <n v="0"/>
    <n v="0"/>
    <n v="0"/>
    <n v="0"/>
    <n v="0"/>
    <n v="8"/>
    <n v="1"/>
    <n v="0"/>
    <n v="0"/>
    <n v="0"/>
    <n v="0"/>
    <n v="0"/>
    <n v="0"/>
    <n v="0"/>
    <n v="0"/>
    <m/>
  </r>
  <r>
    <x v="52"/>
    <x v="3"/>
    <m/>
    <m/>
    <m/>
    <m/>
    <m/>
    <m/>
    <m/>
    <m/>
    <m/>
    <m/>
    <m/>
    <m/>
    <m/>
    <m/>
    <m/>
    <m/>
    <m/>
  </r>
  <r>
    <x v="52"/>
    <x v="4"/>
    <n v="3"/>
    <n v="1"/>
    <n v="2"/>
    <n v="1"/>
    <n v="3"/>
    <n v="1"/>
    <n v="40"/>
    <n v="44"/>
    <n v="14"/>
    <n v="9"/>
    <n v="10"/>
    <n v="17"/>
    <n v="13"/>
    <n v="30"/>
    <n v="13"/>
    <n v="5"/>
    <m/>
  </r>
  <r>
    <x v="52"/>
    <x v="5"/>
    <m/>
    <m/>
    <m/>
    <m/>
    <m/>
    <m/>
    <m/>
    <m/>
    <m/>
    <m/>
    <m/>
    <m/>
    <m/>
    <m/>
    <m/>
    <m/>
    <m/>
  </r>
  <r>
    <x v="52"/>
    <x v="6"/>
    <m/>
    <m/>
    <m/>
    <m/>
    <m/>
    <m/>
    <m/>
    <m/>
    <m/>
    <m/>
    <m/>
    <m/>
    <m/>
    <m/>
    <m/>
    <m/>
    <m/>
  </r>
  <r>
    <x v="52"/>
    <x v="7"/>
    <m/>
    <m/>
    <m/>
    <m/>
    <m/>
    <m/>
    <m/>
    <m/>
    <m/>
    <m/>
    <m/>
    <m/>
    <m/>
    <m/>
    <m/>
    <m/>
    <m/>
  </r>
  <r>
    <x v="52"/>
    <x v="8"/>
    <n v="0"/>
    <n v="0"/>
    <n v="0"/>
    <n v="0"/>
    <n v="0"/>
    <n v="0"/>
    <n v="40"/>
    <n v="0"/>
    <n v="0"/>
    <n v="0"/>
    <n v="0"/>
    <n v="0"/>
    <n v="0"/>
    <n v="50"/>
    <n v="6"/>
    <n v="0"/>
    <m/>
  </r>
  <r>
    <x v="52"/>
    <x v="9"/>
    <n v="0"/>
    <n v="0"/>
    <n v="0"/>
    <n v="0"/>
    <n v="0"/>
    <n v="0"/>
    <n v="1"/>
    <n v="0"/>
    <n v="0"/>
    <n v="0"/>
    <n v="1"/>
    <n v="1"/>
    <n v="1"/>
    <n v="0"/>
    <n v="1"/>
    <n v="1"/>
    <m/>
  </r>
  <r>
    <x v="52"/>
    <x v="10"/>
    <m/>
    <m/>
    <m/>
    <m/>
    <m/>
    <m/>
    <m/>
    <m/>
    <m/>
    <m/>
    <m/>
    <m/>
    <m/>
    <m/>
    <m/>
    <m/>
    <m/>
  </r>
  <r>
    <x v="52"/>
    <x v="11"/>
    <m/>
    <m/>
    <m/>
    <m/>
    <m/>
    <m/>
    <m/>
    <m/>
    <m/>
    <m/>
    <m/>
    <m/>
    <m/>
    <m/>
    <m/>
    <m/>
    <m/>
  </r>
  <r>
    <x v="52"/>
    <x v="12"/>
    <m/>
    <m/>
    <m/>
    <m/>
    <m/>
    <m/>
    <m/>
    <m/>
    <m/>
    <m/>
    <m/>
    <m/>
    <m/>
    <m/>
    <m/>
    <m/>
    <m/>
  </r>
  <r>
    <x v="52"/>
    <x v="13"/>
    <m/>
    <m/>
    <m/>
    <m/>
    <m/>
    <m/>
    <m/>
    <m/>
    <m/>
    <m/>
    <m/>
    <m/>
    <m/>
    <m/>
    <m/>
    <m/>
    <m/>
  </r>
  <r>
    <x v="52"/>
    <x v="14"/>
    <m/>
    <m/>
    <m/>
    <m/>
    <m/>
    <m/>
    <m/>
    <m/>
    <m/>
    <m/>
    <m/>
    <m/>
    <m/>
    <m/>
    <m/>
    <m/>
    <m/>
  </r>
  <r>
    <x v="52"/>
    <x v="15"/>
    <n v="0"/>
    <n v="0"/>
    <n v="0"/>
    <n v="0"/>
    <n v="0"/>
    <n v="0"/>
    <n v="6"/>
    <n v="0"/>
    <n v="0"/>
    <n v="0"/>
    <n v="0"/>
    <n v="0"/>
    <n v="0"/>
    <n v="4"/>
    <n v="2"/>
    <n v="0"/>
    <m/>
  </r>
  <r>
    <x v="52"/>
    <x v="16"/>
    <m/>
    <m/>
    <m/>
    <m/>
    <m/>
    <m/>
    <m/>
    <m/>
    <m/>
    <m/>
    <m/>
    <m/>
    <m/>
    <m/>
    <m/>
    <m/>
    <m/>
  </r>
  <r>
    <x v="52"/>
    <x v="17"/>
    <m/>
    <m/>
    <m/>
    <m/>
    <m/>
    <m/>
    <m/>
    <m/>
    <m/>
    <m/>
    <m/>
    <m/>
    <m/>
    <m/>
    <m/>
    <m/>
    <m/>
  </r>
  <r>
    <x v="52"/>
    <x v="18"/>
    <m/>
    <m/>
    <m/>
    <m/>
    <m/>
    <m/>
    <m/>
    <m/>
    <m/>
    <m/>
    <m/>
    <m/>
    <m/>
    <m/>
    <m/>
    <m/>
    <m/>
  </r>
  <r>
    <x v="52"/>
    <x v="19"/>
    <m/>
    <m/>
    <m/>
    <m/>
    <m/>
    <m/>
    <m/>
    <m/>
    <m/>
    <m/>
    <m/>
    <m/>
    <m/>
    <m/>
    <m/>
    <m/>
    <m/>
  </r>
  <r>
    <x v="52"/>
    <x v="20"/>
    <m/>
    <m/>
    <m/>
    <m/>
    <m/>
    <m/>
    <m/>
    <m/>
    <m/>
    <m/>
    <m/>
    <m/>
    <m/>
    <m/>
    <m/>
    <m/>
    <m/>
  </r>
  <r>
    <x v="52"/>
    <x v="21"/>
    <m/>
    <m/>
    <m/>
    <m/>
    <m/>
    <m/>
    <m/>
    <m/>
    <m/>
    <m/>
    <m/>
    <m/>
    <m/>
    <m/>
    <m/>
    <m/>
    <m/>
  </r>
  <r>
    <x v="52"/>
    <x v="22"/>
    <m/>
    <m/>
    <m/>
    <m/>
    <m/>
    <m/>
    <m/>
    <m/>
    <m/>
    <m/>
    <m/>
    <m/>
    <m/>
    <m/>
    <m/>
    <m/>
    <m/>
  </r>
  <r>
    <x v="52"/>
    <x v="23"/>
    <m/>
    <m/>
    <m/>
    <m/>
    <m/>
    <m/>
    <m/>
    <m/>
    <m/>
    <m/>
    <m/>
    <m/>
    <m/>
    <m/>
    <m/>
    <m/>
    <m/>
  </r>
  <r>
    <x v="52"/>
    <x v="24"/>
    <n v="0"/>
    <n v="0"/>
    <n v="0"/>
    <n v="0"/>
    <n v="0"/>
    <n v="0"/>
    <n v="1"/>
    <n v="0"/>
    <n v="0"/>
    <n v="0"/>
    <n v="1"/>
    <n v="1"/>
    <n v="1"/>
    <n v="0"/>
    <n v="1"/>
    <n v="1"/>
    <m/>
  </r>
  <r>
    <x v="52"/>
    <x v="25"/>
    <n v="0"/>
    <n v="0"/>
    <n v="0"/>
    <n v="0"/>
    <n v="0"/>
    <n v="0"/>
    <n v="30"/>
    <n v="0"/>
    <n v="0"/>
    <n v="0"/>
    <n v="18"/>
    <n v="0"/>
    <n v="0"/>
    <n v="23"/>
    <n v="6"/>
    <n v="0"/>
    <m/>
  </r>
  <r>
    <x v="52"/>
    <x v="26"/>
    <m/>
    <m/>
    <m/>
    <m/>
    <m/>
    <m/>
    <m/>
    <m/>
    <m/>
    <m/>
    <m/>
    <m/>
    <m/>
    <m/>
    <m/>
    <m/>
    <m/>
  </r>
  <r>
    <x v="52"/>
    <x v="27"/>
    <m/>
    <m/>
    <m/>
    <m/>
    <m/>
    <m/>
    <m/>
    <m/>
    <m/>
    <m/>
    <m/>
    <m/>
    <m/>
    <m/>
    <m/>
    <m/>
    <m/>
  </r>
  <r>
    <x v="52"/>
    <x v="28"/>
    <m/>
    <m/>
    <m/>
    <m/>
    <m/>
    <m/>
    <m/>
    <m/>
    <m/>
    <m/>
    <m/>
    <m/>
    <m/>
    <m/>
    <m/>
    <m/>
    <m/>
  </r>
  <r>
    <x v="52"/>
    <x v="29"/>
    <m/>
    <m/>
    <m/>
    <m/>
    <m/>
    <m/>
    <m/>
    <m/>
    <m/>
    <m/>
    <m/>
    <m/>
    <m/>
    <m/>
    <m/>
    <m/>
    <m/>
  </r>
  <r>
    <x v="52"/>
    <x v="30"/>
    <m/>
    <m/>
    <m/>
    <m/>
    <m/>
    <m/>
    <m/>
    <m/>
    <m/>
    <m/>
    <m/>
    <m/>
    <m/>
    <m/>
    <m/>
    <m/>
    <m/>
  </r>
  <r>
    <x v="52"/>
    <x v="31"/>
    <m/>
    <m/>
    <m/>
    <m/>
    <m/>
    <m/>
    <m/>
    <m/>
    <m/>
    <m/>
    <m/>
    <m/>
    <m/>
    <m/>
    <m/>
    <m/>
    <m/>
  </r>
  <r>
    <x v="52"/>
    <x v="32"/>
    <n v="0"/>
    <n v="0"/>
    <n v="0"/>
    <n v="0"/>
    <n v="0"/>
    <n v="0"/>
    <n v="5"/>
    <n v="0"/>
    <n v="0"/>
    <n v="0"/>
    <n v="0"/>
    <n v="0"/>
    <n v="0"/>
    <n v="0"/>
    <n v="0"/>
    <n v="0"/>
    <m/>
  </r>
  <r>
    <x v="52"/>
    <x v="33"/>
    <m/>
    <m/>
    <m/>
    <m/>
    <m/>
    <m/>
    <m/>
    <m/>
    <m/>
    <m/>
    <m/>
    <m/>
    <m/>
    <m/>
    <m/>
    <m/>
    <m/>
  </r>
  <r>
    <x v="52"/>
    <x v="34"/>
    <m/>
    <m/>
    <m/>
    <m/>
    <m/>
    <m/>
    <m/>
    <m/>
    <m/>
    <m/>
    <m/>
    <m/>
    <m/>
    <m/>
    <m/>
    <m/>
    <m/>
  </r>
  <r>
    <x v="52"/>
    <x v="35"/>
    <m/>
    <m/>
    <m/>
    <m/>
    <m/>
    <m/>
    <m/>
    <m/>
    <m/>
    <m/>
    <m/>
    <m/>
    <m/>
    <m/>
    <m/>
    <m/>
    <m/>
  </r>
  <r>
    <x v="52"/>
    <x v="36"/>
    <n v="0"/>
    <n v="0"/>
    <n v="0"/>
    <n v="0"/>
    <n v="0"/>
    <n v="0"/>
    <n v="4"/>
    <n v="0"/>
    <n v="0"/>
    <n v="0"/>
    <n v="4"/>
    <n v="4"/>
    <n v="4"/>
    <n v="1"/>
    <n v="4"/>
    <n v="4"/>
    <m/>
  </r>
  <r>
    <x v="52"/>
    <x v="37"/>
    <m/>
    <m/>
    <m/>
    <m/>
    <m/>
    <m/>
    <m/>
    <m/>
    <m/>
    <m/>
    <m/>
    <m/>
    <m/>
    <m/>
    <m/>
    <m/>
    <m/>
  </r>
  <r>
    <x v="52"/>
    <x v="38"/>
    <m/>
    <m/>
    <m/>
    <m/>
    <m/>
    <m/>
    <m/>
    <m/>
    <m/>
    <m/>
    <m/>
    <m/>
    <m/>
    <m/>
    <m/>
    <m/>
    <m/>
  </r>
  <r>
    <x v="52"/>
    <x v="39"/>
    <m/>
    <m/>
    <m/>
    <m/>
    <m/>
    <m/>
    <m/>
    <m/>
    <m/>
    <m/>
    <m/>
    <m/>
    <m/>
    <m/>
    <m/>
    <m/>
    <m/>
  </r>
  <r>
    <x v="52"/>
    <x v="40"/>
    <m/>
    <m/>
    <m/>
    <m/>
    <m/>
    <m/>
    <m/>
    <m/>
    <m/>
    <m/>
    <m/>
    <m/>
    <m/>
    <m/>
    <m/>
    <m/>
    <m/>
  </r>
  <r>
    <x v="52"/>
    <x v="41"/>
    <m/>
    <m/>
    <m/>
    <m/>
    <m/>
    <m/>
    <m/>
    <m/>
    <m/>
    <m/>
    <m/>
    <m/>
    <m/>
    <m/>
    <m/>
    <m/>
    <m/>
  </r>
  <r>
    <x v="52"/>
    <x v="42"/>
    <m/>
    <m/>
    <m/>
    <m/>
    <m/>
    <m/>
    <m/>
    <m/>
    <m/>
    <m/>
    <m/>
    <m/>
    <m/>
    <m/>
    <m/>
    <m/>
    <m/>
  </r>
  <r>
    <x v="52"/>
    <x v="43"/>
    <m/>
    <m/>
    <m/>
    <m/>
    <m/>
    <m/>
    <m/>
    <m/>
    <m/>
    <m/>
    <m/>
    <m/>
    <m/>
    <m/>
    <m/>
    <m/>
    <m/>
  </r>
  <r>
    <x v="52"/>
    <x v="44"/>
    <m/>
    <m/>
    <m/>
    <m/>
    <m/>
    <m/>
    <m/>
    <m/>
    <m/>
    <m/>
    <m/>
    <m/>
    <m/>
    <m/>
    <m/>
    <m/>
    <m/>
  </r>
  <r>
    <x v="52"/>
    <x v="45"/>
    <m/>
    <m/>
    <m/>
    <m/>
    <m/>
    <m/>
    <m/>
    <m/>
    <m/>
    <m/>
    <m/>
    <m/>
    <m/>
    <m/>
    <m/>
    <m/>
    <m/>
  </r>
  <r>
    <x v="52"/>
    <x v="46"/>
    <n v="0"/>
    <n v="0"/>
    <n v="0"/>
    <n v="0"/>
    <n v="0"/>
    <n v="0"/>
    <n v="0"/>
    <n v="0"/>
    <n v="0"/>
    <n v="0"/>
    <n v="0"/>
    <n v="0"/>
    <n v="0"/>
    <n v="0"/>
    <n v="0"/>
    <n v="1"/>
    <m/>
  </r>
  <r>
    <x v="52"/>
    <x v="47"/>
    <m/>
    <m/>
    <m/>
    <m/>
    <m/>
    <m/>
    <m/>
    <m/>
    <m/>
    <m/>
    <m/>
    <m/>
    <m/>
    <m/>
    <m/>
    <m/>
    <m/>
  </r>
  <r>
    <x v="52"/>
    <x v="48"/>
    <m/>
    <m/>
    <m/>
    <m/>
    <m/>
    <m/>
    <m/>
    <m/>
    <m/>
    <m/>
    <m/>
    <m/>
    <m/>
    <m/>
    <m/>
    <m/>
    <m/>
  </r>
  <r>
    <x v="52"/>
    <x v="49"/>
    <m/>
    <m/>
    <m/>
    <m/>
    <m/>
    <m/>
    <m/>
    <m/>
    <m/>
    <m/>
    <m/>
    <m/>
    <m/>
    <m/>
    <m/>
    <m/>
    <m/>
  </r>
  <r>
    <x v="52"/>
    <x v="50"/>
    <m/>
    <m/>
    <m/>
    <m/>
    <m/>
    <m/>
    <n v="30"/>
    <m/>
    <m/>
    <m/>
    <m/>
    <m/>
    <m/>
    <n v="30"/>
    <m/>
    <m/>
    <m/>
  </r>
  <r>
    <x v="52"/>
    <x v="51"/>
    <n v="2"/>
    <n v="2"/>
    <n v="2"/>
    <n v="0"/>
    <n v="0"/>
    <n v="0"/>
    <n v="15"/>
    <n v="0"/>
    <n v="0"/>
    <n v="0"/>
    <n v="0"/>
    <n v="2"/>
    <n v="2"/>
    <n v="3"/>
    <n v="1"/>
    <n v="3"/>
    <m/>
  </r>
  <r>
    <x v="53"/>
    <x v="0"/>
    <m/>
    <m/>
    <m/>
    <m/>
    <m/>
    <m/>
    <m/>
    <m/>
    <m/>
    <m/>
    <m/>
    <m/>
    <m/>
    <m/>
    <m/>
    <m/>
    <m/>
  </r>
  <r>
    <x v="53"/>
    <x v="1"/>
    <m/>
    <m/>
    <m/>
    <m/>
    <m/>
    <m/>
    <m/>
    <m/>
    <m/>
    <m/>
    <m/>
    <m/>
    <m/>
    <m/>
    <m/>
    <m/>
    <m/>
  </r>
  <r>
    <x v="53"/>
    <x v="2"/>
    <m/>
    <m/>
    <m/>
    <m/>
    <m/>
    <m/>
    <m/>
    <m/>
    <m/>
    <m/>
    <m/>
    <m/>
    <m/>
    <m/>
    <m/>
    <m/>
    <m/>
  </r>
  <r>
    <x v="53"/>
    <x v="3"/>
    <m/>
    <m/>
    <m/>
    <m/>
    <m/>
    <m/>
    <m/>
    <m/>
    <m/>
    <m/>
    <m/>
    <m/>
    <m/>
    <m/>
    <m/>
    <m/>
    <m/>
  </r>
  <r>
    <x v="53"/>
    <x v="4"/>
    <m/>
    <m/>
    <m/>
    <m/>
    <m/>
    <m/>
    <m/>
    <m/>
    <m/>
    <m/>
    <m/>
    <m/>
    <m/>
    <m/>
    <m/>
    <m/>
    <m/>
  </r>
  <r>
    <x v="53"/>
    <x v="5"/>
    <m/>
    <m/>
    <m/>
    <m/>
    <m/>
    <m/>
    <m/>
    <m/>
    <m/>
    <m/>
    <m/>
    <m/>
    <m/>
    <m/>
    <m/>
    <m/>
    <m/>
  </r>
  <r>
    <x v="53"/>
    <x v="6"/>
    <m/>
    <m/>
    <m/>
    <m/>
    <m/>
    <m/>
    <m/>
    <m/>
    <m/>
    <m/>
    <m/>
    <m/>
    <m/>
    <m/>
    <m/>
    <m/>
    <m/>
  </r>
  <r>
    <x v="53"/>
    <x v="7"/>
    <m/>
    <m/>
    <m/>
    <m/>
    <m/>
    <m/>
    <m/>
    <m/>
    <m/>
    <m/>
    <m/>
    <m/>
    <m/>
    <m/>
    <m/>
    <m/>
    <m/>
  </r>
  <r>
    <x v="53"/>
    <x v="8"/>
    <m/>
    <m/>
    <m/>
    <m/>
    <m/>
    <m/>
    <m/>
    <m/>
    <m/>
    <m/>
    <m/>
    <m/>
    <m/>
    <m/>
    <m/>
    <m/>
    <m/>
  </r>
  <r>
    <x v="53"/>
    <x v="9"/>
    <m/>
    <m/>
    <m/>
    <m/>
    <m/>
    <m/>
    <m/>
    <m/>
    <m/>
    <m/>
    <m/>
    <m/>
    <m/>
    <m/>
    <m/>
    <m/>
    <m/>
  </r>
  <r>
    <x v="53"/>
    <x v="10"/>
    <m/>
    <m/>
    <m/>
    <m/>
    <m/>
    <m/>
    <m/>
    <m/>
    <m/>
    <m/>
    <m/>
    <m/>
    <m/>
    <m/>
    <m/>
    <m/>
    <m/>
  </r>
  <r>
    <x v="53"/>
    <x v="11"/>
    <m/>
    <m/>
    <m/>
    <m/>
    <m/>
    <m/>
    <m/>
    <m/>
    <m/>
    <m/>
    <m/>
    <m/>
    <m/>
    <m/>
    <m/>
    <m/>
    <m/>
  </r>
  <r>
    <x v="53"/>
    <x v="12"/>
    <m/>
    <m/>
    <m/>
    <m/>
    <m/>
    <m/>
    <m/>
    <m/>
    <m/>
    <m/>
    <m/>
    <m/>
    <m/>
    <m/>
    <m/>
    <m/>
    <m/>
  </r>
  <r>
    <x v="53"/>
    <x v="13"/>
    <m/>
    <m/>
    <m/>
    <m/>
    <m/>
    <m/>
    <m/>
    <m/>
    <m/>
    <m/>
    <m/>
    <m/>
    <m/>
    <m/>
    <m/>
    <m/>
    <m/>
  </r>
  <r>
    <x v="53"/>
    <x v="14"/>
    <m/>
    <m/>
    <m/>
    <m/>
    <m/>
    <m/>
    <m/>
    <m/>
    <m/>
    <m/>
    <m/>
    <m/>
    <m/>
    <m/>
    <m/>
    <m/>
    <m/>
  </r>
  <r>
    <x v="53"/>
    <x v="15"/>
    <m/>
    <m/>
    <m/>
    <m/>
    <m/>
    <m/>
    <m/>
    <m/>
    <m/>
    <m/>
    <m/>
    <m/>
    <m/>
    <m/>
    <m/>
    <m/>
    <m/>
  </r>
  <r>
    <x v="53"/>
    <x v="16"/>
    <m/>
    <m/>
    <m/>
    <m/>
    <m/>
    <m/>
    <m/>
    <m/>
    <m/>
    <m/>
    <m/>
    <m/>
    <m/>
    <m/>
    <m/>
    <m/>
    <m/>
  </r>
  <r>
    <x v="53"/>
    <x v="17"/>
    <m/>
    <m/>
    <m/>
    <m/>
    <m/>
    <m/>
    <m/>
    <m/>
    <m/>
    <m/>
    <m/>
    <m/>
    <m/>
    <m/>
    <m/>
    <m/>
    <m/>
  </r>
  <r>
    <x v="53"/>
    <x v="18"/>
    <m/>
    <m/>
    <m/>
    <m/>
    <m/>
    <m/>
    <m/>
    <m/>
    <m/>
    <m/>
    <m/>
    <m/>
    <m/>
    <m/>
    <m/>
    <m/>
    <m/>
  </r>
  <r>
    <x v="53"/>
    <x v="19"/>
    <m/>
    <m/>
    <m/>
    <m/>
    <m/>
    <m/>
    <m/>
    <m/>
    <m/>
    <m/>
    <m/>
    <m/>
    <m/>
    <m/>
    <m/>
    <m/>
    <m/>
  </r>
  <r>
    <x v="53"/>
    <x v="20"/>
    <m/>
    <m/>
    <m/>
    <m/>
    <m/>
    <m/>
    <m/>
    <m/>
    <m/>
    <m/>
    <m/>
    <m/>
    <m/>
    <m/>
    <m/>
    <m/>
    <m/>
  </r>
  <r>
    <x v="53"/>
    <x v="21"/>
    <m/>
    <m/>
    <m/>
    <m/>
    <m/>
    <m/>
    <m/>
    <m/>
    <m/>
    <m/>
    <m/>
    <m/>
    <m/>
    <m/>
    <m/>
    <m/>
    <m/>
  </r>
  <r>
    <x v="53"/>
    <x v="22"/>
    <m/>
    <m/>
    <m/>
    <m/>
    <m/>
    <m/>
    <m/>
    <m/>
    <m/>
    <m/>
    <m/>
    <m/>
    <m/>
    <m/>
    <m/>
    <m/>
    <m/>
  </r>
  <r>
    <x v="53"/>
    <x v="23"/>
    <m/>
    <m/>
    <m/>
    <m/>
    <m/>
    <m/>
    <m/>
    <m/>
    <m/>
    <m/>
    <m/>
    <m/>
    <m/>
    <m/>
    <m/>
    <m/>
    <m/>
  </r>
  <r>
    <x v="53"/>
    <x v="24"/>
    <m/>
    <m/>
    <m/>
    <m/>
    <m/>
    <m/>
    <m/>
    <m/>
    <m/>
    <m/>
    <m/>
    <m/>
    <m/>
    <m/>
    <m/>
    <m/>
    <m/>
  </r>
  <r>
    <x v="53"/>
    <x v="25"/>
    <m/>
    <m/>
    <m/>
    <m/>
    <m/>
    <m/>
    <m/>
    <m/>
    <m/>
    <m/>
    <m/>
    <m/>
    <m/>
    <m/>
    <m/>
    <m/>
    <m/>
  </r>
  <r>
    <x v="53"/>
    <x v="26"/>
    <m/>
    <m/>
    <m/>
    <m/>
    <m/>
    <m/>
    <m/>
    <m/>
    <m/>
    <m/>
    <m/>
    <m/>
    <m/>
    <m/>
    <m/>
    <m/>
    <m/>
  </r>
  <r>
    <x v="53"/>
    <x v="27"/>
    <m/>
    <m/>
    <m/>
    <m/>
    <m/>
    <m/>
    <m/>
    <m/>
    <m/>
    <m/>
    <m/>
    <m/>
    <m/>
    <m/>
    <m/>
    <m/>
    <m/>
  </r>
  <r>
    <x v="53"/>
    <x v="28"/>
    <m/>
    <m/>
    <m/>
    <m/>
    <m/>
    <m/>
    <m/>
    <m/>
    <m/>
    <m/>
    <m/>
    <m/>
    <m/>
    <m/>
    <m/>
    <m/>
    <m/>
  </r>
  <r>
    <x v="53"/>
    <x v="29"/>
    <m/>
    <m/>
    <m/>
    <m/>
    <m/>
    <m/>
    <m/>
    <m/>
    <m/>
    <m/>
    <m/>
    <m/>
    <m/>
    <m/>
    <m/>
    <m/>
    <m/>
  </r>
  <r>
    <x v="53"/>
    <x v="30"/>
    <m/>
    <m/>
    <m/>
    <m/>
    <m/>
    <m/>
    <m/>
    <m/>
    <m/>
    <m/>
    <m/>
    <m/>
    <m/>
    <m/>
    <m/>
    <m/>
    <m/>
  </r>
  <r>
    <x v="53"/>
    <x v="31"/>
    <m/>
    <m/>
    <m/>
    <m/>
    <m/>
    <m/>
    <m/>
    <m/>
    <m/>
    <m/>
    <m/>
    <m/>
    <m/>
    <m/>
    <m/>
    <m/>
    <m/>
  </r>
  <r>
    <x v="53"/>
    <x v="32"/>
    <m/>
    <m/>
    <m/>
    <m/>
    <m/>
    <m/>
    <m/>
    <m/>
    <m/>
    <m/>
    <m/>
    <m/>
    <m/>
    <m/>
    <m/>
    <m/>
    <m/>
  </r>
  <r>
    <x v="53"/>
    <x v="33"/>
    <m/>
    <m/>
    <m/>
    <m/>
    <m/>
    <m/>
    <m/>
    <m/>
    <m/>
    <m/>
    <m/>
    <m/>
    <m/>
    <m/>
    <m/>
    <m/>
    <m/>
  </r>
  <r>
    <x v="53"/>
    <x v="34"/>
    <m/>
    <m/>
    <m/>
    <m/>
    <m/>
    <m/>
    <m/>
    <m/>
    <m/>
    <m/>
    <m/>
    <m/>
    <m/>
    <m/>
    <m/>
    <m/>
    <m/>
  </r>
  <r>
    <x v="53"/>
    <x v="35"/>
    <m/>
    <m/>
    <m/>
    <m/>
    <m/>
    <m/>
    <m/>
    <m/>
    <m/>
    <m/>
    <m/>
    <m/>
    <m/>
    <m/>
    <m/>
    <m/>
    <m/>
  </r>
  <r>
    <x v="53"/>
    <x v="36"/>
    <m/>
    <m/>
    <m/>
    <m/>
    <m/>
    <m/>
    <m/>
    <m/>
    <m/>
    <m/>
    <m/>
    <m/>
    <m/>
    <m/>
    <m/>
    <m/>
    <m/>
  </r>
  <r>
    <x v="53"/>
    <x v="37"/>
    <m/>
    <m/>
    <m/>
    <m/>
    <m/>
    <m/>
    <m/>
    <m/>
    <m/>
    <m/>
    <m/>
    <m/>
    <m/>
    <m/>
    <m/>
    <m/>
    <m/>
  </r>
  <r>
    <x v="53"/>
    <x v="38"/>
    <m/>
    <m/>
    <m/>
    <m/>
    <m/>
    <m/>
    <m/>
    <m/>
    <m/>
    <m/>
    <m/>
    <m/>
    <m/>
    <m/>
    <m/>
    <m/>
    <m/>
  </r>
  <r>
    <x v="53"/>
    <x v="39"/>
    <m/>
    <m/>
    <m/>
    <m/>
    <m/>
    <m/>
    <m/>
    <m/>
    <m/>
    <m/>
    <m/>
    <m/>
    <m/>
    <m/>
    <m/>
    <m/>
    <m/>
  </r>
  <r>
    <x v="53"/>
    <x v="40"/>
    <m/>
    <m/>
    <m/>
    <m/>
    <m/>
    <m/>
    <m/>
    <m/>
    <m/>
    <m/>
    <m/>
    <m/>
    <m/>
    <m/>
    <m/>
    <m/>
    <m/>
  </r>
  <r>
    <x v="53"/>
    <x v="41"/>
    <m/>
    <m/>
    <m/>
    <m/>
    <m/>
    <m/>
    <m/>
    <m/>
    <m/>
    <m/>
    <m/>
    <m/>
    <m/>
    <m/>
    <m/>
    <m/>
    <m/>
  </r>
  <r>
    <x v="53"/>
    <x v="42"/>
    <m/>
    <m/>
    <m/>
    <m/>
    <m/>
    <m/>
    <m/>
    <m/>
    <m/>
    <m/>
    <m/>
    <m/>
    <m/>
    <m/>
    <m/>
    <m/>
    <m/>
  </r>
  <r>
    <x v="53"/>
    <x v="43"/>
    <m/>
    <m/>
    <m/>
    <m/>
    <m/>
    <m/>
    <m/>
    <m/>
    <m/>
    <m/>
    <m/>
    <m/>
    <m/>
    <m/>
    <m/>
    <m/>
    <m/>
  </r>
  <r>
    <x v="53"/>
    <x v="44"/>
    <m/>
    <m/>
    <m/>
    <m/>
    <m/>
    <m/>
    <m/>
    <m/>
    <m/>
    <m/>
    <m/>
    <m/>
    <m/>
    <m/>
    <m/>
    <m/>
    <m/>
  </r>
  <r>
    <x v="53"/>
    <x v="45"/>
    <m/>
    <m/>
    <m/>
    <m/>
    <m/>
    <m/>
    <m/>
    <m/>
    <m/>
    <m/>
    <m/>
    <m/>
    <m/>
    <m/>
    <m/>
    <m/>
    <m/>
  </r>
  <r>
    <x v="53"/>
    <x v="46"/>
    <m/>
    <m/>
    <m/>
    <m/>
    <m/>
    <m/>
    <m/>
    <m/>
    <m/>
    <m/>
    <m/>
    <m/>
    <m/>
    <m/>
    <m/>
    <m/>
    <m/>
  </r>
  <r>
    <x v="53"/>
    <x v="47"/>
    <m/>
    <m/>
    <m/>
    <m/>
    <m/>
    <m/>
    <m/>
    <m/>
    <m/>
    <m/>
    <m/>
    <m/>
    <m/>
    <m/>
    <m/>
    <m/>
    <m/>
  </r>
  <r>
    <x v="53"/>
    <x v="48"/>
    <m/>
    <m/>
    <m/>
    <m/>
    <m/>
    <m/>
    <m/>
    <m/>
    <m/>
    <m/>
    <m/>
    <m/>
    <m/>
    <m/>
    <m/>
    <m/>
    <m/>
  </r>
  <r>
    <x v="53"/>
    <x v="49"/>
    <m/>
    <m/>
    <m/>
    <m/>
    <m/>
    <m/>
    <m/>
    <m/>
    <m/>
    <m/>
    <m/>
    <m/>
    <m/>
    <m/>
    <m/>
    <m/>
    <m/>
  </r>
  <r>
    <x v="53"/>
    <x v="50"/>
    <m/>
    <m/>
    <m/>
    <m/>
    <m/>
    <m/>
    <m/>
    <m/>
    <m/>
    <m/>
    <m/>
    <m/>
    <m/>
    <m/>
    <m/>
    <m/>
    <m/>
  </r>
  <r>
    <x v="53"/>
    <x v="51"/>
    <m/>
    <m/>
    <m/>
    <m/>
    <m/>
    <m/>
    <m/>
    <m/>
    <m/>
    <m/>
    <m/>
    <m/>
    <m/>
    <m/>
    <m/>
    <m/>
    <m/>
  </r>
  <r>
    <x v="54"/>
    <x v="0"/>
    <m/>
    <m/>
    <m/>
    <m/>
    <m/>
    <m/>
    <n v="2"/>
    <m/>
    <m/>
    <m/>
    <m/>
    <m/>
    <m/>
    <m/>
    <m/>
    <n v="2"/>
    <m/>
  </r>
  <r>
    <x v="54"/>
    <x v="1"/>
    <m/>
    <m/>
    <m/>
    <m/>
    <m/>
    <m/>
    <n v="1"/>
    <m/>
    <m/>
    <m/>
    <m/>
    <m/>
    <m/>
    <m/>
    <m/>
    <n v="1"/>
    <m/>
  </r>
  <r>
    <x v="54"/>
    <x v="2"/>
    <m/>
    <m/>
    <m/>
    <m/>
    <m/>
    <m/>
    <n v="1"/>
    <m/>
    <m/>
    <m/>
    <n v="1"/>
    <m/>
    <m/>
    <m/>
    <m/>
    <n v="3"/>
    <m/>
  </r>
  <r>
    <x v="54"/>
    <x v="3"/>
    <m/>
    <m/>
    <m/>
    <m/>
    <m/>
    <m/>
    <m/>
    <m/>
    <m/>
    <m/>
    <m/>
    <m/>
    <m/>
    <m/>
    <m/>
    <n v="1"/>
    <m/>
  </r>
  <r>
    <x v="54"/>
    <x v="4"/>
    <m/>
    <m/>
    <m/>
    <m/>
    <m/>
    <m/>
    <n v="1"/>
    <m/>
    <m/>
    <m/>
    <m/>
    <m/>
    <n v="1"/>
    <m/>
    <n v="1"/>
    <n v="3"/>
    <m/>
  </r>
  <r>
    <x v="54"/>
    <x v="5"/>
    <m/>
    <m/>
    <m/>
    <m/>
    <m/>
    <m/>
    <m/>
    <m/>
    <m/>
    <m/>
    <m/>
    <m/>
    <m/>
    <m/>
    <m/>
    <m/>
    <m/>
  </r>
  <r>
    <x v="54"/>
    <x v="6"/>
    <m/>
    <m/>
    <m/>
    <m/>
    <m/>
    <m/>
    <m/>
    <m/>
    <m/>
    <m/>
    <m/>
    <m/>
    <m/>
    <m/>
    <m/>
    <m/>
    <m/>
  </r>
  <r>
    <x v="54"/>
    <x v="7"/>
    <m/>
    <m/>
    <m/>
    <m/>
    <m/>
    <m/>
    <n v="1"/>
    <m/>
    <m/>
    <m/>
    <m/>
    <m/>
    <m/>
    <m/>
    <m/>
    <n v="1"/>
    <m/>
  </r>
  <r>
    <x v="54"/>
    <x v="8"/>
    <m/>
    <m/>
    <m/>
    <m/>
    <m/>
    <m/>
    <n v="2"/>
    <m/>
    <m/>
    <m/>
    <m/>
    <m/>
    <m/>
    <m/>
    <m/>
    <n v="1"/>
    <m/>
  </r>
  <r>
    <x v="54"/>
    <x v="9"/>
    <m/>
    <m/>
    <m/>
    <m/>
    <m/>
    <m/>
    <n v="1"/>
    <m/>
    <m/>
    <m/>
    <m/>
    <m/>
    <m/>
    <m/>
    <m/>
    <n v="2"/>
    <m/>
  </r>
  <r>
    <x v="54"/>
    <x v="10"/>
    <m/>
    <m/>
    <m/>
    <m/>
    <m/>
    <m/>
    <n v="1"/>
    <m/>
    <m/>
    <m/>
    <m/>
    <m/>
    <m/>
    <m/>
    <m/>
    <n v="1"/>
    <m/>
  </r>
  <r>
    <x v="54"/>
    <x v="11"/>
    <m/>
    <m/>
    <m/>
    <m/>
    <m/>
    <m/>
    <m/>
    <m/>
    <m/>
    <m/>
    <m/>
    <m/>
    <m/>
    <m/>
    <m/>
    <m/>
    <m/>
  </r>
  <r>
    <x v="54"/>
    <x v="12"/>
    <m/>
    <m/>
    <m/>
    <m/>
    <m/>
    <m/>
    <m/>
    <m/>
    <m/>
    <m/>
    <m/>
    <m/>
    <m/>
    <m/>
    <m/>
    <n v="1"/>
    <m/>
  </r>
  <r>
    <x v="54"/>
    <x v="13"/>
    <m/>
    <m/>
    <m/>
    <m/>
    <m/>
    <m/>
    <n v="2"/>
    <m/>
    <m/>
    <m/>
    <m/>
    <m/>
    <m/>
    <n v="1"/>
    <m/>
    <n v="1"/>
    <m/>
  </r>
  <r>
    <x v="54"/>
    <x v="14"/>
    <m/>
    <m/>
    <m/>
    <m/>
    <m/>
    <m/>
    <n v="2"/>
    <m/>
    <m/>
    <m/>
    <m/>
    <m/>
    <m/>
    <m/>
    <m/>
    <n v="3"/>
    <m/>
  </r>
  <r>
    <x v="54"/>
    <x v="15"/>
    <m/>
    <m/>
    <m/>
    <m/>
    <m/>
    <m/>
    <n v="1"/>
    <m/>
    <m/>
    <m/>
    <m/>
    <m/>
    <m/>
    <m/>
    <m/>
    <n v="3"/>
    <m/>
  </r>
  <r>
    <x v="54"/>
    <x v="16"/>
    <m/>
    <m/>
    <m/>
    <m/>
    <m/>
    <m/>
    <m/>
    <m/>
    <m/>
    <m/>
    <m/>
    <m/>
    <m/>
    <m/>
    <m/>
    <n v="1"/>
    <m/>
  </r>
  <r>
    <x v="54"/>
    <x v="17"/>
    <m/>
    <m/>
    <m/>
    <m/>
    <m/>
    <m/>
    <m/>
    <m/>
    <m/>
    <m/>
    <m/>
    <m/>
    <m/>
    <m/>
    <m/>
    <n v="1"/>
    <m/>
  </r>
  <r>
    <x v="54"/>
    <x v="18"/>
    <m/>
    <m/>
    <m/>
    <m/>
    <m/>
    <m/>
    <n v="1"/>
    <m/>
    <m/>
    <m/>
    <m/>
    <m/>
    <m/>
    <m/>
    <m/>
    <n v="1"/>
    <m/>
  </r>
  <r>
    <x v="54"/>
    <x v="19"/>
    <m/>
    <m/>
    <m/>
    <m/>
    <m/>
    <m/>
    <m/>
    <m/>
    <m/>
    <m/>
    <m/>
    <m/>
    <m/>
    <m/>
    <m/>
    <m/>
    <m/>
  </r>
  <r>
    <x v="54"/>
    <x v="20"/>
    <m/>
    <m/>
    <m/>
    <m/>
    <m/>
    <m/>
    <n v="4"/>
    <m/>
    <m/>
    <m/>
    <m/>
    <m/>
    <m/>
    <m/>
    <n v="2"/>
    <n v="3"/>
    <m/>
  </r>
  <r>
    <x v="54"/>
    <x v="21"/>
    <m/>
    <m/>
    <m/>
    <m/>
    <m/>
    <m/>
    <m/>
    <m/>
    <m/>
    <m/>
    <m/>
    <m/>
    <m/>
    <m/>
    <m/>
    <n v="3"/>
    <m/>
  </r>
  <r>
    <x v="54"/>
    <x v="22"/>
    <m/>
    <m/>
    <m/>
    <m/>
    <m/>
    <m/>
    <m/>
    <m/>
    <m/>
    <m/>
    <m/>
    <m/>
    <m/>
    <m/>
    <m/>
    <m/>
    <m/>
  </r>
  <r>
    <x v="54"/>
    <x v="23"/>
    <m/>
    <m/>
    <m/>
    <m/>
    <m/>
    <m/>
    <m/>
    <m/>
    <m/>
    <m/>
    <m/>
    <m/>
    <m/>
    <m/>
    <m/>
    <n v="1"/>
    <m/>
  </r>
  <r>
    <x v="54"/>
    <x v="24"/>
    <m/>
    <m/>
    <m/>
    <m/>
    <m/>
    <m/>
    <m/>
    <m/>
    <m/>
    <m/>
    <m/>
    <m/>
    <m/>
    <m/>
    <m/>
    <m/>
    <m/>
  </r>
  <r>
    <x v="54"/>
    <x v="25"/>
    <m/>
    <m/>
    <m/>
    <m/>
    <m/>
    <m/>
    <m/>
    <m/>
    <m/>
    <m/>
    <m/>
    <m/>
    <m/>
    <m/>
    <m/>
    <n v="1"/>
    <m/>
  </r>
  <r>
    <x v="54"/>
    <x v="26"/>
    <m/>
    <m/>
    <m/>
    <m/>
    <m/>
    <m/>
    <n v="2"/>
    <m/>
    <m/>
    <m/>
    <m/>
    <m/>
    <m/>
    <m/>
    <m/>
    <n v="2"/>
    <m/>
  </r>
  <r>
    <x v="54"/>
    <x v="27"/>
    <m/>
    <m/>
    <m/>
    <m/>
    <m/>
    <m/>
    <m/>
    <m/>
    <m/>
    <m/>
    <m/>
    <m/>
    <m/>
    <m/>
    <m/>
    <m/>
    <m/>
  </r>
  <r>
    <x v="54"/>
    <x v="28"/>
    <m/>
    <m/>
    <m/>
    <m/>
    <m/>
    <m/>
    <n v="1"/>
    <m/>
    <m/>
    <m/>
    <m/>
    <m/>
    <m/>
    <m/>
    <m/>
    <n v="3"/>
    <m/>
  </r>
  <r>
    <x v="54"/>
    <x v="29"/>
    <m/>
    <m/>
    <m/>
    <m/>
    <m/>
    <m/>
    <n v="2"/>
    <m/>
    <m/>
    <m/>
    <m/>
    <m/>
    <m/>
    <m/>
    <m/>
    <n v="2"/>
    <m/>
  </r>
  <r>
    <x v="54"/>
    <x v="30"/>
    <m/>
    <m/>
    <m/>
    <m/>
    <m/>
    <m/>
    <n v="2"/>
    <m/>
    <m/>
    <m/>
    <m/>
    <m/>
    <m/>
    <m/>
    <m/>
    <n v="2"/>
    <m/>
  </r>
  <r>
    <x v="54"/>
    <x v="31"/>
    <m/>
    <m/>
    <m/>
    <m/>
    <m/>
    <m/>
    <n v="7"/>
    <m/>
    <n v="2"/>
    <m/>
    <n v="2"/>
    <n v="2"/>
    <n v="1"/>
    <n v="1"/>
    <n v="7"/>
    <n v="8"/>
    <m/>
  </r>
  <r>
    <x v="54"/>
    <x v="32"/>
    <m/>
    <m/>
    <m/>
    <m/>
    <m/>
    <m/>
    <m/>
    <m/>
    <m/>
    <m/>
    <m/>
    <m/>
    <m/>
    <m/>
    <m/>
    <m/>
    <m/>
  </r>
  <r>
    <x v="54"/>
    <x v="33"/>
    <m/>
    <m/>
    <m/>
    <m/>
    <m/>
    <m/>
    <m/>
    <m/>
    <m/>
    <m/>
    <m/>
    <m/>
    <m/>
    <m/>
    <m/>
    <m/>
    <m/>
  </r>
  <r>
    <x v="54"/>
    <x v="34"/>
    <m/>
    <m/>
    <m/>
    <m/>
    <m/>
    <m/>
    <n v="1"/>
    <m/>
    <m/>
    <m/>
    <m/>
    <m/>
    <m/>
    <m/>
    <m/>
    <n v="2"/>
    <m/>
  </r>
  <r>
    <x v="54"/>
    <x v="35"/>
    <m/>
    <m/>
    <m/>
    <m/>
    <m/>
    <m/>
    <n v="2"/>
    <m/>
    <m/>
    <m/>
    <m/>
    <m/>
    <m/>
    <n v="1"/>
    <m/>
    <n v="3"/>
    <m/>
  </r>
  <r>
    <x v="54"/>
    <x v="36"/>
    <m/>
    <m/>
    <m/>
    <m/>
    <m/>
    <m/>
    <n v="1"/>
    <m/>
    <m/>
    <m/>
    <m/>
    <m/>
    <m/>
    <m/>
    <m/>
    <n v="3"/>
    <m/>
  </r>
  <r>
    <x v="54"/>
    <x v="37"/>
    <m/>
    <m/>
    <m/>
    <m/>
    <m/>
    <m/>
    <m/>
    <m/>
    <m/>
    <m/>
    <m/>
    <m/>
    <m/>
    <m/>
    <m/>
    <m/>
    <m/>
  </r>
  <r>
    <x v="54"/>
    <x v="38"/>
    <m/>
    <m/>
    <m/>
    <m/>
    <m/>
    <m/>
    <m/>
    <m/>
    <m/>
    <m/>
    <m/>
    <m/>
    <m/>
    <m/>
    <m/>
    <n v="1"/>
    <m/>
  </r>
  <r>
    <x v="54"/>
    <x v="39"/>
    <m/>
    <m/>
    <m/>
    <m/>
    <m/>
    <m/>
    <n v="1"/>
    <m/>
    <m/>
    <m/>
    <m/>
    <m/>
    <m/>
    <m/>
    <m/>
    <n v="1"/>
    <m/>
  </r>
  <r>
    <x v="54"/>
    <x v="40"/>
    <m/>
    <m/>
    <m/>
    <m/>
    <m/>
    <m/>
    <n v="1"/>
    <m/>
    <m/>
    <m/>
    <m/>
    <m/>
    <m/>
    <n v="1"/>
    <m/>
    <n v="2"/>
    <m/>
  </r>
  <r>
    <x v="54"/>
    <x v="41"/>
    <m/>
    <m/>
    <m/>
    <m/>
    <m/>
    <m/>
    <m/>
    <m/>
    <m/>
    <m/>
    <m/>
    <m/>
    <m/>
    <m/>
    <m/>
    <m/>
    <m/>
  </r>
  <r>
    <x v="54"/>
    <x v="42"/>
    <m/>
    <m/>
    <m/>
    <m/>
    <m/>
    <m/>
    <n v="4"/>
    <m/>
    <m/>
    <m/>
    <m/>
    <m/>
    <n v="1"/>
    <m/>
    <m/>
    <n v="5"/>
    <m/>
  </r>
  <r>
    <x v="54"/>
    <x v="43"/>
    <m/>
    <m/>
    <m/>
    <m/>
    <m/>
    <m/>
    <m/>
    <m/>
    <m/>
    <m/>
    <m/>
    <m/>
    <m/>
    <m/>
    <m/>
    <n v="1"/>
    <m/>
  </r>
  <r>
    <x v="54"/>
    <x v="44"/>
    <m/>
    <m/>
    <m/>
    <m/>
    <m/>
    <m/>
    <m/>
    <m/>
    <m/>
    <m/>
    <m/>
    <m/>
    <m/>
    <n v="1"/>
    <m/>
    <m/>
    <m/>
  </r>
  <r>
    <x v="54"/>
    <x v="45"/>
    <m/>
    <m/>
    <m/>
    <m/>
    <m/>
    <m/>
    <m/>
    <m/>
    <m/>
    <m/>
    <m/>
    <m/>
    <m/>
    <m/>
    <n v="2"/>
    <n v="1"/>
    <m/>
  </r>
  <r>
    <x v="54"/>
    <x v="46"/>
    <m/>
    <m/>
    <m/>
    <m/>
    <m/>
    <m/>
    <m/>
    <m/>
    <m/>
    <m/>
    <m/>
    <m/>
    <m/>
    <m/>
    <m/>
    <m/>
    <m/>
  </r>
  <r>
    <x v="54"/>
    <x v="47"/>
    <m/>
    <m/>
    <m/>
    <m/>
    <m/>
    <m/>
    <n v="2"/>
    <m/>
    <m/>
    <m/>
    <m/>
    <m/>
    <m/>
    <m/>
    <m/>
    <n v="1"/>
    <m/>
  </r>
  <r>
    <x v="54"/>
    <x v="48"/>
    <m/>
    <m/>
    <m/>
    <m/>
    <m/>
    <m/>
    <n v="2"/>
    <m/>
    <m/>
    <m/>
    <m/>
    <m/>
    <m/>
    <n v="1"/>
    <m/>
    <n v="4"/>
    <m/>
  </r>
  <r>
    <x v="54"/>
    <x v="49"/>
    <m/>
    <m/>
    <m/>
    <m/>
    <m/>
    <m/>
    <n v="1"/>
    <m/>
    <m/>
    <m/>
    <m/>
    <m/>
    <m/>
    <m/>
    <m/>
    <n v="3"/>
    <m/>
  </r>
  <r>
    <x v="54"/>
    <x v="50"/>
    <m/>
    <m/>
    <m/>
    <m/>
    <m/>
    <m/>
    <n v="1"/>
    <m/>
    <m/>
    <m/>
    <m/>
    <m/>
    <m/>
    <m/>
    <n v="1"/>
    <n v="2"/>
    <m/>
  </r>
  <r>
    <x v="54"/>
    <x v="51"/>
    <n v="2"/>
    <m/>
    <m/>
    <m/>
    <m/>
    <m/>
    <n v="2"/>
    <m/>
    <m/>
    <m/>
    <m/>
    <m/>
    <m/>
    <m/>
    <n v="2"/>
    <n v="3"/>
    <m/>
  </r>
  <r>
    <x v="55"/>
    <x v="0"/>
    <m/>
    <m/>
    <m/>
    <m/>
    <m/>
    <m/>
    <m/>
    <m/>
    <m/>
    <m/>
    <m/>
    <m/>
    <m/>
    <m/>
    <m/>
    <m/>
    <m/>
  </r>
  <r>
    <x v="55"/>
    <x v="1"/>
    <m/>
    <m/>
    <m/>
    <m/>
    <m/>
    <m/>
    <m/>
    <m/>
    <m/>
    <m/>
    <m/>
    <m/>
    <m/>
    <m/>
    <m/>
    <m/>
    <m/>
  </r>
  <r>
    <x v="55"/>
    <x v="2"/>
    <m/>
    <m/>
    <m/>
    <m/>
    <m/>
    <m/>
    <m/>
    <m/>
    <m/>
    <m/>
    <m/>
    <m/>
    <m/>
    <m/>
    <m/>
    <m/>
    <m/>
  </r>
  <r>
    <x v="55"/>
    <x v="3"/>
    <m/>
    <m/>
    <m/>
    <m/>
    <m/>
    <m/>
    <m/>
    <m/>
    <m/>
    <m/>
    <m/>
    <m/>
    <m/>
    <m/>
    <m/>
    <m/>
    <m/>
  </r>
  <r>
    <x v="55"/>
    <x v="4"/>
    <m/>
    <m/>
    <m/>
    <m/>
    <m/>
    <m/>
    <m/>
    <m/>
    <m/>
    <m/>
    <m/>
    <m/>
    <m/>
    <m/>
    <m/>
    <m/>
    <m/>
  </r>
  <r>
    <x v="55"/>
    <x v="5"/>
    <m/>
    <m/>
    <m/>
    <m/>
    <m/>
    <m/>
    <m/>
    <m/>
    <m/>
    <m/>
    <m/>
    <m/>
    <m/>
    <m/>
    <m/>
    <m/>
    <m/>
  </r>
  <r>
    <x v="55"/>
    <x v="6"/>
    <m/>
    <m/>
    <m/>
    <m/>
    <m/>
    <m/>
    <m/>
    <m/>
    <m/>
    <m/>
    <m/>
    <m/>
    <m/>
    <m/>
    <m/>
    <m/>
    <m/>
  </r>
  <r>
    <x v="55"/>
    <x v="7"/>
    <m/>
    <m/>
    <m/>
    <m/>
    <m/>
    <m/>
    <m/>
    <m/>
    <m/>
    <m/>
    <m/>
    <m/>
    <m/>
    <m/>
    <m/>
    <m/>
    <m/>
  </r>
  <r>
    <x v="55"/>
    <x v="8"/>
    <m/>
    <m/>
    <m/>
    <m/>
    <m/>
    <m/>
    <m/>
    <m/>
    <m/>
    <m/>
    <m/>
    <m/>
    <m/>
    <m/>
    <m/>
    <m/>
    <m/>
  </r>
  <r>
    <x v="55"/>
    <x v="9"/>
    <m/>
    <m/>
    <m/>
    <m/>
    <m/>
    <m/>
    <m/>
    <m/>
    <m/>
    <m/>
    <m/>
    <m/>
    <m/>
    <m/>
    <m/>
    <m/>
    <m/>
  </r>
  <r>
    <x v="55"/>
    <x v="10"/>
    <m/>
    <m/>
    <m/>
    <m/>
    <m/>
    <m/>
    <m/>
    <m/>
    <m/>
    <m/>
    <m/>
    <m/>
    <m/>
    <m/>
    <m/>
    <m/>
    <m/>
  </r>
  <r>
    <x v="55"/>
    <x v="11"/>
    <m/>
    <m/>
    <m/>
    <m/>
    <m/>
    <m/>
    <m/>
    <m/>
    <m/>
    <m/>
    <m/>
    <m/>
    <m/>
    <m/>
    <m/>
    <m/>
    <m/>
  </r>
  <r>
    <x v="55"/>
    <x v="12"/>
    <m/>
    <m/>
    <m/>
    <m/>
    <m/>
    <m/>
    <m/>
    <m/>
    <m/>
    <m/>
    <m/>
    <m/>
    <m/>
    <m/>
    <m/>
    <m/>
    <m/>
  </r>
  <r>
    <x v="55"/>
    <x v="13"/>
    <m/>
    <m/>
    <m/>
    <m/>
    <m/>
    <m/>
    <m/>
    <m/>
    <m/>
    <m/>
    <m/>
    <m/>
    <m/>
    <m/>
    <m/>
    <m/>
    <m/>
  </r>
  <r>
    <x v="55"/>
    <x v="14"/>
    <m/>
    <m/>
    <m/>
    <m/>
    <m/>
    <m/>
    <m/>
    <m/>
    <m/>
    <m/>
    <m/>
    <m/>
    <m/>
    <m/>
    <m/>
    <m/>
    <m/>
  </r>
  <r>
    <x v="55"/>
    <x v="15"/>
    <m/>
    <m/>
    <m/>
    <m/>
    <m/>
    <m/>
    <m/>
    <m/>
    <m/>
    <m/>
    <m/>
    <m/>
    <m/>
    <m/>
    <m/>
    <m/>
    <m/>
  </r>
  <r>
    <x v="55"/>
    <x v="16"/>
    <m/>
    <m/>
    <m/>
    <m/>
    <m/>
    <m/>
    <m/>
    <m/>
    <m/>
    <m/>
    <m/>
    <m/>
    <m/>
    <m/>
    <m/>
    <m/>
    <m/>
  </r>
  <r>
    <x v="55"/>
    <x v="17"/>
    <m/>
    <m/>
    <m/>
    <m/>
    <m/>
    <m/>
    <m/>
    <m/>
    <m/>
    <m/>
    <m/>
    <m/>
    <m/>
    <m/>
    <m/>
    <m/>
    <m/>
  </r>
  <r>
    <x v="55"/>
    <x v="18"/>
    <m/>
    <m/>
    <m/>
    <m/>
    <m/>
    <m/>
    <m/>
    <m/>
    <m/>
    <m/>
    <m/>
    <m/>
    <m/>
    <m/>
    <m/>
    <m/>
    <m/>
  </r>
  <r>
    <x v="55"/>
    <x v="19"/>
    <m/>
    <m/>
    <m/>
    <m/>
    <m/>
    <m/>
    <m/>
    <m/>
    <m/>
    <m/>
    <m/>
    <m/>
    <m/>
    <m/>
    <m/>
    <m/>
    <m/>
  </r>
  <r>
    <x v="55"/>
    <x v="20"/>
    <m/>
    <m/>
    <m/>
    <m/>
    <m/>
    <m/>
    <m/>
    <m/>
    <m/>
    <m/>
    <m/>
    <m/>
    <m/>
    <m/>
    <m/>
    <m/>
    <m/>
  </r>
  <r>
    <x v="55"/>
    <x v="21"/>
    <m/>
    <m/>
    <m/>
    <m/>
    <m/>
    <m/>
    <m/>
    <m/>
    <m/>
    <m/>
    <m/>
    <m/>
    <m/>
    <m/>
    <m/>
    <m/>
    <m/>
  </r>
  <r>
    <x v="55"/>
    <x v="22"/>
    <m/>
    <m/>
    <m/>
    <m/>
    <m/>
    <m/>
    <m/>
    <m/>
    <m/>
    <m/>
    <m/>
    <m/>
    <m/>
    <m/>
    <m/>
    <m/>
    <m/>
  </r>
  <r>
    <x v="55"/>
    <x v="23"/>
    <m/>
    <m/>
    <m/>
    <m/>
    <m/>
    <m/>
    <m/>
    <m/>
    <m/>
    <m/>
    <m/>
    <m/>
    <m/>
    <m/>
    <m/>
    <m/>
    <m/>
  </r>
  <r>
    <x v="55"/>
    <x v="24"/>
    <m/>
    <m/>
    <m/>
    <m/>
    <m/>
    <m/>
    <m/>
    <m/>
    <m/>
    <m/>
    <m/>
    <m/>
    <m/>
    <m/>
    <m/>
    <m/>
    <m/>
  </r>
  <r>
    <x v="55"/>
    <x v="25"/>
    <m/>
    <m/>
    <m/>
    <m/>
    <m/>
    <m/>
    <m/>
    <m/>
    <m/>
    <m/>
    <m/>
    <m/>
    <m/>
    <m/>
    <m/>
    <m/>
    <m/>
  </r>
  <r>
    <x v="55"/>
    <x v="26"/>
    <m/>
    <m/>
    <m/>
    <m/>
    <m/>
    <m/>
    <m/>
    <m/>
    <m/>
    <m/>
    <m/>
    <m/>
    <m/>
    <m/>
    <m/>
    <m/>
    <m/>
  </r>
  <r>
    <x v="55"/>
    <x v="27"/>
    <m/>
    <m/>
    <m/>
    <m/>
    <m/>
    <m/>
    <m/>
    <m/>
    <m/>
    <m/>
    <m/>
    <m/>
    <m/>
    <m/>
    <m/>
    <m/>
    <m/>
  </r>
  <r>
    <x v="55"/>
    <x v="28"/>
    <m/>
    <m/>
    <m/>
    <m/>
    <m/>
    <m/>
    <m/>
    <m/>
    <m/>
    <m/>
    <m/>
    <m/>
    <m/>
    <m/>
    <m/>
    <m/>
    <m/>
  </r>
  <r>
    <x v="55"/>
    <x v="29"/>
    <m/>
    <m/>
    <m/>
    <m/>
    <m/>
    <m/>
    <m/>
    <m/>
    <m/>
    <m/>
    <m/>
    <m/>
    <m/>
    <m/>
    <m/>
    <m/>
    <m/>
  </r>
  <r>
    <x v="55"/>
    <x v="30"/>
    <m/>
    <m/>
    <m/>
    <m/>
    <m/>
    <m/>
    <m/>
    <m/>
    <m/>
    <m/>
    <m/>
    <m/>
    <m/>
    <m/>
    <m/>
    <m/>
    <m/>
  </r>
  <r>
    <x v="55"/>
    <x v="31"/>
    <m/>
    <m/>
    <m/>
    <m/>
    <m/>
    <m/>
    <m/>
    <m/>
    <m/>
    <m/>
    <m/>
    <m/>
    <m/>
    <m/>
    <m/>
    <m/>
    <m/>
  </r>
  <r>
    <x v="55"/>
    <x v="32"/>
    <m/>
    <m/>
    <m/>
    <m/>
    <m/>
    <m/>
    <m/>
    <m/>
    <m/>
    <m/>
    <m/>
    <m/>
    <m/>
    <m/>
    <m/>
    <m/>
    <m/>
  </r>
  <r>
    <x v="55"/>
    <x v="33"/>
    <m/>
    <m/>
    <m/>
    <m/>
    <m/>
    <m/>
    <m/>
    <m/>
    <m/>
    <m/>
    <m/>
    <m/>
    <m/>
    <m/>
    <m/>
    <m/>
    <m/>
  </r>
  <r>
    <x v="55"/>
    <x v="34"/>
    <m/>
    <m/>
    <m/>
    <m/>
    <m/>
    <m/>
    <m/>
    <m/>
    <m/>
    <m/>
    <m/>
    <m/>
    <m/>
    <m/>
    <m/>
    <m/>
    <m/>
  </r>
  <r>
    <x v="55"/>
    <x v="35"/>
    <m/>
    <m/>
    <m/>
    <m/>
    <m/>
    <m/>
    <m/>
    <m/>
    <m/>
    <m/>
    <m/>
    <m/>
    <m/>
    <m/>
    <m/>
    <m/>
    <m/>
  </r>
  <r>
    <x v="55"/>
    <x v="36"/>
    <m/>
    <m/>
    <m/>
    <m/>
    <m/>
    <m/>
    <m/>
    <m/>
    <m/>
    <m/>
    <m/>
    <m/>
    <m/>
    <m/>
    <m/>
    <m/>
    <m/>
  </r>
  <r>
    <x v="55"/>
    <x v="37"/>
    <m/>
    <m/>
    <m/>
    <m/>
    <m/>
    <m/>
    <m/>
    <m/>
    <m/>
    <m/>
    <m/>
    <m/>
    <m/>
    <m/>
    <m/>
    <m/>
    <m/>
  </r>
  <r>
    <x v="55"/>
    <x v="38"/>
    <m/>
    <m/>
    <m/>
    <m/>
    <m/>
    <m/>
    <m/>
    <m/>
    <m/>
    <m/>
    <m/>
    <m/>
    <m/>
    <m/>
    <m/>
    <m/>
    <m/>
  </r>
  <r>
    <x v="55"/>
    <x v="39"/>
    <m/>
    <m/>
    <m/>
    <m/>
    <m/>
    <m/>
    <m/>
    <m/>
    <m/>
    <m/>
    <m/>
    <m/>
    <m/>
    <m/>
    <m/>
    <m/>
    <m/>
  </r>
  <r>
    <x v="55"/>
    <x v="40"/>
    <m/>
    <m/>
    <m/>
    <m/>
    <m/>
    <m/>
    <m/>
    <m/>
    <m/>
    <m/>
    <m/>
    <m/>
    <m/>
    <m/>
    <m/>
    <m/>
    <m/>
  </r>
  <r>
    <x v="55"/>
    <x v="41"/>
    <m/>
    <m/>
    <m/>
    <m/>
    <m/>
    <m/>
    <m/>
    <m/>
    <m/>
    <m/>
    <m/>
    <m/>
    <m/>
    <m/>
    <m/>
    <m/>
    <m/>
  </r>
  <r>
    <x v="55"/>
    <x v="42"/>
    <m/>
    <m/>
    <m/>
    <m/>
    <m/>
    <m/>
    <m/>
    <m/>
    <m/>
    <m/>
    <m/>
    <m/>
    <m/>
    <m/>
    <m/>
    <m/>
    <m/>
  </r>
  <r>
    <x v="55"/>
    <x v="43"/>
    <m/>
    <m/>
    <m/>
    <m/>
    <m/>
    <m/>
    <m/>
    <m/>
    <m/>
    <m/>
    <m/>
    <m/>
    <m/>
    <m/>
    <m/>
    <m/>
    <m/>
  </r>
  <r>
    <x v="55"/>
    <x v="44"/>
    <m/>
    <m/>
    <m/>
    <m/>
    <m/>
    <m/>
    <m/>
    <m/>
    <m/>
    <m/>
    <m/>
    <m/>
    <m/>
    <m/>
    <m/>
    <m/>
    <m/>
  </r>
  <r>
    <x v="55"/>
    <x v="45"/>
    <m/>
    <m/>
    <m/>
    <m/>
    <m/>
    <m/>
    <m/>
    <m/>
    <m/>
    <m/>
    <m/>
    <m/>
    <m/>
    <m/>
    <m/>
    <m/>
    <m/>
  </r>
  <r>
    <x v="55"/>
    <x v="46"/>
    <m/>
    <m/>
    <m/>
    <m/>
    <m/>
    <m/>
    <m/>
    <m/>
    <m/>
    <m/>
    <m/>
    <m/>
    <m/>
    <m/>
    <m/>
    <m/>
    <m/>
  </r>
  <r>
    <x v="55"/>
    <x v="47"/>
    <m/>
    <m/>
    <m/>
    <m/>
    <m/>
    <m/>
    <m/>
    <m/>
    <m/>
    <m/>
    <m/>
    <n v="3"/>
    <n v="2"/>
    <n v="3"/>
    <n v="2"/>
    <n v="13"/>
    <m/>
  </r>
  <r>
    <x v="55"/>
    <x v="48"/>
    <m/>
    <m/>
    <m/>
    <m/>
    <m/>
    <m/>
    <m/>
    <m/>
    <m/>
    <m/>
    <m/>
    <m/>
    <m/>
    <m/>
    <m/>
    <m/>
    <m/>
  </r>
  <r>
    <x v="55"/>
    <x v="49"/>
    <m/>
    <m/>
    <m/>
    <m/>
    <m/>
    <m/>
    <m/>
    <m/>
    <m/>
    <m/>
    <m/>
    <m/>
    <m/>
    <m/>
    <m/>
    <m/>
    <m/>
  </r>
  <r>
    <x v="55"/>
    <x v="50"/>
    <m/>
    <m/>
    <m/>
    <m/>
    <m/>
    <m/>
    <m/>
    <m/>
    <m/>
    <m/>
    <m/>
    <m/>
    <m/>
    <m/>
    <m/>
    <m/>
    <m/>
  </r>
  <r>
    <x v="55"/>
    <x v="51"/>
    <m/>
    <m/>
    <m/>
    <m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15">
  <r>
    <x v="0"/>
    <x v="0"/>
    <n v="0"/>
    <n v="1"/>
    <n v="2"/>
    <n v="0"/>
    <n v="0"/>
    <n v="0"/>
    <m/>
  </r>
  <r>
    <x v="0"/>
    <x v="1"/>
    <n v="1"/>
    <n v="1"/>
    <n v="14"/>
    <n v="5"/>
    <n v="3"/>
    <n v="2"/>
    <m/>
  </r>
  <r>
    <x v="0"/>
    <x v="2"/>
    <n v="0"/>
    <n v="1"/>
    <n v="31"/>
    <n v="2"/>
    <n v="10"/>
    <n v="9"/>
    <m/>
  </r>
  <r>
    <x v="0"/>
    <x v="3"/>
    <n v="5"/>
    <n v="24"/>
    <n v="8"/>
    <n v="1"/>
    <n v="12"/>
    <n v="3"/>
    <m/>
  </r>
  <r>
    <x v="0"/>
    <x v="4"/>
    <n v="5"/>
    <n v="28"/>
    <n v="65"/>
    <n v="6"/>
    <n v="22"/>
    <n v="11"/>
    <m/>
  </r>
  <r>
    <x v="0"/>
    <x v="5"/>
    <n v="0"/>
    <n v="6"/>
    <n v="26"/>
    <n v="4"/>
    <n v="5"/>
    <n v="11"/>
    <m/>
  </r>
  <r>
    <x v="0"/>
    <x v="6"/>
    <n v="1"/>
    <n v="6"/>
    <n v="35"/>
    <n v="0"/>
    <n v="22"/>
    <n v="13"/>
    <m/>
  </r>
  <r>
    <x v="0"/>
    <x v="7"/>
    <n v="0"/>
    <n v="1"/>
    <n v="20"/>
    <n v="2"/>
    <n v="6"/>
    <n v="4"/>
    <m/>
  </r>
  <r>
    <x v="0"/>
    <x v="8"/>
    <n v="6"/>
    <n v="6"/>
    <n v="33"/>
    <n v="4"/>
    <n v="6"/>
    <n v="8"/>
    <m/>
  </r>
  <r>
    <x v="0"/>
    <x v="9"/>
    <n v="2"/>
    <n v="5"/>
    <n v="63"/>
    <n v="10"/>
    <n v="21"/>
    <n v="10"/>
    <m/>
  </r>
  <r>
    <x v="0"/>
    <x v="10"/>
    <n v="0"/>
    <n v="4"/>
    <n v="11"/>
    <n v="4"/>
    <n v="18"/>
    <n v="3"/>
    <m/>
  </r>
  <r>
    <x v="0"/>
    <x v="11"/>
    <n v="0"/>
    <n v="0"/>
    <n v="7"/>
    <n v="1"/>
    <n v="4"/>
    <n v="6"/>
    <m/>
  </r>
  <r>
    <x v="0"/>
    <x v="12"/>
    <n v="0"/>
    <n v="0"/>
    <n v="0"/>
    <n v="2"/>
    <n v="0"/>
    <n v="0"/>
    <m/>
  </r>
  <r>
    <x v="1"/>
    <x v="0"/>
    <m/>
    <m/>
    <m/>
    <m/>
    <m/>
    <m/>
    <m/>
  </r>
  <r>
    <x v="1"/>
    <x v="1"/>
    <m/>
    <m/>
    <m/>
    <m/>
    <m/>
    <m/>
    <m/>
  </r>
  <r>
    <x v="1"/>
    <x v="2"/>
    <m/>
    <m/>
    <m/>
    <m/>
    <m/>
    <m/>
    <m/>
  </r>
  <r>
    <x v="1"/>
    <x v="3"/>
    <m/>
    <m/>
    <m/>
    <m/>
    <m/>
    <m/>
    <m/>
  </r>
  <r>
    <x v="1"/>
    <x v="4"/>
    <m/>
    <m/>
    <m/>
    <m/>
    <m/>
    <m/>
    <m/>
  </r>
  <r>
    <x v="1"/>
    <x v="5"/>
    <m/>
    <m/>
    <m/>
    <m/>
    <m/>
    <m/>
    <m/>
  </r>
  <r>
    <x v="1"/>
    <x v="6"/>
    <m/>
    <m/>
    <m/>
    <m/>
    <m/>
    <m/>
    <m/>
  </r>
  <r>
    <x v="1"/>
    <x v="7"/>
    <m/>
    <m/>
    <m/>
    <m/>
    <m/>
    <m/>
    <m/>
  </r>
  <r>
    <x v="1"/>
    <x v="8"/>
    <m/>
    <m/>
    <m/>
    <m/>
    <m/>
    <m/>
    <m/>
  </r>
  <r>
    <x v="1"/>
    <x v="9"/>
    <m/>
    <m/>
    <m/>
    <m/>
    <m/>
    <m/>
    <m/>
  </r>
  <r>
    <x v="1"/>
    <x v="10"/>
    <m/>
    <m/>
    <m/>
    <m/>
    <m/>
    <m/>
    <m/>
  </r>
  <r>
    <x v="1"/>
    <x v="11"/>
    <m/>
    <m/>
    <m/>
    <m/>
    <n v="2"/>
    <m/>
    <m/>
  </r>
  <r>
    <x v="1"/>
    <x v="12"/>
    <m/>
    <m/>
    <m/>
    <m/>
    <m/>
    <m/>
    <m/>
  </r>
  <r>
    <x v="2"/>
    <x v="0"/>
    <m/>
    <m/>
    <n v="0"/>
    <m/>
    <m/>
    <n v="2"/>
    <m/>
  </r>
  <r>
    <x v="2"/>
    <x v="1"/>
    <m/>
    <m/>
    <n v="4"/>
    <m/>
    <m/>
    <n v="7"/>
    <m/>
  </r>
  <r>
    <x v="2"/>
    <x v="2"/>
    <m/>
    <m/>
    <n v="4"/>
    <m/>
    <m/>
    <n v="7"/>
    <m/>
  </r>
  <r>
    <x v="2"/>
    <x v="3"/>
    <m/>
    <m/>
    <n v="0"/>
    <m/>
    <m/>
    <n v="7"/>
    <m/>
  </r>
  <r>
    <x v="2"/>
    <x v="4"/>
    <m/>
    <m/>
    <n v="4"/>
    <m/>
    <m/>
    <n v="7"/>
    <m/>
  </r>
  <r>
    <x v="2"/>
    <x v="5"/>
    <m/>
    <m/>
    <n v="4"/>
    <m/>
    <m/>
    <n v="7"/>
    <m/>
  </r>
  <r>
    <x v="2"/>
    <x v="6"/>
    <m/>
    <m/>
    <n v="5"/>
    <m/>
    <m/>
    <n v="7"/>
    <m/>
  </r>
  <r>
    <x v="2"/>
    <x v="7"/>
    <m/>
    <m/>
    <n v="4"/>
    <m/>
    <m/>
    <n v="7"/>
    <m/>
  </r>
  <r>
    <x v="2"/>
    <x v="8"/>
    <m/>
    <m/>
    <n v="4"/>
    <m/>
    <m/>
    <n v="7"/>
    <m/>
  </r>
  <r>
    <x v="2"/>
    <x v="9"/>
    <m/>
    <m/>
    <n v="4"/>
    <m/>
    <m/>
    <n v="7"/>
    <m/>
  </r>
  <r>
    <x v="2"/>
    <x v="10"/>
    <m/>
    <m/>
    <n v="1"/>
    <m/>
    <m/>
    <n v="7"/>
    <m/>
  </r>
  <r>
    <x v="2"/>
    <x v="11"/>
    <m/>
    <m/>
    <n v="0"/>
    <m/>
    <m/>
    <n v="0"/>
    <m/>
  </r>
  <r>
    <x v="2"/>
    <x v="12"/>
    <m/>
    <m/>
    <n v="0"/>
    <m/>
    <m/>
    <n v="0"/>
    <m/>
  </r>
  <r>
    <x v="3"/>
    <x v="0"/>
    <m/>
    <m/>
    <m/>
    <m/>
    <m/>
    <m/>
    <m/>
  </r>
  <r>
    <x v="3"/>
    <x v="1"/>
    <m/>
    <m/>
    <n v="1"/>
    <m/>
    <m/>
    <m/>
    <m/>
  </r>
  <r>
    <x v="3"/>
    <x v="2"/>
    <m/>
    <m/>
    <m/>
    <m/>
    <m/>
    <m/>
    <m/>
  </r>
  <r>
    <x v="3"/>
    <x v="3"/>
    <m/>
    <m/>
    <m/>
    <m/>
    <m/>
    <m/>
    <m/>
  </r>
  <r>
    <x v="3"/>
    <x v="4"/>
    <m/>
    <m/>
    <n v="1"/>
    <m/>
    <m/>
    <m/>
    <m/>
  </r>
  <r>
    <x v="3"/>
    <x v="5"/>
    <m/>
    <m/>
    <n v="1"/>
    <m/>
    <m/>
    <m/>
    <m/>
  </r>
  <r>
    <x v="3"/>
    <x v="6"/>
    <m/>
    <m/>
    <n v="1"/>
    <m/>
    <m/>
    <m/>
    <m/>
  </r>
  <r>
    <x v="3"/>
    <x v="7"/>
    <m/>
    <m/>
    <m/>
    <m/>
    <m/>
    <m/>
    <m/>
  </r>
  <r>
    <x v="3"/>
    <x v="8"/>
    <m/>
    <m/>
    <n v="1"/>
    <m/>
    <m/>
    <m/>
    <m/>
  </r>
  <r>
    <x v="3"/>
    <x v="9"/>
    <m/>
    <m/>
    <n v="1"/>
    <m/>
    <m/>
    <m/>
    <m/>
  </r>
  <r>
    <x v="3"/>
    <x v="10"/>
    <m/>
    <m/>
    <n v="1"/>
    <m/>
    <m/>
    <m/>
    <m/>
  </r>
  <r>
    <x v="3"/>
    <x v="11"/>
    <m/>
    <m/>
    <m/>
    <m/>
    <m/>
    <m/>
    <m/>
  </r>
  <r>
    <x v="3"/>
    <x v="12"/>
    <m/>
    <m/>
    <m/>
    <m/>
    <m/>
    <m/>
    <m/>
  </r>
  <r>
    <x v="4"/>
    <x v="0"/>
    <m/>
    <m/>
    <n v="1"/>
    <m/>
    <m/>
    <m/>
    <m/>
  </r>
  <r>
    <x v="4"/>
    <x v="1"/>
    <m/>
    <m/>
    <m/>
    <m/>
    <m/>
    <m/>
    <m/>
  </r>
  <r>
    <x v="4"/>
    <x v="2"/>
    <m/>
    <m/>
    <n v="1"/>
    <m/>
    <m/>
    <m/>
    <m/>
  </r>
  <r>
    <x v="4"/>
    <x v="3"/>
    <m/>
    <m/>
    <m/>
    <m/>
    <m/>
    <m/>
    <m/>
  </r>
  <r>
    <x v="4"/>
    <x v="4"/>
    <m/>
    <m/>
    <n v="1"/>
    <m/>
    <m/>
    <m/>
    <m/>
  </r>
  <r>
    <x v="4"/>
    <x v="5"/>
    <m/>
    <m/>
    <n v="1"/>
    <m/>
    <m/>
    <m/>
    <m/>
  </r>
  <r>
    <x v="4"/>
    <x v="6"/>
    <m/>
    <m/>
    <n v="1"/>
    <m/>
    <m/>
    <m/>
    <m/>
  </r>
  <r>
    <x v="4"/>
    <x v="7"/>
    <m/>
    <m/>
    <n v="1"/>
    <m/>
    <m/>
    <m/>
    <m/>
  </r>
  <r>
    <x v="4"/>
    <x v="8"/>
    <m/>
    <m/>
    <n v="1"/>
    <m/>
    <m/>
    <m/>
    <m/>
  </r>
  <r>
    <x v="4"/>
    <x v="9"/>
    <m/>
    <m/>
    <n v="1"/>
    <m/>
    <m/>
    <m/>
    <m/>
  </r>
  <r>
    <x v="4"/>
    <x v="10"/>
    <m/>
    <m/>
    <m/>
    <m/>
    <m/>
    <m/>
    <m/>
  </r>
  <r>
    <x v="4"/>
    <x v="11"/>
    <m/>
    <m/>
    <m/>
    <m/>
    <m/>
    <m/>
    <m/>
  </r>
  <r>
    <x v="4"/>
    <x v="12"/>
    <m/>
    <m/>
    <m/>
    <m/>
    <m/>
    <m/>
    <m/>
  </r>
  <r>
    <x v="5"/>
    <x v="0"/>
    <m/>
    <m/>
    <m/>
    <m/>
    <m/>
    <m/>
    <m/>
  </r>
  <r>
    <x v="5"/>
    <x v="1"/>
    <m/>
    <m/>
    <n v="1"/>
    <m/>
    <m/>
    <m/>
    <m/>
  </r>
  <r>
    <x v="5"/>
    <x v="2"/>
    <m/>
    <m/>
    <m/>
    <m/>
    <m/>
    <m/>
    <m/>
  </r>
  <r>
    <x v="5"/>
    <x v="3"/>
    <m/>
    <m/>
    <m/>
    <m/>
    <m/>
    <m/>
    <m/>
  </r>
  <r>
    <x v="5"/>
    <x v="4"/>
    <m/>
    <m/>
    <m/>
    <m/>
    <m/>
    <m/>
    <m/>
  </r>
  <r>
    <x v="5"/>
    <x v="5"/>
    <m/>
    <m/>
    <n v="1"/>
    <m/>
    <m/>
    <m/>
    <m/>
  </r>
  <r>
    <x v="5"/>
    <x v="6"/>
    <m/>
    <m/>
    <m/>
    <m/>
    <m/>
    <m/>
    <m/>
  </r>
  <r>
    <x v="5"/>
    <x v="7"/>
    <m/>
    <m/>
    <m/>
    <m/>
    <m/>
    <m/>
    <m/>
  </r>
  <r>
    <x v="5"/>
    <x v="8"/>
    <m/>
    <m/>
    <n v="1"/>
    <m/>
    <m/>
    <m/>
    <m/>
  </r>
  <r>
    <x v="5"/>
    <x v="9"/>
    <m/>
    <m/>
    <n v="1"/>
    <m/>
    <m/>
    <m/>
    <m/>
  </r>
  <r>
    <x v="5"/>
    <x v="10"/>
    <m/>
    <m/>
    <m/>
    <m/>
    <m/>
    <m/>
    <m/>
  </r>
  <r>
    <x v="5"/>
    <x v="11"/>
    <m/>
    <m/>
    <m/>
    <m/>
    <m/>
    <m/>
    <m/>
  </r>
  <r>
    <x v="5"/>
    <x v="12"/>
    <m/>
    <m/>
    <m/>
    <m/>
    <m/>
    <m/>
    <m/>
  </r>
  <r>
    <x v="6"/>
    <x v="0"/>
    <m/>
    <m/>
    <m/>
    <m/>
    <m/>
    <m/>
    <m/>
  </r>
  <r>
    <x v="6"/>
    <x v="1"/>
    <m/>
    <m/>
    <n v="3"/>
    <m/>
    <m/>
    <m/>
    <m/>
  </r>
  <r>
    <x v="6"/>
    <x v="2"/>
    <m/>
    <m/>
    <n v="3"/>
    <m/>
    <m/>
    <m/>
    <m/>
  </r>
  <r>
    <x v="6"/>
    <x v="3"/>
    <m/>
    <m/>
    <n v="2"/>
    <m/>
    <m/>
    <m/>
    <m/>
  </r>
  <r>
    <x v="6"/>
    <x v="4"/>
    <m/>
    <m/>
    <n v="2"/>
    <m/>
    <m/>
    <m/>
    <m/>
  </r>
  <r>
    <x v="6"/>
    <x v="5"/>
    <m/>
    <m/>
    <n v="2"/>
    <m/>
    <m/>
    <m/>
    <m/>
  </r>
  <r>
    <x v="6"/>
    <x v="6"/>
    <m/>
    <m/>
    <n v="3"/>
    <m/>
    <m/>
    <m/>
    <m/>
  </r>
  <r>
    <x v="6"/>
    <x v="7"/>
    <m/>
    <m/>
    <n v="3"/>
    <m/>
    <m/>
    <m/>
    <m/>
  </r>
  <r>
    <x v="6"/>
    <x v="8"/>
    <m/>
    <m/>
    <n v="2"/>
    <m/>
    <m/>
    <m/>
    <m/>
  </r>
  <r>
    <x v="6"/>
    <x v="9"/>
    <m/>
    <m/>
    <n v="2"/>
    <m/>
    <m/>
    <m/>
    <m/>
  </r>
  <r>
    <x v="6"/>
    <x v="10"/>
    <m/>
    <m/>
    <n v="1"/>
    <m/>
    <m/>
    <m/>
    <m/>
  </r>
  <r>
    <x v="6"/>
    <x v="11"/>
    <m/>
    <m/>
    <m/>
    <m/>
    <m/>
    <m/>
    <m/>
  </r>
  <r>
    <x v="6"/>
    <x v="12"/>
    <m/>
    <m/>
    <m/>
    <m/>
    <m/>
    <m/>
    <m/>
  </r>
  <r>
    <x v="7"/>
    <x v="0"/>
    <m/>
    <m/>
    <n v="2"/>
    <m/>
    <m/>
    <m/>
    <m/>
  </r>
  <r>
    <x v="7"/>
    <x v="1"/>
    <n v="1"/>
    <m/>
    <n v="14"/>
    <n v="5"/>
    <m/>
    <m/>
    <m/>
  </r>
  <r>
    <x v="7"/>
    <x v="2"/>
    <m/>
    <n v="1"/>
    <n v="31"/>
    <n v="2"/>
    <m/>
    <n v="2"/>
    <m/>
  </r>
  <r>
    <x v="7"/>
    <x v="3"/>
    <n v="5"/>
    <n v="23"/>
    <n v="8"/>
    <n v="1"/>
    <m/>
    <m/>
    <m/>
  </r>
  <r>
    <x v="7"/>
    <x v="4"/>
    <n v="5"/>
    <n v="28"/>
    <n v="65"/>
    <n v="3"/>
    <m/>
    <m/>
    <m/>
  </r>
  <r>
    <x v="7"/>
    <x v="5"/>
    <m/>
    <n v="5"/>
    <n v="26"/>
    <m/>
    <m/>
    <m/>
    <m/>
  </r>
  <r>
    <x v="7"/>
    <x v="6"/>
    <n v="1"/>
    <n v="5"/>
    <n v="35"/>
    <m/>
    <m/>
    <n v="2"/>
    <m/>
  </r>
  <r>
    <x v="7"/>
    <x v="7"/>
    <m/>
    <n v="1"/>
    <n v="20"/>
    <n v="2"/>
    <m/>
    <n v="3"/>
    <m/>
  </r>
  <r>
    <x v="7"/>
    <x v="8"/>
    <n v="6"/>
    <n v="5"/>
    <n v="33"/>
    <n v="4"/>
    <m/>
    <m/>
    <m/>
  </r>
  <r>
    <x v="7"/>
    <x v="9"/>
    <n v="2"/>
    <n v="4"/>
    <n v="63"/>
    <n v="5"/>
    <m/>
    <n v="2"/>
    <m/>
  </r>
  <r>
    <x v="7"/>
    <x v="10"/>
    <m/>
    <n v="3"/>
    <n v="11"/>
    <n v="4"/>
    <m/>
    <n v="1"/>
    <m/>
  </r>
  <r>
    <x v="7"/>
    <x v="11"/>
    <m/>
    <m/>
    <n v="7"/>
    <n v="1"/>
    <m/>
    <n v="3"/>
    <m/>
  </r>
  <r>
    <x v="7"/>
    <x v="12"/>
    <m/>
    <m/>
    <m/>
    <n v="2"/>
    <m/>
    <m/>
    <m/>
  </r>
  <r>
    <x v="8"/>
    <x v="0"/>
    <m/>
    <m/>
    <m/>
    <m/>
    <m/>
    <m/>
    <m/>
  </r>
  <r>
    <x v="8"/>
    <x v="1"/>
    <m/>
    <n v="5"/>
    <n v="5"/>
    <n v="2"/>
    <n v="1"/>
    <n v="9"/>
    <m/>
  </r>
  <r>
    <x v="8"/>
    <x v="2"/>
    <m/>
    <n v="4"/>
    <n v="3"/>
    <n v="1"/>
    <n v="1"/>
    <n v="2"/>
    <m/>
  </r>
  <r>
    <x v="8"/>
    <x v="3"/>
    <m/>
    <n v="2"/>
    <m/>
    <m/>
    <m/>
    <m/>
    <m/>
  </r>
  <r>
    <x v="8"/>
    <x v="4"/>
    <m/>
    <n v="9"/>
    <n v="6"/>
    <n v="1"/>
    <n v="1"/>
    <n v="6"/>
    <m/>
  </r>
  <r>
    <x v="8"/>
    <x v="5"/>
    <m/>
    <n v="3"/>
    <n v="3"/>
    <m/>
    <m/>
    <m/>
    <m/>
  </r>
  <r>
    <x v="8"/>
    <x v="6"/>
    <m/>
    <n v="21"/>
    <n v="46"/>
    <n v="6"/>
    <n v="5"/>
    <n v="25"/>
    <m/>
  </r>
  <r>
    <x v="8"/>
    <x v="7"/>
    <m/>
    <n v="1"/>
    <n v="4"/>
    <m/>
    <m/>
    <m/>
    <m/>
  </r>
  <r>
    <x v="8"/>
    <x v="8"/>
    <m/>
    <n v="25"/>
    <n v="35"/>
    <n v="4"/>
    <n v="4"/>
    <n v="25"/>
    <m/>
  </r>
  <r>
    <x v="8"/>
    <x v="9"/>
    <m/>
    <n v="3"/>
    <n v="4"/>
    <n v="1"/>
    <n v="1"/>
    <n v="4"/>
    <m/>
  </r>
  <r>
    <x v="8"/>
    <x v="10"/>
    <m/>
    <n v="9"/>
    <n v="7"/>
    <m/>
    <m/>
    <n v="5"/>
    <m/>
  </r>
  <r>
    <x v="8"/>
    <x v="11"/>
    <m/>
    <n v="2"/>
    <m/>
    <m/>
    <m/>
    <m/>
    <m/>
  </r>
  <r>
    <x v="8"/>
    <x v="12"/>
    <m/>
    <m/>
    <m/>
    <m/>
    <m/>
    <m/>
    <m/>
  </r>
  <r>
    <x v="9"/>
    <x v="0"/>
    <m/>
    <m/>
    <m/>
    <m/>
    <m/>
    <m/>
    <m/>
  </r>
  <r>
    <x v="9"/>
    <x v="1"/>
    <m/>
    <m/>
    <m/>
    <m/>
    <m/>
    <m/>
    <m/>
  </r>
  <r>
    <x v="9"/>
    <x v="2"/>
    <m/>
    <m/>
    <m/>
    <m/>
    <m/>
    <m/>
    <m/>
  </r>
  <r>
    <x v="9"/>
    <x v="3"/>
    <m/>
    <m/>
    <m/>
    <m/>
    <m/>
    <m/>
    <m/>
  </r>
  <r>
    <x v="9"/>
    <x v="4"/>
    <m/>
    <m/>
    <m/>
    <m/>
    <m/>
    <m/>
    <m/>
  </r>
  <r>
    <x v="9"/>
    <x v="5"/>
    <m/>
    <m/>
    <m/>
    <m/>
    <m/>
    <m/>
    <m/>
  </r>
  <r>
    <x v="9"/>
    <x v="6"/>
    <m/>
    <m/>
    <m/>
    <m/>
    <m/>
    <m/>
    <m/>
  </r>
  <r>
    <x v="9"/>
    <x v="7"/>
    <m/>
    <m/>
    <m/>
    <m/>
    <m/>
    <m/>
    <m/>
  </r>
  <r>
    <x v="9"/>
    <x v="8"/>
    <m/>
    <m/>
    <m/>
    <m/>
    <m/>
    <m/>
    <m/>
  </r>
  <r>
    <x v="9"/>
    <x v="9"/>
    <m/>
    <m/>
    <m/>
    <m/>
    <m/>
    <m/>
    <m/>
  </r>
  <r>
    <x v="9"/>
    <x v="10"/>
    <m/>
    <m/>
    <m/>
    <m/>
    <m/>
    <m/>
    <m/>
  </r>
  <r>
    <x v="9"/>
    <x v="11"/>
    <m/>
    <m/>
    <m/>
    <m/>
    <m/>
    <m/>
    <m/>
  </r>
  <r>
    <x v="9"/>
    <x v="12"/>
    <m/>
    <m/>
    <m/>
    <m/>
    <m/>
    <m/>
    <m/>
  </r>
  <r>
    <x v="10"/>
    <x v="0"/>
    <m/>
    <m/>
    <m/>
    <m/>
    <m/>
    <m/>
    <m/>
  </r>
  <r>
    <x v="10"/>
    <x v="1"/>
    <m/>
    <m/>
    <m/>
    <m/>
    <n v="3"/>
    <n v="2"/>
    <m/>
  </r>
  <r>
    <x v="10"/>
    <x v="2"/>
    <m/>
    <m/>
    <m/>
    <m/>
    <n v="10"/>
    <n v="7"/>
    <m/>
  </r>
  <r>
    <x v="10"/>
    <x v="3"/>
    <m/>
    <m/>
    <m/>
    <m/>
    <n v="12"/>
    <n v="3"/>
    <m/>
  </r>
  <r>
    <x v="10"/>
    <x v="4"/>
    <m/>
    <m/>
    <m/>
    <n v="3"/>
    <n v="22"/>
    <n v="11"/>
    <m/>
  </r>
  <r>
    <x v="10"/>
    <x v="5"/>
    <m/>
    <m/>
    <m/>
    <n v="4"/>
    <n v="5"/>
    <n v="11"/>
    <m/>
  </r>
  <r>
    <x v="10"/>
    <x v="6"/>
    <m/>
    <m/>
    <m/>
    <m/>
    <n v="22"/>
    <n v="11"/>
    <m/>
  </r>
  <r>
    <x v="10"/>
    <x v="7"/>
    <m/>
    <m/>
    <m/>
    <m/>
    <n v="6"/>
    <n v="1"/>
    <m/>
  </r>
  <r>
    <x v="10"/>
    <x v="8"/>
    <m/>
    <m/>
    <m/>
    <m/>
    <n v="6"/>
    <n v="8"/>
    <m/>
  </r>
  <r>
    <x v="10"/>
    <x v="9"/>
    <m/>
    <m/>
    <m/>
    <n v="5"/>
    <n v="21"/>
    <n v="8"/>
    <m/>
  </r>
  <r>
    <x v="10"/>
    <x v="10"/>
    <m/>
    <m/>
    <m/>
    <m/>
    <n v="18"/>
    <n v="2"/>
    <m/>
  </r>
  <r>
    <x v="10"/>
    <x v="11"/>
    <m/>
    <m/>
    <m/>
    <m/>
    <n v="4"/>
    <n v="3"/>
    <m/>
  </r>
  <r>
    <x v="10"/>
    <x v="12"/>
    <m/>
    <m/>
    <m/>
    <m/>
    <m/>
    <m/>
    <m/>
  </r>
  <r>
    <x v="11"/>
    <x v="0"/>
    <m/>
    <m/>
    <m/>
    <m/>
    <m/>
    <m/>
    <m/>
  </r>
  <r>
    <x v="11"/>
    <x v="1"/>
    <m/>
    <m/>
    <m/>
    <m/>
    <m/>
    <m/>
    <m/>
  </r>
  <r>
    <x v="11"/>
    <x v="2"/>
    <m/>
    <m/>
    <m/>
    <m/>
    <m/>
    <m/>
    <m/>
  </r>
  <r>
    <x v="11"/>
    <x v="3"/>
    <m/>
    <m/>
    <m/>
    <m/>
    <m/>
    <m/>
    <m/>
  </r>
  <r>
    <x v="11"/>
    <x v="4"/>
    <m/>
    <m/>
    <m/>
    <m/>
    <m/>
    <m/>
    <m/>
  </r>
  <r>
    <x v="11"/>
    <x v="5"/>
    <m/>
    <m/>
    <m/>
    <m/>
    <m/>
    <m/>
    <m/>
  </r>
  <r>
    <x v="11"/>
    <x v="6"/>
    <m/>
    <m/>
    <m/>
    <m/>
    <m/>
    <m/>
    <m/>
  </r>
  <r>
    <x v="11"/>
    <x v="7"/>
    <m/>
    <m/>
    <n v="2"/>
    <m/>
    <m/>
    <m/>
    <m/>
  </r>
  <r>
    <x v="11"/>
    <x v="8"/>
    <m/>
    <m/>
    <m/>
    <m/>
    <m/>
    <m/>
    <m/>
  </r>
  <r>
    <x v="11"/>
    <x v="9"/>
    <m/>
    <m/>
    <n v="2"/>
    <m/>
    <m/>
    <m/>
    <m/>
  </r>
  <r>
    <x v="11"/>
    <x v="10"/>
    <m/>
    <m/>
    <m/>
    <m/>
    <m/>
    <m/>
    <m/>
  </r>
  <r>
    <x v="11"/>
    <x v="11"/>
    <m/>
    <m/>
    <m/>
    <m/>
    <m/>
    <m/>
    <m/>
  </r>
  <r>
    <x v="11"/>
    <x v="12"/>
    <m/>
    <m/>
    <m/>
    <m/>
    <m/>
    <m/>
    <m/>
  </r>
  <r>
    <x v="12"/>
    <x v="0"/>
    <m/>
    <m/>
    <m/>
    <m/>
    <m/>
    <m/>
    <m/>
  </r>
  <r>
    <x v="12"/>
    <x v="1"/>
    <m/>
    <m/>
    <n v="1"/>
    <m/>
    <m/>
    <m/>
    <m/>
  </r>
  <r>
    <x v="12"/>
    <x v="2"/>
    <m/>
    <m/>
    <n v="1"/>
    <m/>
    <m/>
    <m/>
    <m/>
  </r>
  <r>
    <x v="12"/>
    <x v="3"/>
    <m/>
    <m/>
    <n v="1"/>
    <m/>
    <m/>
    <m/>
    <m/>
  </r>
  <r>
    <x v="12"/>
    <x v="4"/>
    <m/>
    <m/>
    <n v="1"/>
    <m/>
    <m/>
    <m/>
    <m/>
  </r>
  <r>
    <x v="12"/>
    <x v="5"/>
    <m/>
    <m/>
    <m/>
    <m/>
    <m/>
    <m/>
    <m/>
  </r>
  <r>
    <x v="12"/>
    <x v="6"/>
    <m/>
    <m/>
    <n v="1"/>
    <m/>
    <m/>
    <m/>
    <m/>
  </r>
  <r>
    <x v="12"/>
    <x v="7"/>
    <m/>
    <m/>
    <m/>
    <m/>
    <m/>
    <m/>
    <m/>
  </r>
  <r>
    <x v="12"/>
    <x v="8"/>
    <m/>
    <m/>
    <n v="1"/>
    <m/>
    <m/>
    <m/>
    <m/>
  </r>
  <r>
    <x v="12"/>
    <x v="9"/>
    <m/>
    <m/>
    <n v="1"/>
    <m/>
    <m/>
    <m/>
    <m/>
  </r>
  <r>
    <x v="12"/>
    <x v="10"/>
    <m/>
    <m/>
    <n v="1"/>
    <m/>
    <m/>
    <m/>
    <m/>
  </r>
  <r>
    <x v="12"/>
    <x v="11"/>
    <m/>
    <m/>
    <m/>
    <m/>
    <m/>
    <m/>
    <m/>
  </r>
  <r>
    <x v="12"/>
    <x v="12"/>
    <m/>
    <m/>
    <m/>
    <m/>
    <m/>
    <m/>
    <m/>
  </r>
  <r>
    <x v="13"/>
    <x v="0"/>
    <m/>
    <m/>
    <m/>
    <m/>
    <m/>
    <m/>
    <m/>
  </r>
  <r>
    <x v="13"/>
    <x v="1"/>
    <m/>
    <m/>
    <m/>
    <m/>
    <m/>
    <m/>
    <m/>
  </r>
  <r>
    <x v="13"/>
    <x v="2"/>
    <m/>
    <m/>
    <m/>
    <m/>
    <m/>
    <m/>
    <m/>
  </r>
  <r>
    <x v="13"/>
    <x v="3"/>
    <m/>
    <m/>
    <m/>
    <m/>
    <m/>
    <m/>
    <m/>
  </r>
  <r>
    <x v="13"/>
    <x v="4"/>
    <m/>
    <m/>
    <m/>
    <m/>
    <m/>
    <m/>
    <m/>
  </r>
  <r>
    <x v="13"/>
    <x v="5"/>
    <m/>
    <m/>
    <m/>
    <m/>
    <m/>
    <m/>
    <m/>
  </r>
  <r>
    <x v="13"/>
    <x v="6"/>
    <m/>
    <m/>
    <m/>
    <m/>
    <m/>
    <m/>
    <m/>
  </r>
  <r>
    <x v="13"/>
    <x v="7"/>
    <m/>
    <m/>
    <m/>
    <m/>
    <m/>
    <m/>
    <m/>
  </r>
  <r>
    <x v="13"/>
    <x v="8"/>
    <m/>
    <m/>
    <m/>
    <m/>
    <m/>
    <m/>
    <m/>
  </r>
  <r>
    <x v="13"/>
    <x v="9"/>
    <m/>
    <m/>
    <m/>
    <m/>
    <m/>
    <m/>
    <m/>
  </r>
  <r>
    <x v="13"/>
    <x v="10"/>
    <m/>
    <m/>
    <m/>
    <m/>
    <m/>
    <m/>
    <m/>
  </r>
  <r>
    <x v="13"/>
    <x v="11"/>
    <m/>
    <m/>
    <m/>
    <m/>
    <m/>
    <m/>
    <m/>
  </r>
  <r>
    <x v="13"/>
    <x v="12"/>
    <m/>
    <m/>
    <m/>
    <m/>
    <m/>
    <m/>
    <m/>
  </r>
  <r>
    <x v="14"/>
    <x v="0"/>
    <m/>
    <m/>
    <m/>
    <m/>
    <m/>
    <m/>
    <m/>
  </r>
  <r>
    <x v="14"/>
    <x v="1"/>
    <m/>
    <m/>
    <m/>
    <m/>
    <m/>
    <m/>
    <m/>
  </r>
  <r>
    <x v="14"/>
    <x v="2"/>
    <m/>
    <m/>
    <m/>
    <m/>
    <m/>
    <m/>
    <m/>
  </r>
  <r>
    <x v="14"/>
    <x v="3"/>
    <m/>
    <m/>
    <m/>
    <m/>
    <m/>
    <m/>
    <m/>
  </r>
  <r>
    <x v="14"/>
    <x v="4"/>
    <m/>
    <m/>
    <n v="20"/>
    <m/>
    <m/>
    <m/>
    <m/>
  </r>
  <r>
    <x v="14"/>
    <x v="5"/>
    <m/>
    <m/>
    <n v="1"/>
    <m/>
    <m/>
    <m/>
    <m/>
  </r>
  <r>
    <x v="14"/>
    <x v="6"/>
    <m/>
    <m/>
    <m/>
    <m/>
    <m/>
    <m/>
    <m/>
  </r>
  <r>
    <x v="14"/>
    <x v="7"/>
    <m/>
    <m/>
    <m/>
    <m/>
    <m/>
    <m/>
    <m/>
  </r>
  <r>
    <x v="14"/>
    <x v="8"/>
    <m/>
    <m/>
    <m/>
    <m/>
    <m/>
    <m/>
    <m/>
  </r>
  <r>
    <x v="14"/>
    <x v="9"/>
    <m/>
    <m/>
    <n v="25"/>
    <m/>
    <m/>
    <m/>
    <m/>
  </r>
  <r>
    <x v="14"/>
    <x v="10"/>
    <m/>
    <m/>
    <m/>
    <m/>
    <m/>
    <m/>
    <m/>
  </r>
  <r>
    <x v="14"/>
    <x v="11"/>
    <m/>
    <m/>
    <n v="2"/>
    <m/>
    <m/>
    <m/>
    <m/>
  </r>
  <r>
    <x v="14"/>
    <x v="12"/>
    <m/>
    <m/>
    <m/>
    <m/>
    <m/>
    <m/>
    <m/>
  </r>
  <r>
    <x v="15"/>
    <x v="0"/>
    <m/>
    <m/>
    <m/>
    <m/>
    <m/>
    <m/>
    <m/>
  </r>
  <r>
    <x v="15"/>
    <x v="1"/>
    <m/>
    <m/>
    <n v="4"/>
    <m/>
    <m/>
    <m/>
    <m/>
  </r>
  <r>
    <x v="15"/>
    <x v="2"/>
    <m/>
    <m/>
    <n v="8"/>
    <m/>
    <m/>
    <m/>
    <m/>
  </r>
  <r>
    <x v="15"/>
    <x v="3"/>
    <m/>
    <m/>
    <n v="4"/>
    <m/>
    <m/>
    <m/>
    <m/>
  </r>
  <r>
    <x v="15"/>
    <x v="4"/>
    <m/>
    <m/>
    <n v="8"/>
    <m/>
    <m/>
    <m/>
    <m/>
  </r>
  <r>
    <x v="15"/>
    <x v="5"/>
    <m/>
    <m/>
    <n v="8"/>
    <m/>
    <m/>
    <m/>
    <m/>
  </r>
  <r>
    <x v="15"/>
    <x v="6"/>
    <m/>
    <m/>
    <n v="8"/>
    <m/>
    <m/>
    <m/>
    <m/>
  </r>
  <r>
    <x v="15"/>
    <x v="7"/>
    <m/>
    <m/>
    <n v="8"/>
    <m/>
    <m/>
    <m/>
    <m/>
  </r>
  <r>
    <x v="15"/>
    <x v="8"/>
    <m/>
    <m/>
    <n v="8"/>
    <m/>
    <m/>
    <m/>
    <m/>
  </r>
  <r>
    <x v="15"/>
    <x v="9"/>
    <m/>
    <m/>
    <n v="9"/>
    <m/>
    <m/>
    <m/>
    <m/>
  </r>
  <r>
    <x v="15"/>
    <x v="10"/>
    <m/>
    <m/>
    <n v="4"/>
    <m/>
    <m/>
    <m/>
    <m/>
  </r>
  <r>
    <x v="15"/>
    <x v="11"/>
    <m/>
    <m/>
    <n v="1"/>
    <m/>
    <m/>
    <m/>
    <m/>
  </r>
  <r>
    <x v="15"/>
    <x v="12"/>
    <m/>
    <m/>
    <m/>
    <m/>
    <m/>
    <m/>
    <m/>
  </r>
  <r>
    <x v="16"/>
    <x v="0"/>
    <m/>
    <m/>
    <m/>
    <m/>
    <m/>
    <m/>
    <m/>
  </r>
  <r>
    <x v="16"/>
    <x v="1"/>
    <m/>
    <n v="3"/>
    <m/>
    <m/>
    <m/>
    <m/>
    <m/>
  </r>
  <r>
    <x v="16"/>
    <x v="2"/>
    <m/>
    <n v="1"/>
    <m/>
    <m/>
    <m/>
    <m/>
    <m/>
  </r>
  <r>
    <x v="16"/>
    <x v="3"/>
    <m/>
    <n v="2"/>
    <n v="1"/>
    <m/>
    <m/>
    <m/>
    <m/>
  </r>
  <r>
    <x v="16"/>
    <x v="4"/>
    <m/>
    <n v="3"/>
    <m/>
    <m/>
    <m/>
    <m/>
    <m/>
  </r>
  <r>
    <x v="16"/>
    <x v="5"/>
    <m/>
    <n v="1"/>
    <m/>
    <m/>
    <m/>
    <m/>
    <m/>
  </r>
  <r>
    <x v="16"/>
    <x v="6"/>
    <m/>
    <n v="3"/>
    <n v="1"/>
    <m/>
    <m/>
    <m/>
    <m/>
  </r>
  <r>
    <x v="16"/>
    <x v="7"/>
    <m/>
    <n v="9"/>
    <m/>
    <m/>
    <m/>
    <m/>
    <m/>
  </r>
  <r>
    <x v="16"/>
    <x v="8"/>
    <m/>
    <m/>
    <m/>
    <m/>
    <m/>
    <m/>
    <m/>
  </r>
  <r>
    <x v="16"/>
    <x v="9"/>
    <m/>
    <n v="2"/>
    <m/>
    <m/>
    <m/>
    <m/>
    <m/>
  </r>
  <r>
    <x v="16"/>
    <x v="10"/>
    <m/>
    <m/>
    <m/>
    <m/>
    <m/>
    <m/>
    <m/>
  </r>
  <r>
    <x v="16"/>
    <x v="11"/>
    <m/>
    <m/>
    <m/>
    <m/>
    <m/>
    <m/>
    <m/>
  </r>
  <r>
    <x v="16"/>
    <x v="12"/>
    <m/>
    <m/>
    <m/>
    <m/>
    <m/>
    <m/>
    <m/>
  </r>
  <r>
    <x v="17"/>
    <x v="0"/>
    <m/>
    <m/>
    <m/>
    <m/>
    <m/>
    <m/>
    <m/>
  </r>
  <r>
    <x v="17"/>
    <x v="1"/>
    <m/>
    <m/>
    <m/>
    <m/>
    <m/>
    <m/>
    <m/>
  </r>
  <r>
    <x v="17"/>
    <x v="2"/>
    <m/>
    <m/>
    <m/>
    <m/>
    <m/>
    <m/>
    <m/>
  </r>
  <r>
    <x v="17"/>
    <x v="3"/>
    <m/>
    <m/>
    <n v="1"/>
    <m/>
    <m/>
    <m/>
    <m/>
  </r>
  <r>
    <x v="17"/>
    <x v="4"/>
    <m/>
    <m/>
    <n v="1"/>
    <m/>
    <m/>
    <m/>
    <m/>
  </r>
  <r>
    <x v="17"/>
    <x v="5"/>
    <m/>
    <m/>
    <m/>
    <m/>
    <m/>
    <m/>
    <m/>
  </r>
  <r>
    <x v="17"/>
    <x v="6"/>
    <m/>
    <m/>
    <n v="1"/>
    <m/>
    <m/>
    <m/>
    <m/>
  </r>
  <r>
    <x v="17"/>
    <x v="7"/>
    <m/>
    <m/>
    <m/>
    <m/>
    <m/>
    <m/>
    <m/>
  </r>
  <r>
    <x v="17"/>
    <x v="8"/>
    <m/>
    <m/>
    <n v="1"/>
    <m/>
    <m/>
    <m/>
    <m/>
  </r>
  <r>
    <x v="17"/>
    <x v="9"/>
    <m/>
    <m/>
    <m/>
    <m/>
    <m/>
    <m/>
    <m/>
  </r>
  <r>
    <x v="17"/>
    <x v="10"/>
    <m/>
    <m/>
    <m/>
    <m/>
    <m/>
    <m/>
    <m/>
  </r>
  <r>
    <x v="17"/>
    <x v="11"/>
    <m/>
    <m/>
    <m/>
    <m/>
    <m/>
    <m/>
    <m/>
  </r>
  <r>
    <x v="17"/>
    <x v="12"/>
    <m/>
    <m/>
    <m/>
    <m/>
    <m/>
    <m/>
    <m/>
  </r>
  <r>
    <x v="18"/>
    <x v="0"/>
    <m/>
    <m/>
    <n v="29"/>
    <m/>
    <n v="8"/>
    <m/>
    <m/>
  </r>
  <r>
    <x v="18"/>
    <x v="1"/>
    <m/>
    <n v="5"/>
    <n v="22"/>
    <m/>
    <n v="16"/>
    <n v="25"/>
    <m/>
  </r>
  <r>
    <x v="18"/>
    <x v="2"/>
    <m/>
    <n v="6"/>
    <n v="41"/>
    <n v="7"/>
    <n v="61"/>
    <n v="35"/>
    <m/>
  </r>
  <r>
    <x v="18"/>
    <x v="3"/>
    <m/>
    <n v="6"/>
    <n v="33"/>
    <m/>
    <n v="10"/>
    <n v="35"/>
    <m/>
  </r>
  <r>
    <x v="18"/>
    <x v="4"/>
    <m/>
    <n v="1"/>
    <n v="48"/>
    <m/>
    <n v="8"/>
    <n v="11"/>
    <m/>
  </r>
  <r>
    <x v="18"/>
    <x v="5"/>
    <m/>
    <n v="5"/>
    <n v="37"/>
    <n v="10"/>
    <n v="18"/>
    <n v="19"/>
    <m/>
  </r>
  <r>
    <x v="18"/>
    <x v="6"/>
    <m/>
    <n v="1"/>
    <n v="27"/>
    <m/>
    <n v="0"/>
    <n v="4"/>
    <m/>
  </r>
  <r>
    <x v="18"/>
    <x v="7"/>
    <m/>
    <n v="5"/>
    <n v="31"/>
    <n v="10"/>
    <n v="8"/>
    <n v="14"/>
    <m/>
  </r>
  <r>
    <x v="18"/>
    <x v="8"/>
    <n v="4"/>
    <n v="6"/>
    <n v="6"/>
    <m/>
    <n v="0"/>
    <n v="44"/>
    <m/>
  </r>
  <r>
    <x v="18"/>
    <x v="9"/>
    <m/>
    <n v="1"/>
    <n v="37"/>
    <n v="10"/>
    <n v="10"/>
    <n v="4"/>
    <m/>
  </r>
  <r>
    <x v="18"/>
    <x v="10"/>
    <m/>
    <n v="7"/>
    <n v="52"/>
    <m/>
    <n v="9"/>
    <n v="13"/>
    <m/>
  </r>
  <r>
    <x v="18"/>
    <x v="11"/>
    <m/>
    <m/>
    <m/>
    <m/>
    <n v="0"/>
    <n v="1"/>
    <m/>
  </r>
  <r>
    <x v="18"/>
    <x v="12"/>
    <m/>
    <m/>
    <m/>
    <m/>
    <n v="0"/>
    <m/>
    <m/>
  </r>
  <r>
    <x v="19"/>
    <x v="0"/>
    <m/>
    <m/>
    <n v="2"/>
    <m/>
    <m/>
    <n v="2"/>
    <m/>
  </r>
  <r>
    <x v="19"/>
    <x v="1"/>
    <m/>
    <m/>
    <n v="6"/>
    <m/>
    <m/>
    <n v="7"/>
    <m/>
  </r>
  <r>
    <x v="19"/>
    <x v="2"/>
    <m/>
    <m/>
    <n v="10"/>
    <m/>
    <m/>
    <n v="7"/>
    <m/>
  </r>
  <r>
    <x v="19"/>
    <x v="3"/>
    <m/>
    <m/>
    <n v="3"/>
    <m/>
    <m/>
    <n v="7"/>
    <m/>
  </r>
  <r>
    <x v="19"/>
    <x v="4"/>
    <m/>
    <m/>
    <n v="12"/>
    <m/>
    <m/>
    <n v="7"/>
    <m/>
  </r>
  <r>
    <x v="19"/>
    <x v="5"/>
    <m/>
    <m/>
    <n v="10"/>
    <m/>
    <m/>
    <n v="8"/>
    <m/>
  </r>
  <r>
    <x v="19"/>
    <x v="6"/>
    <m/>
    <m/>
    <n v="11"/>
    <m/>
    <m/>
    <n v="7"/>
    <m/>
  </r>
  <r>
    <x v="19"/>
    <x v="7"/>
    <m/>
    <m/>
    <n v="10"/>
    <m/>
    <m/>
    <n v="9"/>
    <m/>
  </r>
  <r>
    <x v="19"/>
    <x v="8"/>
    <m/>
    <m/>
    <n v="12"/>
    <m/>
    <m/>
    <n v="8"/>
    <m/>
  </r>
  <r>
    <x v="19"/>
    <x v="9"/>
    <m/>
    <m/>
    <n v="10"/>
    <m/>
    <m/>
    <n v="7"/>
    <m/>
  </r>
  <r>
    <x v="19"/>
    <x v="10"/>
    <m/>
    <m/>
    <n v="7"/>
    <m/>
    <m/>
    <n v="14"/>
    <m/>
  </r>
  <r>
    <x v="19"/>
    <x v="11"/>
    <m/>
    <m/>
    <n v="0"/>
    <m/>
    <m/>
    <n v="0"/>
    <m/>
  </r>
  <r>
    <x v="19"/>
    <x v="12"/>
    <m/>
    <m/>
    <n v="0"/>
    <m/>
    <m/>
    <n v="0"/>
    <m/>
  </r>
  <r>
    <x v="20"/>
    <x v="0"/>
    <m/>
    <m/>
    <m/>
    <m/>
    <m/>
    <m/>
    <m/>
  </r>
  <r>
    <x v="20"/>
    <x v="1"/>
    <m/>
    <m/>
    <m/>
    <m/>
    <m/>
    <m/>
    <m/>
  </r>
  <r>
    <x v="20"/>
    <x v="2"/>
    <n v="1"/>
    <m/>
    <m/>
    <m/>
    <m/>
    <m/>
    <m/>
  </r>
  <r>
    <x v="20"/>
    <x v="3"/>
    <m/>
    <m/>
    <m/>
    <m/>
    <m/>
    <m/>
    <m/>
  </r>
  <r>
    <x v="20"/>
    <x v="4"/>
    <m/>
    <m/>
    <m/>
    <m/>
    <m/>
    <m/>
    <m/>
  </r>
  <r>
    <x v="20"/>
    <x v="5"/>
    <m/>
    <m/>
    <m/>
    <m/>
    <m/>
    <m/>
    <m/>
  </r>
  <r>
    <x v="20"/>
    <x v="6"/>
    <m/>
    <m/>
    <m/>
    <m/>
    <m/>
    <m/>
    <m/>
  </r>
  <r>
    <x v="20"/>
    <x v="7"/>
    <m/>
    <m/>
    <m/>
    <m/>
    <m/>
    <m/>
    <m/>
  </r>
  <r>
    <x v="20"/>
    <x v="8"/>
    <m/>
    <m/>
    <m/>
    <m/>
    <m/>
    <m/>
    <m/>
  </r>
  <r>
    <x v="20"/>
    <x v="9"/>
    <m/>
    <m/>
    <m/>
    <m/>
    <m/>
    <m/>
    <m/>
  </r>
  <r>
    <x v="20"/>
    <x v="10"/>
    <m/>
    <m/>
    <m/>
    <m/>
    <m/>
    <m/>
    <m/>
  </r>
  <r>
    <x v="20"/>
    <x v="11"/>
    <m/>
    <m/>
    <m/>
    <m/>
    <m/>
    <m/>
    <m/>
  </r>
  <r>
    <x v="20"/>
    <x v="12"/>
    <m/>
    <m/>
    <m/>
    <m/>
    <m/>
    <m/>
    <m/>
  </r>
  <r>
    <x v="21"/>
    <x v="0"/>
    <m/>
    <m/>
    <m/>
    <m/>
    <m/>
    <m/>
    <m/>
  </r>
  <r>
    <x v="21"/>
    <x v="1"/>
    <m/>
    <m/>
    <m/>
    <n v="2"/>
    <m/>
    <m/>
    <m/>
  </r>
  <r>
    <x v="21"/>
    <x v="2"/>
    <m/>
    <m/>
    <m/>
    <n v="3"/>
    <m/>
    <m/>
    <m/>
  </r>
  <r>
    <x v="21"/>
    <x v="3"/>
    <m/>
    <m/>
    <m/>
    <m/>
    <m/>
    <m/>
    <m/>
  </r>
  <r>
    <x v="21"/>
    <x v="4"/>
    <m/>
    <m/>
    <m/>
    <n v="2"/>
    <m/>
    <m/>
    <m/>
  </r>
  <r>
    <x v="21"/>
    <x v="5"/>
    <m/>
    <m/>
    <m/>
    <n v="2"/>
    <m/>
    <m/>
    <m/>
  </r>
  <r>
    <x v="21"/>
    <x v="6"/>
    <m/>
    <m/>
    <m/>
    <n v="3"/>
    <m/>
    <m/>
    <m/>
  </r>
  <r>
    <x v="21"/>
    <x v="7"/>
    <m/>
    <m/>
    <m/>
    <m/>
    <m/>
    <m/>
    <m/>
  </r>
  <r>
    <x v="21"/>
    <x v="8"/>
    <m/>
    <m/>
    <m/>
    <n v="3"/>
    <m/>
    <m/>
    <m/>
  </r>
  <r>
    <x v="21"/>
    <x v="9"/>
    <m/>
    <m/>
    <m/>
    <n v="2"/>
    <m/>
    <m/>
    <m/>
  </r>
  <r>
    <x v="21"/>
    <x v="10"/>
    <m/>
    <m/>
    <m/>
    <n v="2"/>
    <m/>
    <m/>
    <m/>
  </r>
  <r>
    <x v="21"/>
    <x v="11"/>
    <m/>
    <m/>
    <m/>
    <m/>
    <m/>
    <m/>
    <m/>
  </r>
  <r>
    <x v="21"/>
    <x v="12"/>
    <m/>
    <m/>
    <m/>
    <m/>
    <m/>
    <m/>
    <m/>
  </r>
  <r>
    <x v="22"/>
    <x v="0"/>
    <m/>
    <m/>
    <m/>
    <m/>
    <m/>
    <m/>
    <m/>
  </r>
  <r>
    <x v="22"/>
    <x v="1"/>
    <m/>
    <m/>
    <n v="1"/>
    <m/>
    <m/>
    <m/>
    <m/>
  </r>
  <r>
    <x v="22"/>
    <x v="2"/>
    <m/>
    <m/>
    <m/>
    <m/>
    <m/>
    <m/>
    <m/>
  </r>
  <r>
    <x v="22"/>
    <x v="3"/>
    <m/>
    <m/>
    <n v="1"/>
    <m/>
    <m/>
    <m/>
    <m/>
  </r>
  <r>
    <x v="22"/>
    <x v="4"/>
    <m/>
    <m/>
    <m/>
    <m/>
    <m/>
    <m/>
    <m/>
  </r>
  <r>
    <x v="22"/>
    <x v="5"/>
    <m/>
    <m/>
    <m/>
    <m/>
    <m/>
    <m/>
    <m/>
  </r>
  <r>
    <x v="22"/>
    <x v="6"/>
    <m/>
    <m/>
    <m/>
    <m/>
    <m/>
    <m/>
    <m/>
  </r>
  <r>
    <x v="22"/>
    <x v="7"/>
    <m/>
    <m/>
    <n v="1"/>
    <m/>
    <m/>
    <m/>
    <m/>
  </r>
  <r>
    <x v="22"/>
    <x v="8"/>
    <m/>
    <m/>
    <m/>
    <m/>
    <m/>
    <m/>
    <m/>
  </r>
  <r>
    <x v="22"/>
    <x v="9"/>
    <m/>
    <m/>
    <m/>
    <m/>
    <m/>
    <m/>
    <m/>
  </r>
  <r>
    <x v="22"/>
    <x v="10"/>
    <m/>
    <m/>
    <m/>
    <m/>
    <m/>
    <m/>
    <m/>
  </r>
  <r>
    <x v="22"/>
    <x v="11"/>
    <m/>
    <m/>
    <m/>
    <m/>
    <m/>
    <m/>
    <m/>
  </r>
  <r>
    <x v="22"/>
    <x v="12"/>
    <m/>
    <m/>
    <m/>
    <m/>
    <m/>
    <m/>
    <m/>
  </r>
  <r>
    <x v="23"/>
    <x v="0"/>
    <m/>
    <m/>
    <m/>
    <m/>
    <m/>
    <m/>
    <m/>
  </r>
  <r>
    <x v="23"/>
    <x v="1"/>
    <m/>
    <m/>
    <m/>
    <m/>
    <m/>
    <m/>
    <m/>
  </r>
  <r>
    <x v="23"/>
    <x v="2"/>
    <m/>
    <m/>
    <m/>
    <m/>
    <m/>
    <m/>
    <m/>
  </r>
  <r>
    <x v="23"/>
    <x v="3"/>
    <m/>
    <m/>
    <m/>
    <m/>
    <m/>
    <m/>
    <m/>
  </r>
  <r>
    <x v="23"/>
    <x v="4"/>
    <m/>
    <m/>
    <m/>
    <m/>
    <m/>
    <m/>
    <m/>
  </r>
  <r>
    <x v="23"/>
    <x v="5"/>
    <m/>
    <m/>
    <m/>
    <m/>
    <m/>
    <m/>
    <m/>
  </r>
  <r>
    <x v="23"/>
    <x v="6"/>
    <m/>
    <m/>
    <m/>
    <m/>
    <m/>
    <m/>
    <m/>
  </r>
  <r>
    <x v="23"/>
    <x v="7"/>
    <m/>
    <m/>
    <m/>
    <m/>
    <m/>
    <m/>
    <m/>
  </r>
  <r>
    <x v="23"/>
    <x v="8"/>
    <m/>
    <m/>
    <m/>
    <m/>
    <m/>
    <m/>
    <m/>
  </r>
  <r>
    <x v="23"/>
    <x v="9"/>
    <m/>
    <m/>
    <m/>
    <m/>
    <m/>
    <m/>
    <m/>
  </r>
  <r>
    <x v="23"/>
    <x v="10"/>
    <m/>
    <m/>
    <m/>
    <m/>
    <m/>
    <m/>
    <m/>
  </r>
  <r>
    <x v="23"/>
    <x v="11"/>
    <m/>
    <m/>
    <m/>
    <m/>
    <m/>
    <m/>
    <m/>
  </r>
  <r>
    <x v="23"/>
    <x v="12"/>
    <m/>
    <m/>
    <m/>
    <m/>
    <m/>
    <m/>
    <m/>
  </r>
  <r>
    <x v="24"/>
    <x v="0"/>
    <m/>
    <m/>
    <m/>
    <m/>
    <m/>
    <m/>
    <m/>
  </r>
  <r>
    <x v="24"/>
    <x v="1"/>
    <m/>
    <n v="3"/>
    <n v="6"/>
    <n v="2"/>
    <n v="1"/>
    <n v="4"/>
    <m/>
  </r>
  <r>
    <x v="24"/>
    <x v="2"/>
    <m/>
    <n v="1"/>
    <n v="6"/>
    <n v="3"/>
    <n v="1"/>
    <n v="1"/>
    <m/>
  </r>
  <r>
    <x v="24"/>
    <x v="3"/>
    <m/>
    <n v="2"/>
    <n v="4"/>
    <m/>
    <m/>
    <m/>
    <m/>
  </r>
  <r>
    <x v="24"/>
    <x v="4"/>
    <m/>
    <n v="3"/>
    <n v="2"/>
    <n v="2"/>
    <n v="1"/>
    <n v="1"/>
    <m/>
  </r>
  <r>
    <x v="24"/>
    <x v="5"/>
    <m/>
    <n v="1"/>
    <n v="2"/>
    <n v="2"/>
    <n v="1"/>
    <n v="1"/>
    <m/>
  </r>
  <r>
    <x v="24"/>
    <x v="6"/>
    <m/>
    <n v="3"/>
    <n v="4"/>
    <n v="3"/>
    <n v="1"/>
    <n v="1"/>
    <m/>
  </r>
  <r>
    <x v="24"/>
    <x v="7"/>
    <n v="1"/>
    <n v="9"/>
    <n v="6"/>
    <m/>
    <n v="1"/>
    <n v="2"/>
    <m/>
  </r>
  <r>
    <x v="24"/>
    <x v="8"/>
    <m/>
    <m/>
    <n v="3"/>
    <n v="3"/>
    <n v="1"/>
    <n v="1"/>
    <m/>
  </r>
  <r>
    <x v="24"/>
    <x v="9"/>
    <m/>
    <n v="2"/>
    <n v="4"/>
    <n v="2"/>
    <n v="1"/>
    <n v="2"/>
    <m/>
  </r>
  <r>
    <x v="24"/>
    <x v="10"/>
    <m/>
    <m/>
    <n v="1"/>
    <n v="2"/>
    <m/>
    <n v="1"/>
    <m/>
  </r>
  <r>
    <x v="24"/>
    <x v="11"/>
    <m/>
    <m/>
    <m/>
    <m/>
    <m/>
    <m/>
    <m/>
  </r>
  <r>
    <x v="24"/>
    <x v="12"/>
    <m/>
    <m/>
    <m/>
    <m/>
    <m/>
    <m/>
    <m/>
  </r>
  <r>
    <x v="25"/>
    <x v="0"/>
    <n v="0"/>
    <n v="0"/>
    <n v="0"/>
    <n v="0"/>
    <n v="0"/>
    <n v="0"/>
    <m/>
  </r>
  <r>
    <x v="25"/>
    <x v="1"/>
    <n v="0"/>
    <n v="6"/>
    <n v="25"/>
    <n v="2"/>
    <n v="3"/>
    <n v="16"/>
    <m/>
  </r>
  <r>
    <x v="25"/>
    <x v="2"/>
    <n v="0"/>
    <n v="10"/>
    <n v="47"/>
    <n v="8"/>
    <n v="6"/>
    <n v="24"/>
    <m/>
  </r>
  <r>
    <x v="25"/>
    <x v="3"/>
    <n v="0"/>
    <n v="3"/>
    <n v="50"/>
    <n v="3"/>
    <n v="0"/>
    <n v="4"/>
    <m/>
  </r>
  <r>
    <x v="25"/>
    <x v="4"/>
    <n v="0"/>
    <n v="9"/>
    <n v="46"/>
    <n v="7"/>
    <n v="4"/>
    <n v="33"/>
    <m/>
  </r>
  <r>
    <x v="25"/>
    <x v="5"/>
    <n v="0"/>
    <n v="10"/>
    <n v="37"/>
    <n v="7"/>
    <n v="4"/>
    <n v="33"/>
    <m/>
  </r>
  <r>
    <x v="25"/>
    <x v="6"/>
    <n v="0"/>
    <n v="10"/>
    <n v="34"/>
    <n v="8"/>
    <n v="5"/>
    <n v="25"/>
    <m/>
  </r>
  <r>
    <x v="25"/>
    <x v="7"/>
    <n v="0"/>
    <n v="7"/>
    <n v="43"/>
    <n v="2"/>
    <n v="3"/>
    <n v="34"/>
    <m/>
  </r>
  <r>
    <x v="25"/>
    <x v="8"/>
    <n v="0"/>
    <n v="9"/>
    <n v="32"/>
    <n v="6"/>
    <n v="4"/>
    <n v="32"/>
    <m/>
  </r>
  <r>
    <x v="25"/>
    <x v="9"/>
    <n v="0"/>
    <n v="8"/>
    <n v="39"/>
    <n v="6"/>
    <n v="6"/>
    <n v="31"/>
    <m/>
  </r>
  <r>
    <x v="25"/>
    <x v="10"/>
    <n v="0"/>
    <n v="6"/>
    <n v="34"/>
    <n v="0"/>
    <n v="0"/>
    <n v="23"/>
    <m/>
  </r>
  <r>
    <x v="25"/>
    <x v="11"/>
    <n v="0"/>
    <n v="0"/>
    <n v="4"/>
    <n v="1"/>
    <n v="0"/>
    <n v="8"/>
    <m/>
  </r>
  <r>
    <x v="25"/>
    <x v="12"/>
    <n v="0"/>
    <n v="0"/>
    <n v="2"/>
    <n v="2"/>
    <n v="0"/>
    <n v="0"/>
    <m/>
  </r>
  <r>
    <x v="26"/>
    <x v="0"/>
    <m/>
    <m/>
    <m/>
    <m/>
    <m/>
    <m/>
    <m/>
  </r>
  <r>
    <x v="26"/>
    <x v="1"/>
    <m/>
    <m/>
    <n v="2"/>
    <m/>
    <m/>
    <n v="2"/>
    <m/>
  </r>
  <r>
    <x v="26"/>
    <x v="2"/>
    <m/>
    <m/>
    <m/>
    <m/>
    <m/>
    <n v="1"/>
    <m/>
  </r>
  <r>
    <x v="26"/>
    <x v="3"/>
    <m/>
    <m/>
    <n v="1"/>
    <m/>
    <m/>
    <m/>
    <m/>
  </r>
  <r>
    <x v="26"/>
    <x v="4"/>
    <m/>
    <m/>
    <m/>
    <m/>
    <m/>
    <n v="2"/>
    <m/>
  </r>
  <r>
    <x v="26"/>
    <x v="5"/>
    <m/>
    <m/>
    <n v="1"/>
    <m/>
    <m/>
    <n v="2"/>
    <m/>
  </r>
  <r>
    <x v="26"/>
    <x v="6"/>
    <m/>
    <m/>
    <n v="2"/>
    <m/>
    <m/>
    <n v="1"/>
    <m/>
  </r>
  <r>
    <x v="26"/>
    <x v="7"/>
    <m/>
    <m/>
    <m/>
    <m/>
    <m/>
    <n v="2"/>
    <m/>
  </r>
  <r>
    <x v="26"/>
    <x v="8"/>
    <m/>
    <m/>
    <n v="2"/>
    <m/>
    <m/>
    <n v="1"/>
    <m/>
  </r>
  <r>
    <x v="26"/>
    <x v="9"/>
    <m/>
    <m/>
    <n v="3"/>
    <m/>
    <m/>
    <n v="1"/>
    <m/>
  </r>
  <r>
    <x v="26"/>
    <x v="10"/>
    <m/>
    <m/>
    <n v="2"/>
    <m/>
    <m/>
    <n v="2"/>
    <m/>
  </r>
  <r>
    <x v="26"/>
    <x v="11"/>
    <m/>
    <m/>
    <m/>
    <m/>
    <m/>
    <m/>
    <m/>
  </r>
  <r>
    <x v="26"/>
    <x v="12"/>
    <m/>
    <m/>
    <m/>
    <m/>
    <m/>
    <m/>
    <m/>
  </r>
  <r>
    <x v="27"/>
    <x v="0"/>
    <m/>
    <m/>
    <m/>
    <m/>
    <m/>
    <m/>
    <m/>
  </r>
  <r>
    <x v="27"/>
    <x v="1"/>
    <m/>
    <m/>
    <m/>
    <m/>
    <n v="1"/>
    <m/>
    <m/>
  </r>
  <r>
    <x v="27"/>
    <x v="2"/>
    <m/>
    <m/>
    <m/>
    <m/>
    <n v="1"/>
    <m/>
    <m/>
  </r>
  <r>
    <x v="27"/>
    <x v="3"/>
    <m/>
    <m/>
    <m/>
    <m/>
    <m/>
    <m/>
    <m/>
  </r>
  <r>
    <x v="27"/>
    <x v="4"/>
    <m/>
    <m/>
    <m/>
    <m/>
    <n v="1"/>
    <m/>
    <m/>
  </r>
  <r>
    <x v="27"/>
    <x v="5"/>
    <m/>
    <m/>
    <m/>
    <m/>
    <n v="1"/>
    <m/>
    <m/>
  </r>
  <r>
    <x v="27"/>
    <x v="6"/>
    <m/>
    <m/>
    <m/>
    <m/>
    <n v="1"/>
    <m/>
    <m/>
  </r>
  <r>
    <x v="27"/>
    <x v="7"/>
    <m/>
    <m/>
    <m/>
    <m/>
    <n v="1"/>
    <m/>
    <m/>
  </r>
  <r>
    <x v="27"/>
    <x v="8"/>
    <m/>
    <m/>
    <m/>
    <m/>
    <n v="1"/>
    <m/>
    <m/>
  </r>
  <r>
    <x v="27"/>
    <x v="9"/>
    <m/>
    <m/>
    <m/>
    <m/>
    <n v="1"/>
    <m/>
    <m/>
  </r>
  <r>
    <x v="27"/>
    <x v="10"/>
    <m/>
    <m/>
    <m/>
    <m/>
    <m/>
    <m/>
    <m/>
  </r>
  <r>
    <x v="27"/>
    <x v="11"/>
    <m/>
    <m/>
    <m/>
    <m/>
    <m/>
    <m/>
    <m/>
  </r>
  <r>
    <x v="27"/>
    <x v="12"/>
    <m/>
    <m/>
    <m/>
    <m/>
    <m/>
    <m/>
    <m/>
  </r>
  <r>
    <x v="28"/>
    <x v="0"/>
    <m/>
    <m/>
    <n v="1"/>
    <m/>
    <m/>
    <m/>
    <m/>
  </r>
  <r>
    <x v="28"/>
    <x v="1"/>
    <m/>
    <m/>
    <n v="2"/>
    <m/>
    <m/>
    <m/>
    <m/>
  </r>
  <r>
    <x v="28"/>
    <x v="2"/>
    <m/>
    <m/>
    <n v="1"/>
    <m/>
    <m/>
    <m/>
    <m/>
  </r>
  <r>
    <x v="28"/>
    <x v="3"/>
    <m/>
    <m/>
    <m/>
    <m/>
    <m/>
    <m/>
    <m/>
  </r>
  <r>
    <x v="28"/>
    <x v="4"/>
    <m/>
    <n v="2"/>
    <m/>
    <m/>
    <m/>
    <m/>
    <m/>
  </r>
  <r>
    <x v="28"/>
    <x v="5"/>
    <m/>
    <n v="2"/>
    <m/>
    <m/>
    <m/>
    <m/>
    <m/>
  </r>
  <r>
    <x v="28"/>
    <x v="6"/>
    <m/>
    <n v="2"/>
    <m/>
    <m/>
    <m/>
    <m/>
    <m/>
  </r>
  <r>
    <x v="28"/>
    <x v="7"/>
    <m/>
    <m/>
    <m/>
    <m/>
    <m/>
    <m/>
    <m/>
  </r>
  <r>
    <x v="28"/>
    <x v="8"/>
    <m/>
    <n v="2"/>
    <n v="2"/>
    <m/>
    <m/>
    <m/>
    <m/>
  </r>
  <r>
    <x v="28"/>
    <x v="9"/>
    <m/>
    <m/>
    <m/>
    <m/>
    <m/>
    <m/>
    <m/>
  </r>
  <r>
    <x v="28"/>
    <x v="10"/>
    <m/>
    <n v="2"/>
    <n v="1"/>
    <m/>
    <m/>
    <m/>
    <m/>
  </r>
  <r>
    <x v="28"/>
    <x v="11"/>
    <m/>
    <m/>
    <m/>
    <m/>
    <m/>
    <m/>
    <m/>
  </r>
  <r>
    <x v="28"/>
    <x v="12"/>
    <m/>
    <m/>
    <m/>
    <m/>
    <m/>
    <m/>
    <m/>
  </r>
  <r>
    <x v="29"/>
    <x v="0"/>
    <m/>
    <m/>
    <m/>
    <m/>
    <m/>
    <m/>
    <m/>
  </r>
  <r>
    <x v="29"/>
    <x v="1"/>
    <m/>
    <m/>
    <m/>
    <m/>
    <m/>
    <n v="1"/>
    <m/>
  </r>
  <r>
    <x v="29"/>
    <x v="2"/>
    <m/>
    <m/>
    <m/>
    <m/>
    <m/>
    <n v="1"/>
    <m/>
  </r>
  <r>
    <x v="29"/>
    <x v="3"/>
    <m/>
    <m/>
    <m/>
    <m/>
    <m/>
    <m/>
    <m/>
  </r>
  <r>
    <x v="29"/>
    <x v="4"/>
    <m/>
    <m/>
    <m/>
    <m/>
    <m/>
    <n v="1"/>
    <m/>
  </r>
  <r>
    <x v="29"/>
    <x v="5"/>
    <m/>
    <m/>
    <m/>
    <m/>
    <m/>
    <n v="1"/>
    <m/>
  </r>
  <r>
    <x v="29"/>
    <x v="6"/>
    <m/>
    <m/>
    <m/>
    <m/>
    <m/>
    <n v="1"/>
    <m/>
  </r>
  <r>
    <x v="29"/>
    <x v="7"/>
    <m/>
    <m/>
    <m/>
    <m/>
    <m/>
    <n v="1"/>
    <m/>
  </r>
  <r>
    <x v="29"/>
    <x v="8"/>
    <m/>
    <m/>
    <m/>
    <m/>
    <m/>
    <n v="1"/>
    <m/>
  </r>
  <r>
    <x v="29"/>
    <x v="9"/>
    <m/>
    <m/>
    <m/>
    <m/>
    <m/>
    <m/>
    <m/>
  </r>
  <r>
    <x v="29"/>
    <x v="10"/>
    <m/>
    <m/>
    <m/>
    <m/>
    <m/>
    <n v="1"/>
    <m/>
  </r>
  <r>
    <x v="29"/>
    <x v="11"/>
    <m/>
    <m/>
    <m/>
    <m/>
    <m/>
    <m/>
    <m/>
  </r>
  <r>
    <x v="29"/>
    <x v="12"/>
    <m/>
    <m/>
    <m/>
    <m/>
    <m/>
    <m/>
    <m/>
  </r>
  <r>
    <x v="30"/>
    <x v="0"/>
    <m/>
    <n v="1"/>
    <m/>
    <m/>
    <m/>
    <m/>
    <m/>
  </r>
  <r>
    <x v="30"/>
    <x v="1"/>
    <m/>
    <n v="1"/>
    <m/>
    <m/>
    <m/>
    <m/>
    <m/>
  </r>
  <r>
    <x v="30"/>
    <x v="2"/>
    <m/>
    <n v="1"/>
    <m/>
    <m/>
    <m/>
    <m/>
    <m/>
  </r>
  <r>
    <x v="30"/>
    <x v="3"/>
    <m/>
    <n v="1"/>
    <m/>
    <m/>
    <m/>
    <m/>
    <m/>
  </r>
  <r>
    <x v="30"/>
    <x v="4"/>
    <m/>
    <m/>
    <m/>
    <m/>
    <m/>
    <m/>
    <m/>
  </r>
  <r>
    <x v="30"/>
    <x v="5"/>
    <m/>
    <n v="1"/>
    <m/>
    <m/>
    <m/>
    <m/>
    <m/>
  </r>
  <r>
    <x v="30"/>
    <x v="6"/>
    <m/>
    <n v="1"/>
    <m/>
    <m/>
    <m/>
    <m/>
    <m/>
  </r>
  <r>
    <x v="30"/>
    <x v="7"/>
    <m/>
    <m/>
    <m/>
    <m/>
    <m/>
    <m/>
    <m/>
  </r>
  <r>
    <x v="30"/>
    <x v="8"/>
    <m/>
    <n v="1"/>
    <m/>
    <m/>
    <m/>
    <m/>
    <m/>
  </r>
  <r>
    <x v="30"/>
    <x v="9"/>
    <m/>
    <n v="1"/>
    <m/>
    <m/>
    <m/>
    <m/>
    <m/>
  </r>
  <r>
    <x v="30"/>
    <x v="10"/>
    <m/>
    <n v="1"/>
    <m/>
    <m/>
    <m/>
    <m/>
    <m/>
  </r>
  <r>
    <x v="30"/>
    <x v="11"/>
    <m/>
    <m/>
    <m/>
    <m/>
    <m/>
    <m/>
    <m/>
  </r>
  <r>
    <x v="30"/>
    <x v="12"/>
    <m/>
    <m/>
    <m/>
    <m/>
    <m/>
    <m/>
    <m/>
  </r>
  <r>
    <x v="31"/>
    <x v="0"/>
    <m/>
    <m/>
    <m/>
    <m/>
    <m/>
    <m/>
    <m/>
  </r>
  <r>
    <x v="31"/>
    <x v="1"/>
    <m/>
    <m/>
    <n v="2"/>
    <m/>
    <m/>
    <m/>
    <m/>
  </r>
  <r>
    <x v="31"/>
    <x v="2"/>
    <m/>
    <m/>
    <n v="2"/>
    <m/>
    <m/>
    <m/>
    <m/>
  </r>
  <r>
    <x v="31"/>
    <x v="3"/>
    <m/>
    <m/>
    <n v="2"/>
    <m/>
    <m/>
    <m/>
    <m/>
  </r>
  <r>
    <x v="31"/>
    <x v="4"/>
    <m/>
    <m/>
    <n v="2"/>
    <m/>
    <m/>
    <m/>
    <m/>
  </r>
  <r>
    <x v="31"/>
    <x v="5"/>
    <m/>
    <m/>
    <m/>
    <m/>
    <m/>
    <m/>
    <m/>
  </r>
  <r>
    <x v="31"/>
    <x v="6"/>
    <m/>
    <m/>
    <n v="2"/>
    <m/>
    <m/>
    <m/>
    <m/>
  </r>
  <r>
    <x v="31"/>
    <x v="7"/>
    <m/>
    <m/>
    <n v="2"/>
    <m/>
    <m/>
    <m/>
    <m/>
  </r>
  <r>
    <x v="31"/>
    <x v="8"/>
    <m/>
    <m/>
    <n v="4"/>
    <m/>
    <m/>
    <m/>
    <m/>
  </r>
  <r>
    <x v="31"/>
    <x v="9"/>
    <m/>
    <m/>
    <n v="2"/>
    <m/>
    <m/>
    <m/>
    <m/>
  </r>
  <r>
    <x v="31"/>
    <x v="10"/>
    <m/>
    <m/>
    <m/>
    <m/>
    <m/>
    <m/>
    <m/>
  </r>
  <r>
    <x v="31"/>
    <x v="11"/>
    <m/>
    <m/>
    <m/>
    <m/>
    <m/>
    <m/>
    <m/>
  </r>
  <r>
    <x v="31"/>
    <x v="12"/>
    <m/>
    <m/>
    <m/>
    <m/>
    <m/>
    <m/>
    <m/>
  </r>
  <r>
    <x v="32"/>
    <x v="0"/>
    <m/>
    <m/>
    <n v="2"/>
    <m/>
    <m/>
    <m/>
    <m/>
  </r>
  <r>
    <x v="32"/>
    <x v="1"/>
    <m/>
    <m/>
    <n v="2"/>
    <m/>
    <m/>
    <m/>
    <m/>
  </r>
  <r>
    <x v="32"/>
    <x v="2"/>
    <m/>
    <m/>
    <n v="6"/>
    <m/>
    <m/>
    <m/>
    <m/>
  </r>
  <r>
    <x v="32"/>
    <x v="3"/>
    <m/>
    <m/>
    <n v="3"/>
    <m/>
    <m/>
    <m/>
    <m/>
  </r>
  <r>
    <x v="32"/>
    <x v="4"/>
    <m/>
    <m/>
    <n v="8"/>
    <m/>
    <m/>
    <m/>
    <m/>
  </r>
  <r>
    <x v="32"/>
    <x v="5"/>
    <m/>
    <m/>
    <n v="6"/>
    <m/>
    <m/>
    <m/>
    <m/>
  </r>
  <r>
    <x v="32"/>
    <x v="6"/>
    <m/>
    <m/>
    <n v="6"/>
    <m/>
    <m/>
    <m/>
    <m/>
  </r>
  <r>
    <x v="32"/>
    <x v="7"/>
    <m/>
    <m/>
    <n v="6"/>
    <m/>
    <m/>
    <m/>
    <m/>
  </r>
  <r>
    <x v="32"/>
    <x v="8"/>
    <m/>
    <m/>
    <n v="6"/>
    <m/>
    <m/>
    <m/>
    <m/>
  </r>
  <r>
    <x v="32"/>
    <x v="9"/>
    <m/>
    <m/>
    <n v="6"/>
    <m/>
    <m/>
    <m/>
    <m/>
  </r>
  <r>
    <x v="32"/>
    <x v="10"/>
    <m/>
    <m/>
    <n v="6"/>
    <m/>
    <m/>
    <m/>
    <m/>
  </r>
  <r>
    <x v="32"/>
    <x v="11"/>
    <m/>
    <m/>
    <m/>
    <m/>
    <m/>
    <m/>
    <m/>
  </r>
  <r>
    <x v="32"/>
    <x v="12"/>
    <m/>
    <m/>
    <m/>
    <m/>
    <m/>
    <m/>
    <m/>
  </r>
  <r>
    <x v="33"/>
    <x v="0"/>
    <m/>
    <m/>
    <m/>
    <m/>
    <m/>
    <m/>
    <m/>
  </r>
  <r>
    <x v="33"/>
    <x v="1"/>
    <m/>
    <m/>
    <m/>
    <m/>
    <m/>
    <m/>
    <m/>
  </r>
  <r>
    <x v="33"/>
    <x v="2"/>
    <m/>
    <m/>
    <n v="3"/>
    <m/>
    <m/>
    <m/>
    <m/>
  </r>
  <r>
    <x v="33"/>
    <x v="3"/>
    <m/>
    <m/>
    <m/>
    <m/>
    <m/>
    <m/>
    <m/>
  </r>
  <r>
    <x v="33"/>
    <x v="4"/>
    <m/>
    <m/>
    <n v="9"/>
    <m/>
    <m/>
    <m/>
    <m/>
  </r>
  <r>
    <x v="33"/>
    <x v="5"/>
    <m/>
    <m/>
    <n v="9"/>
    <m/>
    <m/>
    <m/>
    <m/>
  </r>
  <r>
    <x v="33"/>
    <x v="6"/>
    <m/>
    <m/>
    <n v="3"/>
    <m/>
    <m/>
    <m/>
    <m/>
  </r>
  <r>
    <x v="33"/>
    <x v="7"/>
    <m/>
    <m/>
    <n v="3"/>
    <m/>
    <m/>
    <m/>
    <m/>
  </r>
  <r>
    <x v="33"/>
    <x v="8"/>
    <m/>
    <m/>
    <n v="3"/>
    <m/>
    <m/>
    <m/>
    <m/>
  </r>
  <r>
    <x v="33"/>
    <x v="9"/>
    <m/>
    <m/>
    <n v="9"/>
    <m/>
    <m/>
    <m/>
    <m/>
  </r>
  <r>
    <x v="33"/>
    <x v="10"/>
    <m/>
    <m/>
    <m/>
    <m/>
    <m/>
    <m/>
    <m/>
  </r>
  <r>
    <x v="33"/>
    <x v="11"/>
    <m/>
    <m/>
    <n v="1"/>
    <m/>
    <m/>
    <m/>
    <m/>
  </r>
  <r>
    <x v="33"/>
    <x v="12"/>
    <m/>
    <m/>
    <m/>
    <m/>
    <m/>
    <m/>
    <m/>
  </r>
  <r>
    <x v="34"/>
    <x v="0"/>
    <m/>
    <m/>
    <m/>
    <m/>
    <m/>
    <m/>
    <m/>
  </r>
  <r>
    <x v="34"/>
    <x v="1"/>
    <m/>
    <m/>
    <m/>
    <m/>
    <m/>
    <m/>
    <m/>
  </r>
  <r>
    <x v="34"/>
    <x v="2"/>
    <m/>
    <m/>
    <m/>
    <m/>
    <m/>
    <m/>
    <m/>
  </r>
  <r>
    <x v="34"/>
    <x v="3"/>
    <m/>
    <m/>
    <m/>
    <m/>
    <m/>
    <m/>
    <m/>
  </r>
  <r>
    <x v="34"/>
    <x v="4"/>
    <m/>
    <m/>
    <m/>
    <m/>
    <m/>
    <m/>
    <m/>
  </r>
  <r>
    <x v="34"/>
    <x v="5"/>
    <m/>
    <m/>
    <m/>
    <m/>
    <m/>
    <m/>
    <m/>
  </r>
  <r>
    <x v="34"/>
    <x v="6"/>
    <m/>
    <m/>
    <m/>
    <m/>
    <m/>
    <m/>
    <m/>
  </r>
  <r>
    <x v="34"/>
    <x v="7"/>
    <m/>
    <m/>
    <m/>
    <m/>
    <m/>
    <m/>
    <m/>
  </r>
  <r>
    <x v="34"/>
    <x v="8"/>
    <m/>
    <m/>
    <m/>
    <m/>
    <m/>
    <m/>
    <m/>
  </r>
  <r>
    <x v="34"/>
    <x v="9"/>
    <m/>
    <m/>
    <m/>
    <m/>
    <m/>
    <m/>
    <m/>
  </r>
  <r>
    <x v="34"/>
    <x v="10"/>
    <m/>
    <m/>
    <m/>
    <m/>
    <m/>
    <m/>
    <m/>
  </r>
  <r>
    <x v="34"/>
    <x v="11"/>
    <m/>
    <m/>
    <m/>
    <m/>
    <m/>
    <m/>
    <m/>
  </r>
  <r>
    <x v="34"/>
    <x v="12"/>
    <m/>
    <m/>
    <m/>
    <m/>
    <m/>
    <m/>
    <m/>
  </r>
  <r>
    <x v="35"/>
    <x v="0"/>
    <m/>
    <m/>
    <m/>
    <m/>
    <m/>
    <m/>
    <m/>
  </r>
  <r>
    <x v="35"/>
    <x v="1"/>
    <m/>
    <m/>
    <m/>
    <m/>
    <m/>
    <m/>
    <m/>
  </r>
  <r>
    <x v="35"/>
    <x v="2"/>
    <m/>
    <n v="1"/>
    <m/>
    <m/>
    <m/>
    <m/>
    <m/>
  </r>
  <r>
    <x v="35"/>
    <x v="3"/>
    <m/>
    <m/>
    <m/>
    <m/>
    <m/>
    <m/>
    <m/>
  </r>
  <r>
    <x v="35"/>
    <x v="4"/>
    <m/>
    <n v="3"/>
    <m/>
    <m/>
    <m/>
    <m/>
    <m/>
  </r>
  <r>
    <x v="35"/>
    <x v="5"/>
    <m/>
    <n v="3"/>
    <n v="1"/>
    <m/>
    <m/>
    <m/>
    <m/>
  </r>
  <r>
    <x v="35"/>
    <x v="6"/>
    <m/>
    <n v="3"/>
    <m/>
    <m/>
    <m/>
    <m/>
    <m/>
  </r>
  <r>
    <x v="35"/>
    <x v="7"/>
    <m/>
    <n v="1"/>
    <m/>
    <m/>
    <m/>
    <m/>
    <m/>
  </r>
  <r>
    <x v="35"/>
    <x v="8"/>
    <m/>
    <n v="2"/>
    <m/>
    <m/>
    <m/>
    <m/>
    <m/>
  </r>
  <r>
    <x v="35"/>
    <x v="9"/>
    <m/>
    <n v="3"/>
    <n v="1"/>
    <m/>
    <m/>
    <m/>
    <m/>
  </r>
  <r>
    <x v="35"/>
    <x v="10"/>
    <m/>
    <n v="3"/>
    <m/>
    <m/>
    <m/>
    <m/>
    <m/>
  </r>
  <r>
    <x v="35"/>
    <x v="11"/>
    <m/>
    <m/>
    <m/>
    <m/>
    <m/>
    <m/>
    <m/>
  </r>
  <r>
    <x v="35"/>
    <x v="12"/>
    <m/>
    <m/>
    <m/>
    <m/>
    <m/>
    <m/>
    <m/>
  </r>
  <r>
    <x v="36"/>
    <x v="0"/>
    <m/>
    <m/>
    <m/>
    <m/>
    <m/>
    <m/>
    <m/>
  </r>
  <r>
    <x v="36"/>
    <x v="1"/>
    <m/>
    <m/>
    <n v="1"/>
    <m/>
    <m/>
    <m/>
    <m/>
  </r>
  <r>
    <x v="36"/>
    <x v="2"/>
    <m/>
    <m/>
    <m/>
    <m/>
    <m/>
    <m/>
    <m/>
  </r>
  <r>
    <x v="36"/>
    <x v="3"/>
    <m/>
    <m/>
    <m/>
    <m/>
    <m/>
    <m/>
    <m/>
  </r>
  <r>
    <x v="36"/>
    <x v="4"/>
    <m/>
    <m/>
    <m/>
    <m/>
    <m/>
    <m/>
    <m/>
  </r>
  <r>
    <x v="36"/>
    <x v="5"/>
    <m/>
    <m/>
    <m/>
    <m/>
    <m/>
    <m/>
    <m/>
  </r>
  <r>
    <x v="36"/>
    <x v="6"/>
    <m/>
    <m/>
    <m/>
    <m/>
    <m/>
    <m/>
    <m/>
  </r>
  <r>
    <x v="36"/>
    <x v="7"/>
    <m/>
    <m/>
    <m/>
    <m/>
    <m/>
    <m/>
    <m/>
  </r>
  <r>
    <x v="36"/>
    <x v="8"/>
    <m/>
    <m/>
    <m/>
    <m/>
    <m/>
    <m/>
    <m/>
  </r>
  <r>
    <x v="36"/>
    <x v="9"/>
    <m/>
    <m/>
    <m/>
    <m/>
    <m/>
    <m/>
    <m/>
  </r>
  <r>
    <x v="36"/>
    <x v="10"/>
    <m/>
    <m/>
    <m/>
    <m/>
    <m/>
    <m/>
    <m/>
  </r>
  <r>
    <x v="36"/>
    <x v="11"/>
    <m/>
    <m/>
    <m/>
    <m/>
    <m/>
    <m/>
    <m/>
  </r>
  <r>
    <x v="36"/>
    <x v="12"/>
    <m/>
    <m/>
    <m/>
    <m/>
    <m/>
    <m/>
    <m/>
  </r>
  <r>
    <x v="37"/>
    <x v="0"/>
    <m/>
    <m/>
    <m/>
    <m/>
    <m/>
    <m/>
    <m/>
  </r>
  <r>
    <x v="37"/>
    <x v="1"/>
    <m/>
    <m/>
    <m/>
    <m/>
    <m/>
    <m/>
    <m/>
  </r>
  <r>
    <x v="37"/>
    <x v="2"/>
    <m/>
    <m/>
    <m/>
    <m/>
    <m/>
    <m/>
    <m/>
  </r>
  <r>
    <x v="37"/>
    <x v="3"/>
    <m/>
    <m/>
    <m/>
    <m/>
    <m/>
    <m/>
    <m/>
  </r>
  <r>
    <x v="37"/>
    <x v="4"/>
    <m/>
    <m/>
    <m/>
    <m/>
    <m/>
    <m/>
    <m/>
  </r>
  <r>
    <x v="37"/>
    <x v="5"/>
    <m/>
    <m/>
    <m/>
    <m/>
    <m/>
    <m/>
    <m/>
  </r>
  <r>
    <x v="37"/>
    <x v="6"/>
    <m/>
    <m/>
    <m/>
    <m/>
    <m/>
    <m/>
    <m/>
  </r>
  <r>
    <x v="37"/>
    <x v="7"/>
    <m/>
    <m/>
    <m/>
    <m/>
    <m/>
    <m/>
    <m/>
  </r>
  <r>
    <x v="37"/>
    <x v="8"/>
    <m/>
    <m/>
    <m/>
    <m/>
    <m/>
    <m/>
    <m/>
  </r>
  <r>
    <x v="37"/>
    <x v="9"/>
    <m/>
    <m/>
    <m/>
    <m/>
    <m/>
    <m/>
    <m/>
  </r>
  <r>
    <x v="37"/>
    <x v="10"/>
    <m/>
    <m/>
    <m/>
    <m/>
    <m/>
    <m/>
    <m/>
  </r>
  <r>
    <x v="37"/>
    <x v="11"/>
    <m/>
    <m/>
    <m/>
    <m/>
    <m/>
    <m/>
    <m/>
  </r>
  <r>
    <x v="37"/>
    <x v="12"/>
    <m/>
    <m/>
    <m/>
    <m/>
    <m/>
    <m/>
    <m/>
  </r>
  <r>
    <x v="38"/>
    <x v="0"/>
    <n v="3"/>
    <m/>
    <m/>
    <n v="10"/>
    <n v="24"/>
    <n v="78"/>
    <m/>
  </r>
  <r>
    <x v="38"/>
    <x v="1"/>
    <n v="9"/>
    <n v="5"/>
    <m/>
    <n v="35"/>
    <n v="35"/>
    <n v="236"/>
    <m/>
  </r>
  <r>
    <x v="38"/>
    <x v="2"/>
    <n v="8"/>
    <n v="6"/>
    <m/>
    <n v="10"/>
    <n v="10"/>
    <n v="70"/>
    <m/>
  </r>
  <r>
    <x v="38"/>
    <x v="3"/>
    <n v="13"/>
    <m/>
    <m/>
    <n v="20"/>
    <n v="27"/>
    <n v="83"/>
    <m/>
  </r>
  <r>
    <x v="38"/>
    <x v="4"/>
    <n v="7"/>
    <m/>
    <m/>
    <n v="15"/>
    <n v="15"/>
    <n v="82"/>
    <m/>
  </r>
  <r>
    <x v="38"/>
    <x v="5"/>
    <n v="1"/>
    <n v="6"/>
    <m/>
    <n v="10"/>
    <n v="10"/>
    <n v="24"/>
    <m/>
  </r>
  <r>
    <x v="38"/>
    <x v="6"/>
    <n v="5"/>
    <n v="6"/>
    <m/>
    <n v="15"/>
    <n v="15"/>
    <n v="78"/>
    <m/>
  </r>
  <r>
    <x v="38"/>
    <x v="7"/>
    <n v="2"/>
    <m/>
    <m/>
    <n v="16"/>
    <n v="19"/>
    <n v="79"/>
    <m/>
  </r>
  <r>
    <x v="38"/>
    <x v="8"/>
    <n v="11"/>
    <n v="6"/>
    <m/>
    <n v="20"/>
    <n v="24"/>
    <n v="138"/>
    <m/>
  </r>
  <r>
    <x v="38"/>
    <x v="9"/>
    <n v="1"/>
    <m/>
    <m/>
    <n v="10"/>
    <n v="12"/>
    <n v="54"/>
    <m/>
  </r>
  <r>
    <x v="38"/>
    <x v="10"/>
    <n v="2"/>
    <m/>
    <m/>
    <n v="10"/>
    <n v="12"/>
    <n v="84"/>
    <m/>
  </r>
  <r>
    <x v="38"/>
    <x v="11"/>
    <n v="70"/>
    <m/>
    <m/>
    <n v="60"/>
    <n v="112"/>
    <n v="400"/>
    <m/>
  </r>
  <r>
    <x v="38"/>
    <x v="12"/>
    <m/>
    <m/>
    <m/>
    <n v="20"/>
    <n v="10"/>
    <n v="16"/>
    <m/>
  </r>
  <r>
    <x v="39"/>
    <x v="0"/>
    <m/>
    <m/>
    <m/>
    <m/>
    <m/>
    <m/>
    <m/>
  </r>
  <r>
    <x v="39"/>
    <x v="1"/>
    <m/>
    <m/>
    <n v="1"/>
    <m/>
    <m/>
    <m/>
    <m/>
  </r>
  <r>
    <x v="39"/>
    <x v="2"/>
    <m/>
    <m/>
    <n v="1"/>
    <m/>
    <m/>
    <m/>
    <m/>
  </r>
  <r>
    <x v="39"/>
    <x v="3"/>
    <m/>
    <m/>
    <m/>
    <m/>
    <m/>
    <m/>
    <m/>
  </r>
  <r>
    <x v="39"/>
    <x v="4"/>
    <m/>
    <m/>
    <m/>
    <m/>
    <m/>
    <m/>
    <m/>
  </r>
  <r>
    <x v="39"/>
    <x v="5"/>
    <m/>
    <m/>
    <m/>
    <m/>
    <m/>
    <m/>
    <m/>
  </r>
  <r>
    <x v="39"/>
    <x v="6"/>
    <m/>
    <m/>
    <m/>
    <m/>
    <m/>
    <m/>
    <m/>
  </r>
  <r>
    <x v="39"/>
    <x v="7"/>
    <m/>
    <m/>
    <m/>
    <m/>
    <m/>
    <m/>
    <m/>
  </r>
  <r>
    <x v="39"/>
    <x v="8"/>
    <m/>
    <m/>
    <m/>
    <m/>
    <m/>
    <m/>
    <m/>
  </r>
  <r>
    <x v="39"/>
    <x v="9"/>
    <m/>
    <m/>
    <m/>
    <m/>
    <m/>
    <m/>
    <m/>
  </r>
  <r>
    <x v="39"/>
    <x v="10"/>
    <m/>
    <m/>
    <m/>
    <m/>
    <m/>
    <m/>
    <m/>
  </r>
  <r>
    <x v="39"/>
    <x v="11"/>
    <m/>
    <m/>
    <m/>
    <m/>
    <m/>
    <m/>
    <m/>
  </r>
  <r>
    <x v="39"/>
    <x v="12"/>
    <m/>
    <m/>
    <m/>
    <m/>
    <m/>
    <m/>
    <m/>
  </r>
  <r>
    <x v="40"/>
    <x v="0"/>
    <n v="2"/>
    <n v="1"/>
    <n v="97"/>
    <n v="1"/>
    <n v="5"/>
    <n v="3"/>
    <m/>
  </r>
  <r>
    <x v="40"/>
    <x v="1"/>
    <n v="6"/>
    <n v="2"/>
    <n v="166"/>
    <n v="4"/>
    <n v="11"/>
    <n v="15"/>
    <m/>
  </r>
  <r>
    <x v="40"/>
    <x v="2"/>
    <n v="4"/>
    <n v="2"/>
    <n v="61"/>
    <n v="2"/>
    <n v="2"/>
    <n v="4"/>
    <m/>
  </r>
  <r>
    <x v="40"/>
    <x v="3"/>
    <n v="6"/>
    <n v="1"/>
    <n v="146"/>
    <n v="2"/>
    <n v="8"/>
    <n v="5"/>
    <m/>
  </r>
  <r>
    <x v="40"/>
    <x v="4"/>
    <n v="0"/>
    <n v="0"/>
    <n v="90"/>
    <n v="3"/>
    <n v="9"/>
    <n v="12"/>
    <m/>
  </r>
  <r>
    <x v="40"/>
    <x v="5"/>
    <n v="1"/>
    <n v="0"/>
    <n v="68"/>
    <n v="1"/>
    <n v="0"/>
    <n v="2"/>
    <m/>
  </r>
  <r>
    <x v="40"/>
    <x v="6"/>
    <n v="8"/>
    <n v="4"/>
    <n v="116"/>
    <n v="8"/>
    <n v="5"/>
    <n v="17"/>
    <m/>
  </r>
  <r>
    <x v="40"/>
    <x v="7"/>
    <n v="0"/>
    <n v="0"/>
    <n v="39"/>
    <n v="0"/>
    <n v="0"/>
    <n v="1"/>
    <m/>
  </r>
  <r>
    <x v="40"/>
    <x v="8"/>
    <n v="9"/>
    <n v="4"/>
    <n v="157"/>
    <n v="7"/>
    <n v="7"/>
    <n v="12"/>
    <m/>
  </r>
  <r>
    <x v="40"/>
    <x v="9"/>
    <n v="0"/>
    <n v="0"/>
    <n v="52"/>
    <n v="0"/>
    <n v="0"/>
    <n v="1"/>
    <m/>
  </r>
  <r>
    <x v="40"/>
    <x v="10"/>
    <n v="6"/>
    <n v="3"/>
    <n v="137"/>
    <n v="5"/>
    <n v="5"/>
    <n v="14"/>
    <m/>
  </r>
  <r>
    <x v="40"/>
    <x v="11"/>
    <n v="5"/>
    <n v="0"/>
    <n v="776"/>
    <n v="0"/>
    <n v="0"/>
    <n v="1"/>
    <m/>
  </r>
  <r>
    <x v="40"/>
    <x v="12"/>
    <n v="0"/>
    <n v="0"/>
    <n v="25"/>
    <n v="0"/>
    <n v="0"/>
    <n v="0"/>
    <m/>
  </r>
  <r>
    <x v="41"/>
    <x v="0"/>
    <m/>
    <m/>
    <m/>
    <m/>
    <m/>
    <m/>
    <m/>
  </r>
  <r>
    <x v="41"/>
    <x v="1"/>
    <m/>
    <m/>
    <m/>
    <m/>
    <m/>
    <m/>
    <m/>
  </r>
  <r>
    <x v="41"/>
    <x v="2"/>
    <m/>
    <m/>
    <m/>
    <m/>
    <m/>
    <m/>
    <m/>
  </r>
  <r>
    <x v="41"/>
    <x v="3"/>
    <n v="4"/>
    <n v="23"/>
    <n v="2"/>
    <m/>
    <m/>
    <m/>
    <m/>
  </r>
  <r>
    <x v="41"/>
    <x v="4"/>
    <n v="4"/>
    <n v="23"/>
    <n v="2"/>
    <m/>
    <m/>
    <m/>
    <m/>
  </r>
  <r>
    <x v="41"/>
    <x v="5"/>
    <m/>
    <m/>
    <m/>
    <m/>
    <m/>
    <m/>
    <m/>
  </r>
  <r>
    <x v="41"/>
    <x v="6"/>
    <m/>
    <m/>
    <m/>
    <m/>
    <m/>
    <m/>
    <m/>
  </r>
  <r>
    <x v="41"/>
    <x v="7"/>
    <m/>
    <m/>
    <m/>
    <m/>
    <m/>
    <m/>
    <m/>
  </r>
  <r>
    <x v="41"/>
    <x v="8"/>
    <m/>
    <m/>
    <m/>
    <m/>
    <m/>
    <m/>
    <m/>
  </r>
  <r>
    <x v="41"/>
    <x v="9"/>
    <m/>
    <m/>
    <m/>
    <m/>
    <m/>
    <m/>
    <m/>
  </r>
  <r>
    <x v="41"/>
    <x v="10"/>
    <m/>
    <m/>
    <m/>
    <m/>
    <m/>
    <m/>
    <m/>
  </r>
  <r>
    <x v="41"/>
    <x v="11"/>
    <m/>
    <m/>
    <m/>
    <m/>
    <m/>
    <m/>
    <m/>
  </r>
  <r>
    <x v="41"/>
    <x v="12"/>
    <m/>
    <m/>
    <m/>
    <m/>
    <m/>
    <m/>
    <m/>
  </r>
  <r>
    <x v="42"/>
    <x v="0"/>
    <m/>
    <m/>
    <m/>
    <m/>
    <m/>
    <m/>
    <m/>
  </r>
  <r>
    <x v="42"/>
    <x v="1"/>
    <m/>
    <m/>
    <m/>
    <m/>
    <m/>
    <m/>
    <m/>
  </r>
  <r>
    <x v="42"/>
    <x v="2"/>
    <m/>
    <m/>
    <m/>
    <m/>
    <m/>
    <m/>
    <m/>
  </r>
  <r>
    <x v="42"/>
    <x v="3"/>
    <m/>
    <m/>
    <m/>
    <m/>
    <m/>
    <m/>
    <m/>
  </r>
  <r>
    <x v="42"/>
    <x v="4"/>
    <m/>
    <m/>
    <m/>
    <m/>
    <m/>
    <m/>
    <m/>
  </r>
  <r>
    <x v="42"/>
    <x v="5"/>
    <m/>
    <m/>
    <m/>
    <m/>
    <m/>
    <m/>
    <m/>
  </r>
  <r>
    <x v="42"/>
    <x v="6"/>
    <m/>
    <m/>
    <m/>
    <m/>
    <m/>
    <n v="11"/>
    <m/>
  </r>
  <r>
    <x v="42"/>
    <x v="7"/>
    <m/>
    <m/>
    <m/>
    <m/>
    <m/>
    <m/>
    <m/>
  </r>
  <r>
    <x v="42"/>
    <x v="8"/>
    <m/>
    <m/>
    <m/>
    <m/>
    <m/>
    <m/>
    <m/>
  </r>
  <r>
    <x v="42"/>
    <x v="9"/>
    <m/>
    <m/>
    <m/>
    <m/>
    <m/>
    <m/>
    <m/>
  </r>
  <r>
    <x v="42"/>
    <x v="10"/>
    <m/>
    <m/>
    <m/>
    <m/>
    <m/>
    <m/>
    <m/>
  </r>
  <r>
    <x v="42"/>
    <x v="11"/>
    <m/>
    <m/>
    <m/>
    <m/>
    <m/>
    <m/>
    <m/>
  </r>
  <r>
    <x v="42"/>
    <x v="12"/>
    <m/>
    <m/>
    <m/>
    <m/>
    <m/>
    <m/>
    <m/>
  </r>
  <r>
    <x v="43"/>
    <x v="0"/>
    <m/>
    <m/>
    <m/>
    <m/>
    <m/>
    <m/>
    <m/>
  </r>
  <r>
    <x v="43"/>
    <x v="1"/>
    <m/>
    <m/>
    <n v="4"/>
    <n v="5"/>
    <m/>
    <m/>
    <m/>
  </r>
  <r>
    <x v="43"/>
    <x v="2"/>
    <m/>
    <m/>
    <n v="6"/>
    <n v="2"/>
    <m/>
    <n v="2"/>
    <m/>
  </r>
  <r>
    <x v="43"/>
    <x v="3"/>
    <m/>
    <m/>
    <n v="2"/>
    <n v="1"/>
    <m/>
    <m/>
    <m/>
  </r>
  <r>
    <x v="43"/>
    <x v="4"/>
    <m/>
    <m/>
    <n v="10"/>
    <n v="3"/>
    <m/>
    <m/>
    <m/>
  </r>
  <r>
    <x v="43"/>
    <x v="5"/>
    <m/>
    <m/>
    <n v="5"/>
    <m/>
    <m/>
    <m/>
    <m/>
  </r>
  <r>
    <x v="43"/>
    <x v="6"/>
    <m/>
    <m/>
    <n v="9"/>
    <m/>
    <m/>
    <n v="2"/>
    <m/>
  </r>
  <r>
    <x v="43"/>
    <x v="7"/>
    <m/>
    <m/>
    <n v="4"/>
    <n v="2"/>
    <m/>
    <n v="3"/>
    <m/>
  </r>
  <r>
    <x v="43"/>
    <x v="8"/>
    <m/>
    <m/>
    <n v="10"/>
    <n v="4"/>
    <m/>
    <m/>
    <m/>
  </r>
  <r>
    <x v="43"/>
    <x v="9"/>
    <m/>
    <m/>
    <n v="6"/>
    <n v="5"/>
    <m/>
    <n v="2"/>
    <m/>
  </r>
  <r>
    <x v="43"/>
    <x v="10"/>
    <m/>
    <m/>
    <n v="4"/>
    <n v="4"/>
    <m/>
    <n v="1"/>
    <m/>
  </r>
  <r>
    <x v="43"/>
    <x v="11"/>
    <m/>
    <m/>
    <n v="3"/>
    <n v="1"/>
    <m/>
    <n v="3"/>
    <m/>
  </r>
  <r>
    <x v="43"/>
    <x v="12"/>
    <m/>
    <m/>
    <m/>
    <n v="2"/>
    <m/>
    <m/>
    <m/>
  </r>
  <r>
    <x v="44"/>
    <x v="0"/>
    <m/>
    <m/>
    <m/>
    <m/>
    <m/>
    <m/>
    <m/>
  </r>
  <r>
    <x v="44"/>
    <x v="1"/>
    <m/>
    <m/>
    <m/>
    <m/>
    <m/>
    <m/>
    <m/>
  </r>
  <r>
    <x v="44"/>
    <x v="2"/>
    <m/>
    <m/>
    <m/>
    <m/>
    <m/>
    <m/>
    <m/>
  </r>
  <r>
    <x v="44"/>
    <x v="3"/>
    <m/>
    <m/>
    <n v="1"/>
    <m/>
    <m/>
    <m/>
    <m/>
  </r>
  <r>
    <x v="44"/>
    <x v="4"/>
    <m/>
    <m/>
    <m/>
    <m/>
    <m/>
    <m/>
    <m/>
  </r>
  <r>
    <x v="44"/>
    <x v="5"/>
    <m/>
    <m/>
    <m/>
    <m/>
    <m/>
    <m/>
    <m/>
  </r>
  <r>
    <x v="44"/>
    <x v="6"/>
    <m/>
    <m/>
    <m/>
    <m/>
    <m/>
    <m/>
    <m/>
  </r>
  <r>
    <x v="44"/>
    <x v="7"/>
    <m/>
    <m/>
    <m/>
    <m/>
    <m/>
    <m/>
    <m/>
  </r>
  <r>
    <x v="44"/>
    <x v="8"/>
    <m/>
    <m/>
    <m/>
    <m/>
    <m/>
    <m/>
    <m/>
  </r>
  <r>
    <x v="44"/>
    <x v="9"/>
    <m/>
    <m/>
    <n v="1"/>
    <m/>
    <m/>
    <m/>
    <m/>
  </r>
  <r>
    <x v="44"/>
    <x v="10"/>
    <m/>
    <m/>
    <m/>
    <m/>
    <m/>
    <m/>
    <m/>
  </r>
  <r>
    <x v="44"/>
    <x v="11"/>
    <m/>
    <m/>
    <m/>
    <m/>
    <m/>
    <m/>
    <m/>
  </r>
  <r>
    <x v="44"/>
    <x v="12"/>
    <m/>
    <m/>
    <m/>
    <m/>
    <m/>
    <m/>
    <m/>
  </r>
  <r>
    <x v="45"/>
    <x v="0"/>
    <m/>
    <m/>
    <m/>
    <m/>
    <m/>
    <m/>
    <m/>
  </r>
  <r>
    <x v="45"/>
    <x v="1"/>
    <m/>
    <m/>
    <m/>
    <m/>
    <m/>
    <m/>
    <m/>
  </r>
  <r>
    <x v="45"/>
    <x v="2"/>
    <m/>
    <m/>
    <m/>
    <m/>
    <m/>
    <m/>
    <m/>
  </r>
  <r>
    <x v="45"/>
    <x v="3"/>
    <m/>
    <m/>
    <m/>
    <m/>
    <m/>
    <m/>
    <m/>
  </r>
  <r>
    <x v="45"/>
    <x v="4"/>
    <m/>
    <m/>
    <m/>
    <m/>
    <m/>
    <m/>
    <m/>
  </r>
  <r>
    <x v="45"/>
    <x v="5"/>
    <m/>
    <m/>
    <m/>
    <m/>
    <m/>
    <m/>
    <m/>
  </r>
  <r>
    <x v="45"/>
    <x v="6"/>
    <m/>
    <m/>
    <m/>
    <m/>
    <m/>
    <m/>
    <m/>
  </r>
  <r>
    <x v="45"/>
    <x v="7"/>
    <m/>
    <m/>
    <m/>
    <m/>
    <n v="8"/>
    <m/>
    <m/>
  </r>
  <r>
    <x v="45"/>
    <x v="8"/>
    <m/>
    <m/>
    <m/>
    <m/>
    <m/>
    <m/>
    <m/>
  </r>
  <r>
    <x v="45"/>
    <x v="9"/>
    <m/>
    <m/>
    <m/>
    <m/>
    <m/>
    <m/>
    <m/>
  </r>
  <r>
    <x v="45"/>
    <x v="10"/>
    <m/>
    <m/>
    <m/>
    <m/>
    <m/>
    <m/>
    <m/>
  </r>
  <r>
    <x v="45"/>
    <x v="11"/>
    <m/>
    <m/>
    <m/>
    <m/>
    <n v="10"/>
    <m/>
    <m/>
  </r>
  <r>
    <x v="45"/>
    <x v="12"/>
    <m/>
    <m/>
    <m/>
    <n v="20"/>
    <n v="4"/>
    <n v="14"/>
    <m/>
  </r>
  <r>
    <x v="46"/>
    <x v="0"/>
    <m/>
    <m/>
    <m/>
    <m/>
    <m/>
    <m/>
    <m/>
  </r>
  <r>
    <x v="46"/>
    <x v="1"/>
    <m/>
    <m/>
    <m/>
    <m/>
    <m/>
    <m/>
    <m/>
  </r>
  <r>
    <x v="46"/>
    <x v="2"/>
    <m/>
    <m/>
    <m/>
    <m/>
    <m/>
    <m/>
    <m/>
  </r>
  <r>
    <x v="46"/>
    <x v="3"/>
    <m/>
    <m/>
    <m/>
    <m/>
    <m/>
    <m/>
    <m/>
  </r>
  <r>
    <x v="46"/>
    <x v="4"/>
    <m/>
    <m/>
    <m/>
    <m/>
    <m/>
    <m/>
    <m/>
  </r>
  <r>
    <x v="46"/>
    <x v="5"/>
    <m/>
    <m/>
    <m/>
    <m/>
    <m/>
    <m/>
    <m/>
  </r>
  <r>
    <x v="46"/>
    <x v="6"/>
    <m/>
    <m/>
    <m/>
    <m/>
    <m/>
    <m/>
    <m/>
  </r>
  <r>
    <x v="46"/>
    <x v="7"/>
    <m/>
    <m/>
    <m/>
    <m/>
    <m/>
    <m/>
    <m/>
  </r>
  <r>
    <x v="46"/>
    <x v="8"/>
    <m/>
    <m/>
    <m/>
    <m/>
    <m/>
    <m/>
    <m/>
  </r>
  <r>
    <x v="46"/>
    <x v="9"/>
    <m/>
    <m/>
    <m/>
    <m/>
    <m/>
    <m/>
    <m/>
  </r>
  <r>
    <x v="46"/>
    <x v="10"/>
    <m/>
    <m/>
    <m/>
    <m/>
    <m/>
    <m/>
    <m/>
  </r>
  <r>
    <x v="46"/>
    <x v="11"/>
    <m/>
    <m/>
    <m/>
    <m/>
    <m/>
    <m/>
    <m/>
  </r>
  <r>
    <x v="46"/>
    <x v="12"/>
    <m/>
    <m/>
    <m/>
    <m/>
    <m/>
    <m/>
    <m/>
  </r>
  <r>
    <x v="47"/>
    <x v="0"/>
    <m/>
    <m/>
    <m/>
    <n v="10"/>
    <n v="20"/>
    <n v="50"/>
    <m/>
  </r>
  <r>
    <x v="47"/>
    <x v="1"/>
    <m/>
    <m/>
    <m/>
    <n v="30"/>
    <n v="30"/>
    <n v="180"/>
    <m/>
  </r>
  <r>
    <x v="47"/>
    <x v="2"/>
    <m/>
    <m/>
    <m/>
    <n v="10"/>
    <n v="10"/>
    <n v="30"/>
    <m/>
  </r>
  <r>
    <x v="47"/>
    <x v="3"/>
    <m/>
    <m/>
    <m/>
    <n v="20"/>
    <n v="20"/>
    <n v="50"/>
    <m/>
  </r>
  <r>
    <x v="47"/>
    <x v="4"/>
    <m/>
    <m/>
    <m/>
    <n v="15"/>
    <n v="15"/>
    <n v="30"/>
    <m/>
  </r>
  <r>
    <x v="47"/>
    <x v="5"/>
    <m/>
    <m/>
    <m/>
    <n v="10"/>
    <n v="10"/>
    <n v="20"/>
    <m/>
  </r>
  <r>
    <x v="47"/>
    <x v="6"/>
    <m/>
    <m/>
    <m/>
    <n v="15"/>
    <n v="15"/>
    <n v="40"/>
    <m/>
  </r>
  <r>
    <x v="47"/>
    <x v="7"/>
    <m/>
    <m/>
    <m/>
    <n v="10"/>
    <n v="10"/>
    <n v="30"/>
    <m/>
  </r>
  <r>
    <x v="47"/>
    <x v="8"/>
    <m/>
    <m/>
    <m/>
    <n v="20"/>
    <n v="20"/>
    <n v="100"/>
    <m/>
  </r>
  <r>
    <x v="47"/>
    <x v="9"/>
    <m/>
    <m/>
    <m/>
    <n v="10"/>
    <n v="10"/>
    <n v="40"/>
    <m/>
  </r>
  <r>
    <x v="47"/>
    <x v="10"/>
    <m/>
    <m/>
    <m/>
    <n v="10"/>
    <n v="10"/>
    <n v="50"/>
    <m/>
  </r>
  <r>
    <x v="47"/>
    <x v="11"/>
    <m/>
    <m/>
    <m/>
    <n v="60"/>
    <n v="60"/>
    <n v="440"/>
    <m/>
  </r>
  <r>
    <x v="47"/>
    <x v="12"/>
    <m/>
    <m/>
    <m/>
    <m/>
    <m/>
    <m/>
    <m/>
  </r>
  <r>
    <x v="48"/>
    <x v="0"/>
    <m/>
    <m/>
    <m/>
    <m/>
    <m/>
    <n v="3"/>
    <m/>
  </r>
  <r>
    <x v="48"/>
    <x v="1"/>
    <m/>
    <m/>
    <m/>
    <m/>
    <m/>
    <n v="3"/>
    <m/>
  </r>
  <r>
    <x v="48"/>
    <x v="2"/>
    <m/>
    <n v="2"/>
    <n v="2"/>
    <m/>
    <m/>
    <n v="2"/>
    <m/>
  </r>
  <r>
    <x v="48"/>
    <x v="3"/>
    <m/>
    <n v="2"/>
    <n v="2"/>
    <m/>
    <m/>
    <n v="2"/>
    <m/>
  </r>
  <r>
    <x v="48"/>
    <x v="4"/>
    <m/>
    <n v="2"/>
    <n v="2"/>
    <m/>
    <m/>
    <n v="2"/>
    <m/>
  </r>
  <r>
    <x v="48"/>
    <x v="5"/>
    <m/>
    <n v="2"/>
    <n v="2"/>
    <m/>
    <m/>
    <n v="2"/>
    <m/>
  </r>
  <r>
    <x v="48"/>
    <x v="6"/>
    <m/>
    <n v="10"/>
    <m/>
    <m/>
    <m/>
    <n v="10"/>
    <m/>
  </r>
  <r>
    <x v="48"/>
    <x v="7"/>
    <m/>
    <m/>
    <m/>
    <m/>
    <m/>
    <m/>
    <m/>
  </r>
  <r>
    <x v="48"/>
    <x v="8"/>
    <m/>
    <n v="2"/>
    <n v="2"/>
    <m/>
    <m/>
    <n v="2"/>
    <m/>
  </r>
  <r>
    <x v="48"/>
    <x v="9"/>
    <m/>
    <n v="2"/>
    <n v="2"/>
    <m/>
    <m/>
    <n v="2"/>
    <m/>
  </r>
  <r>
    <x v="48"/>
    <x v="10"/>
    <m/>
    <n v="2"/>
    <n v="2"/>
    <m/>
    <m/>
    <n v="2"/>
    <m/>
  </r>
  <r>
    <x v="48"/>
    <x v="11"/>
    <m/>
    <m/>
    <m/>
    <m/>
    <m/>
    <m/>
    <m/>
  </r>
  <r>
    <x v="48"/>
    <x v="12"/>
    <m/>
    <m/>
    <m/>
    <m/>
    <m/>
    <m/>
    <m/>
  </r>
  <r>
    <x v="49"/>
    <x v="0"/>
    <m/>
    <m/>
    <m/>
    <m/>
    <m/>
    <m/>
    <m/>
  </r>
  <r>
    <x v="49"/>
    <x v="1"/>
    <m/>
    <m/>
    <m/>
    <m/>
    <m/>
    <m/>
    <m/>
  </r>
  <r>
    <x v="49"/>
    <x v="2"/>
    <m/>
    <m/>
    <m/>
    <m/>
    <m/>
    <m/>
    <m/>
  </r>
  <r>
    <x v="49"/>
    <x v="3"/>
    <m/>
    <m/>
    <m/>
    <m/>
    <m/>
    <m/>
    <m/>
  </r>
  <r>
    <x v="49"/>
    <x v="4"/>
    <m/>
    <m/>
    <m/>
    <m/>
    <m/>
    <m/>
    <m/>
  </r>
  <r>
    <x v="49"/>
    <x v="5"/>
    <m/>
    <m/>
    <m/>
    <m/>
    <m/>
    <m/>
    <m/>
  </r>
  <r>
    <x v="49"/>
    <x v="6"/>
    <n v="1"/>
    <n v="1"/>
    <n v="6"/>
    <m/>
    <n v="2"/>
    <n v="3"/>
    <m/>
  </r>
  <r>
    <x v="49"/>
    <x v="7"/>
    <m/>
    <m/>
    <m/>
    <m/>
    <m/>
    <m/>
    <m/>
  </r>
  <r>
    <x v="49"/>
    <x v="8"/>
    <m/>
    <m/>
    <m/>
    <m/>
    <m/>
    <m/>
    <m/>
  </r>
  <r>
    <x v="49"/>
    <x v="9"/>
    <m/>
    <m/>
    <m/>
    <m/>
    <m/>
    <m/>
    <m/>
  </r>
  <r>
    <x v="49"/>
    <x v="10"/>
    <m/>
    <m/>
    <m/>
    <m/>
    <m/>
    <m/>
    <m/>
  </r>
  <r>
    <x v="49"/>
    <x v="11"/>
    <m/>
    <m/>
    <m/>
    <m/>
    <m/>
    <m/>
    <m/>
  </r>
  <r>
    <x v="49"/>
    <x v="12"/>
    <m/>
    <m/>
    <m/>
    <m/>
    <m/>
    <m/>
    <m/>
  </r>
  <r>
    <x v="50"/>
    <x v="0"/>
    <m/>
    <n v="0"/>
    <n v="4"/>
    <m/>
    <m/>
    <n v="10"/>
    <m/>
  </r>
  <r>
    <x v="50"/>
    <x v="1"/>
    <m/>
    <n v="6"/>
    <n v="28"/>
    <n v="10"/>
    <n v="8"/>
    <n v="32"/>
    <m/>
  </r>
  <r>
    <x v="50"/>
    <x v="2"/>
    <m/>
    <n v="15"/>
    <n v="40"/>
    <n v="7"/>
    <n v="8"/>
    <n v="20"/>
    <m/>
  </r>
  <r>
    <x v="50"/>
    <x v="3"/>
    <m/>
    <n v="12"/>
    <n v="30"/>
    <n v="3"/>
    <n v="8"/>
    <n v="10"/>
    <m/>
  </r>
  <r>
    <x v="50"/>
    <x v="4"/>
    <m/>
    <n v="10"/>
    <n v="36"/>
    <n v="0"/>
    <n v="8"/>
    <n v="24"/>
    <m/>
  </r>
  <r>
    <x v="50"/>
    <x v="5"/>
    <m/>
    <n v="10"/>
    <n v="36"/>
    <n v="3"/>
    <n v="8"/>
    <n v="20"/>
    <m/>
  </r>
  <r>
    <x v="50"/>
    <x v="6"/>
    <m/>
    <n v="16"/>
    <n v="40"/>
    <n v="3"/>
    <n v="8"/>
    <n v="25"/>
    <m/>
  </r>
  <r>
    <x v="50"/>
    <x v="7"/>
    <m/>
    <n v="10"/>
    <n v="37"/>
    <n v="3"/>
    <n v="8"/>
    <n v="25"/>
    <m/>
  </r>
  <r>
    <x v="50"/>
    <x v="8"/>
    <m/>
    <n v="11"/>
    <n v="38"/>
    <n v="3"/>
    <n v="8"/>
    <n v="30"/>
    <m/>
  </r>
  <r>
    <x v="50"/>
    <x v="9"/>
    <m/>
    <n v="5"/>
    <n v="36"/>
    <n v="3"/>
    <n v="8"/>
    <n v="30"/>
    <m/>
  </r>
  <r>
    <x v="50"/>
    <x v="10"/>
    <m/>
    <n v="5"/>
    <n v="38"/>
    <n v="3"/>
    <n v="8"/>
    <n v="29"/>
    <m/>
  </r>
  <r>
    <x v="50"/>
    <x v="11"/>
    <m/>
    <m/>
    <m/>
    <m/>
    <m/>
    <m/>
    <m/>
  </r>
  <r>
    <x v="50"/>
    <x v="12"/>
    <m/>
    <m/>
    <m/>
    <m/>
    <m/>
    <m/>
    <m/>
  </r>
  <r>
    <x v="51"/>
    <x v="0"/>
    <n v="3"/>
    <n v="0"/>
    <n v="0"/>
    <n v="0"/>
    <n v="4"/>
    <n v="28"/>
    <m/>
  </r>
  <r>
    <x v="51"/>
    <x v="1"/>
    <n v="9"/>
    <n v="5"/>
    <n v="5"/>
    <n v="5"/>
    <n v="5"/>
    <n v="56"/>
    <m/>
  </r>
  <r>
    <x v="51"/>
    <x v="2"/>
    <n v="8"/>
    <n v="6"/>
    <n v="6"/>
    <n v="0"/>
    <n v="0"/>
    <n v="40"/>
    <m/>
  </r>
  <r>
    <x v="51"/>
    <x v="3"/>
    <n v="13"/>
    <n v="0"/>
    <n v="3"/>
    <n v="0"/>
    <n v="7"/>
    <n v="33"/>
    <m/>
  </r>
  <r>
    <x v="51"/>
    <x v="4"/>
    <n v="7"/>
    <n v="0"/>
    <n v="4"/>
    <n v="0"/>
    <n v="0"/>
    <n v="52"/>
    <m/>
  </r>
  <r>
    <x v="51"/>
    <x v="5"/>
    <n v="1"/>
    <n v="6"/>
    <n v="6"/>
    <n v="0"/>
    <n v="0"/>
    <n v="14"/>
    <m/>
  </r>
  <r>
    <x v="51"/>
    <x v="6"/>
    <n v="5"/>
    <n v="6"/>
    <n v="3"/>
    <n v="0"/>
    <n v="0"/>
    <n v="25"/>
    <m/>
  </r>
  <r>
    <x v="51"/>
    <x v="7"/>
    <n v="2"/>
    <n v="0"/>
    <n v="0"/>
    <n v="0"/>
    <n v="0"/>
    <n v="46"/>
    <m/>
  </r>
  <r>
    <x v="51"/>
    <x v="8"/>
    <n v="11"/>
    <n v="6"/>
    <n v="2"/>
    <n v="0"/>
    <n v="4"/>
    <n v="37"/>
    <m/>
  </r>
  <r>
    <x v="51"/>
    <x v="9"/>
    <n v="1"/>
    <n v="0"/>
    <n v="3"/>
    <n v="0"/>
    <n v="2"/>
    <n v="13"/>
    <m/>
  </r>
  <r>
    <x v="51"/>
    <x v="10"/>
    <n v="2"/>
    <n v="0"/>
    <n v="0"/>
    <n v="0"/>
    <n v="2"/>
    <n v="32"/>
    <m/>
  </r>
  <r>
    <x v="51"/>
    <x v="11"/>
    <n v="70"/>
    <n v="0"/>
    <n v="0"/>
    <n v="0"/>
    <n v="50"/>
    <n v="89"/>
    <m/>
  </r>
  <r>
    <x v="51"/>
    <x v="12"/>
    <n v="0"/>
    <n v="0"/>
    <n v="0"/>
    <n v="0"/>
    <n v="0"/>
    <n v="0"/>
    <m/>
  </r>
  <r>
    <x v="52"/>
    <x v="0"/>
    <m/>
    <m/>
    <m/>
    <m/>
    <m/>
    <m/>
    <m/>
  </r>
  <r>
    <x v="52"/>
    <x v="1"/>
    <m/>
    <m/>
    <m/>
    <m/>
    <m/>
    <m/>
    <m/>
  </r>
  <r>
    <x v="52"/>
    <x v="2"/>
    <m/>
    <m/>
    <m/>
    <m/>
    <m/>
    <m/>
    <m/>
  </r>
  <r>
    <x v="52"/>
    <x v="3"/>
    <m/>
    <m/>
    <m/>
    <m/>
    <m/>
    <m/>
    <m/>
  </r>
  <r>
    <x v="52"/>
    <x v="4"/>
    <m/>
    <m/>
    <m/>
    <m/>
    <m/>
    <m/>
    <m/>
  </r>
  <r>
    <x v="52"/>
    <x v="5"/>
    <m/>
    <m/>
    <m/>
    <m/>
    <m/>
    <m/>
    <m/>
  </r>
  <r>
    <x v="52"/>
    <x v="6"/>
    <m/>
    <m/>
    <m/>
    <m/>
    <m/>
    <n v="3"/>
    <m/>
  </r>
  <r>
    <x v="52"/>
    <x v="7"/>
    <m/>
    <m/>
    <n v="3"/>
    <m/>
    <m/>
    <m/>
    <m/>
  </r>
  <r>
    <x v="52"/>
    <x v="8"/>
    <m/>
    <m/>
    <n v="3"/>
    <m/>
    <m/>
    <n v="1"/>
    <m/>
  </r>
  <r>
    <x v="52"/>
    <x v="9"/>
    <m/>
    <m/>
    <n v="4"/>
    <m/>
    <m/>
    <m/>
    <m/>
  </r>
  <r>
    <x v="52"/>
    <x v="10"/>
    <m/>
    <m/>
    <n v="1"/>
    <m/>
    <m/>
    <n v="2"/>
    <m/>
  </r>
  <r>
    <x v="52"/>
    <x v="11"/>
    <m/>
    <m/>
    <n v="2"/>
    <m/>
    <m/>
    <n v="1"/>
    <m/>
  </r>
  <r>
    <x v="52"/>
    <x v="12"/>
    <m/>
    <m/>
    <n v="1"/>
    <m/>
    <m/>
    <m/>
    <m/>
  </r>
  <r>
    <x v="53"/>
    <x v="0"/>
    <m/>
    <m/>
    <m/>
    <m/>
    <m/>
    <m/>
    <m/>
  </r>
  <r>
    <x v="53"/>
    <x v="1"/>
    <m/>
    <n v="4"/>
    <n v="14"/>
    <m/>
    <m/>
    <n v="3"/>
    <m/>
  </r>
  <r>
    <x v="53"/>
    <x v="2"/>
    <n v="8"/>
    <n v="7"/>
    <n v="22"/>
    <n v="5"/>
    <n v="5"/>
    <n v="20"/>
    <m/>
  </r>
  <r>
    <x v="53"/>
    <x v="3"/>
    <m/>
    <n v="2"/>
    <n v="8"/>
    <m/>
    <n v="19"/>
    <n v="12"/>
    <m/>
  </r>
  <r>
    <x v="53"/>
    <x v="4"/>
    <m/>
    <n v="2"/>
    <n v="25"/>
    <n v="5"/>
    <n v="12"/>
    <n v="17"/>
    <m/>
  </r>
  <r>
    <x v="53"/>
    <x v="5"/>
    <n v="2"/>
    <n v="7"/>
    <n v="8"/>
    <n v="2"/>
    <n v="2"/>
    <n v="5"/>
    <m/>
  </r>
  <r>
    <x v="53"/>
    <x v="6"/>
    <n v="8"/>
    <n v="7"/>
    <n v="55"/>
    <n v="5"/>
    <n v="13"/>
    <n v="32"/>
    <m/>
  </r>
  <r>
    <x v="53"/>
    <x v="7"/>
    <n v="2"/>
    <n v="6"/>
    <n v="5"/>
    <n v="2"/>
    <n v="2"/>
    <n v="4"/>
    <m/>
  </r>
  <r>
    <x v="53"/>
    <x v="8"/>
    <n v="8"/>
    <n v="7"/>
    <n v="52"/>
    <n v="5"/>
    <n v="13"/>
    <n v="21"/>
    <m/>
  </r>
  <r>
    <x v="53"/>
    <x v="9"/>
    <n v="2"/>
    <n v="7"/>
    <n v="6"/>
    <n v="2"/>
    <n v="2"/>
    <n v="2"/>
    <m/>
  </r>
  <r>
    <x v="53"/>
    <x v="10"/>
    <m/>
    <n v="4"/>
    <n v="4"/>
    <m/>
    <m/>
    <m/>
    <m/>
  </r>
  <r>
    <x v="53"/>
    <x v="11"/>
    <m/>
    <m/>
    <m/>
    <m/>
    <m/>
    <m/>
    <m/>
  </r>
  <r>
    <x v="53"/>
    <x v="12"/>
    <m/>
    <m/>
    <m/>
    <m/>
    <m/>
    <m/>
    <m/>
  </r>
  <r>
    <x v="54"/>
    <x v="0"/>
    <m/>
    <m/>
    <m/>
    <m/>
    <m/>
    <m/>
    <m/>
  </r>
  <r>
    <x v="54"/>
    <x v="1"/>
    <m/>
    <m/>
    <m/>
    <m/>
    <m/>
    <m/>
    <m/>
  </r>
  <r>
    <x v="54"/>
    <x v="2"/>
    <m/>
    <m/>
    <m/>
    <m/>
    <m/>
    <m/>
    <m/>
  </r>
  <r>
    <x v="54"/>
    <x v="3"/>
    <m/>
    <m/>
    <m/>
    <m/>
    <m/>
    <m/>
    <m/>
  </r>
  <r>
    <x v="54"/>
    <x v="4"/>
    <m/>
    <m/>
    <m/>
    <m/>
    <m/>
    <m/>
    <m/>
  </r>
  <r>
    <x v="54"/>
    <x v="5"/>
    <m/>
    <m/>
    <m/>
    <m/>
    <m/>
    <n v="1"/>
    <m/>
  </r>
  <r>
    <x v="54"/>
    <x v="6"/>
    <m/>
    <m/>
    <m/>
    <m/>
    <m/>
    <m/>
    <m/>
  </r>
  <r>
    <x v="54"/>
    <x v="7"/>
    <m/>
    <m/>
    <m/>
    <m/>
    <m/>
    <n v="2"/>
    <m/>
  </r>
  <r>
    <x v="54"/>
    <x v="8"/>
    <m/>
    <m/>
    <m/>
    <m/>
    <m/>
    <n v="1"/>
    <m/>
  </r>
  <r>
    <x v="54"/>
    <x v="9"/>
    <m/>
    <m/>
    <m/>
    <m/>
    <m/>
    <m/>
    <m/>
  </r>
  <r>
    <x v="54"/>
    <x v="10"/>
    <m/>
    <m/>
    <m/>
    <m/>
    <m/>
    <n v="7"/>
    <m/>
  </r>
  <r>
    <x v="54"/>
    <x v="11"/>
    <m/>
    <m/>
    <m/>
    <m/>
    <m/>
    <m/>
    <m/>
  </r>
  <r>
    <x v="54"/>
    <x v="12"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6">
  <r>
    <x v="0"/>
    <x v="0"/>
    <m/>
    <m/>
    <m/>
    <m/>
    <m/>
    <m/>
    <m/>
    <m/>
    <m/>
    <n v="0"/>
  </r>
  <r>
    <x v="0"/>
    <x v="1"/>
    <m/>
    <m/>
    <m/>
    <m/>
    <m/>
    <m/>
    <m/>
    <m/>
    <m/>
    <n v="0"/>
  </r>
  <r>
    <x v="0"/>
    <x v="2"/>
    <m/>
    <m/>
    <m/>
    <m/>
    <m/>
    <m/>
    <m/>
    <m/>
    <m/>
    <n v="0"/>
  </r>
  <r>
    <x v="0"/>
    <x v="3"/>
    <m/>
    <m/>
    <m/>
    <m/>
    <m/>
    <m/>
    <m/>
    <m/>
    <m/>
    <n v="0"/>
  </r>
  <r>
    <x v="0"/>
    <x v="4"/>
    <m/>
    <m/>
    <m/>
    <m/>
    <m/>
    <m/>
    <m/>
    <m/>
    <m/>
    <n v="0"/>
  </r>
  <r>
    <x v="0"/>
    <x v="5"/>
    <m/>
    <m/>
    <m/>
    <m/>
    <m/>
    <m/>
    <m/>
    <m/>
    <m/>
    <n v="0"/>
  </r>
  <r>
    <x v="0"/>
    <x v="6"/>
    <m/>
    <m/>
    <m/>
    <m/>
    <m/>
    <m/>
    <m/>
    <m/>
    <m/>
    <n v="0"/>
  </r>
  <r>
    <x v="0"/>
    <x v="7"/>
    <m/>
    <m/>
    <m/>
    <m/>
    <m/>
    <m/>
    <m/>
    <m/>
    <m/>
    <n v="0"/>
  </r>
  <r>
    <x v="0"/>
    <x v="8"/>
    <m/>
    <m/>
    <m/>
    <m/>
    <m/>
    <m/>
    <m/>
    <m/>
    <m/>
    <n v="0"/>
  </r>
  <r>
    <x v="0"/>
    <x v="9"/>
    <m/>
    <m/>
    <m/>
    <m/>
    <m/>
    <m/>
    <m/>
    <m/>
    <m/>
    <n v="0"/>
  </r>
  <r>
    <x v="0"/>
    <x v="10"/>
    <m/>
    <m/>
    <m/>
    <m/>
    <m/>
    <m/>
    <m/>
    <m/>
    <m/>
    <n v="0"/>
  </r>
  <r>
    <x v="0"/>
    <x v="11"/>
    <m/>
    <m/>
    <m/>
    <m/>
    <m/>
    <m/>
    <m/>
    <m/>
    <m/>
    <n v="0"/>
  </r>
  <r>
    <x v="0"/>
    <x v="12"/>
    <m/>
    <m/>
    <m/>
    <m/>
    <m/>
    <m/>
    <m/>
    <m/>
    <m/>
    <n v="0"/>
  </r>
  <r>
    <x v="0"/>
    <x v="13"/>
    <m/>
    <m/>
    <m/>
    <m/>
    <m/>
    <m/>
    <m/>
    <m/>
    <m/>
    <n v="0"/>
  </r>
  <r>
    <x v="0"/>
    <x v="14"/>
    <m/>
    <m/>
    <m/>
    <m/>
    <m/>
    <m/>
    <m/>
    <m/>
    <m/>
    <n v="0"/>
  </r>
  <r>
    <x v="0"/>
    <x v="15"/>
    <m/>
    <m/>
    <m/>
    <m/>
    <m/>
    <m/>
    <m/>
    <m/>
    <m/>
    <n v="0"/>
  </r>
  <r>
    <x v="0"/>
    <x v="16"/>
    <m/>
    <m/>
    <m/>
    <m/>
    <m/>
    <m/>
    <m/>
    <m/>
    <m/>
    <n v="0"/>
  </r>
  <r>
    <x v="0"/>
    <x v="17"/>
    <m/>
    <m/>
    <m/>
    <m/>
    <m/>
    <m/>
    <m/>
    <m/>
    <m/>
    <n v="0"/>
  </r>
  <r>
    <x v="0"/>
    <x v="18"/>
    <m/>
    <m/>
    <m/>
    <m/>
    <m/>
    <m/>
    <m/>
    <m/>
    <m/>
    <n v="0"/>
  </r>
  <r>
    <x v="0"/>
    <x v="19"/>
    <m/>
    <m/>
    <m/>
    <m/>
    <m/>
    <m/>
    <m/>
    <m/>
    <m/>
    <n v="0"/>
  </r>
  <r>
    <x v="0"/>
    <x v="20"/>
    <m/>
    <m/>
    <n v="14"/>
    <n v="14"/>
    <m/>
    <m/>
    <m/>
    <n v="2"/>
    <m/>
    <n v="30"/>
  </r>
  <r>
    <x v="0"/>
    <x v="21"/>
    <m/>
    <m/>
    <m/>
    <m/>
    <m/>
    <m/>
    <m/>
    <m/>
    <m/>
    <n v="0"/>
  </r>
  <r>
    <x v="0"/>
    <x v="22"/>
    <m/>
    <m/>
    <m/>
    <m/>
    <m/>
    <m/>
    <m/>
    <m/>
    <m/>
    <n v="0"/>
  </r>
  <r>
    <x v="0"/>
    <x v="23"/>
    <m/>
    <m/>
    <m/>
    <m/>
    <m/>
    <m/>
    <m/>
    <m/>
    <m/>
    <n v="0"/>
  </r>
  <r>
    <x v="0"/>
    <x v="24"/>
    <m/>
    <m/>
    <m/>
    <m/>
    <m/>
    <m/>
    <m/>
    <m/>
    <m/>
    <n v="0"/>
  </r>
  <r>
    <x v="0"/>
    <x v="25"/>
    <m/>
    <m/>
    <m/>
    <m/>
    <m/>
    <m/>
    <m/>
    <m/>
    <m/>
    <n v="0"/>
  </r>
  <r>
    <x v="0"/>
    <x v="26"/>
    <m/>
    <m/>
    <n v="4"/>
    <n v="4"/>
    <n v="2"/>
    <n v="2"/>
    <n v="2"/>
    <n v="4"/>
    <m/>
    <n v="18"/>
  </r>
  <r>
    <x v="0"/>
    <x v="27"/>
    <m/>
    <m/>
    <m/>
    <m/>
    <m/>
    <m/>
    <m/>
    <m/>
    <m/>
    <n v="0"/>
  </r>
  <r>
    <x v="0"/>
    <x v="28"/>
    <m/>
    <m/>
    <m/>
    <m/>
    <m/>
    <m/>
    <m/>
    <m/>
    <m/>
    <n v="0"/>
  </r>
  <r>
    <x v="0"/>
    <x v="29"/>
    <m/>
    <m/>
    <m/>
    <m/>
    <m/>
    <m/>
    <m/>
    <m/>
    <m/>
    <n v="0"/>
  </r>
  <r>
    <x v="0"/>
    <x v="30"/>
    <m/>
    <m/>
    <m/>
    <m/>
    <m/>
    <m/>
    <m/>
    <m/>
    <m/>
    <n v="0"/>
  </r>
  <r>
    <x v="0"/>
    <x v="31"/>
    <n v="9"/>
    <n v="16"/>
    <n v="25"/>
    <n v="11"/>
    <n v="17"/>
    <n v="5"/>
    <n v="13"/>
    <n v="18"/>
    <n v="9"/>
    <n v="123"/>
  </r>
  <r>
    <x v="0"/>
    <x v="32"/>
    <m/>
    <m/>
    <m/>
    <m/>
    <m/>
    <m/>
    <m/>
    <m/>
    <m/>
    <n v="0"/>
  </r>
  <r>
    <x v="0"/>
    <x v="33"/>
    <m/>
    <m/>
    <m/>
    <m/>
    <m/>
    <m/>
    <m/>
    <m/>
    <m/>
    <n v="0"/>
  </r>
  <r>
    <x v="0"/>
    <x v="34"/>
    <m/>
    <m/>
    <m/>
    <m/>
    <m/>
    <m/>
    <m/>
    <m/>
    <m/>
    <n v="0"/>
  </r>
  <r>
    <x v="0"/>
    <x v="35"/>
    <m/>
    <m/>
    <m/>
    <m/>
    <m/>
    <m/>
    <m/>
    <m/>
    <m/>
    <n v="0"/>
  </r>
  <r>
    <x v="0"/>
    <x v="36"/>
    <m/>
    <m/>
    <m/>
    <m/>
    <m/>
    <m/>
    <m/>
    <m/>
    <m/>
    <n v="0"/>
  </r>
  <r>
    <x v="0"/>
    <x v="37"/>
    <m/>
    <m/>
    <m/>
    <m/>
    <m/>
    <m/>
    <m/>
    <m/>
    <m/>
    <n v="0"/>
  </r>
  <r>
    <x v="0"/>
    <x v="38"/>
    <m/>
    <m/>
    <n v="1"/>
    <n v="1"/>
    <m/>
    <m/>
    <m/>
    <m/>
    <m/>
    <n v="2"/>
  </r>
  <r>
    <x v="0"/>
    <x v="39"/>
    <m/>
    <m/>
    <m/>
    <m/>
    <m/>
    <m/>
    <m/>
    <m/>
    <m/>
    <n v="0"/>
  </r>
  <r>
    <x v="0"/>
    <x v="40"/>
    <m/>
    <m/>
    <m/>
    <m/>
    <m/>
    <m/>
    <m/>
    <m/>
    <m/>
    <n v="0"/>
  </r>
  <r>
    <x v="0"/>
    <x v="41"/>
    <m/>
    <m/>
    <m/>
    <m/>
    <m/>
    <m/>
    <m/>
    <m/>
    <m/>
    <n v="0"/>
  </r>
  <r>
    <x v="0"/>
    <x v="42"/>
    <m/>
    <m/>
    <m/>
    <m/>
    <m/>
    <m/>
    <m/>
    <m/>
    <m/>
    <n v="0"/>
  </r>
  <r>
    <x v="0"/>
    <x v="43"/>
    <m/>
    <m/>
    <m/>
    <m/>
    <m/>
    <m/>
    <m/>
    <m/>
    <m/>
    <n v="0"/>
  </r>
  <r>
    <x v="0"/>
    <x v="44"/>
    <m/>
    <m/>
    <m/>
    <m/>
    <m/>
    <m/>
    <m/>
    <m/>
    <m/>
    <n v="0"/>
  </r>
  <r>
    <x v="0"/>
    <x v="45"/>
    <m/>
    <m/>
    <m/>
    <m/>
    <m/>
    <m/>
    <m/>
    <m/>
    <m/>
    <n v="0"/>
  </r>
  <r>
    <x v="0"/>
    <x v="46"/>
    <m/>
    <m/>
    <m/>
    <m/>
    <m/>
    <m/>
    <m/>
    <m/>
    <m/>
    <n v="0"/>
  </r>
  <r>
    <x v="0"/>
    <x v="47"/>
    <m/>
    <m/>
    <m/>
    <m/>
    <m/>
    <m/>
    <m/>
    <m/>
    <m/>
    <n v="0"/>
  </r>
  <r>
    <x v="0"/>
    <x v="48"/>
    <m/>
    <m/>
    <m/>
    <m/>
    <m/>
    <m/>
    <m/>
    <m/>
    <m/>
    <n v="0"/>
  </r>
  <r>
    <x v="0"/>
    <x v="49"/>
    <m/>
    <m/>
    <m/>
    <m/>
    <m/>
    <m/>
    <m/>
    <m/>
    <m/>
    <n v="0"/>
  </r>
  <r>
    <x v="0"/>
    <x v="50"/>
    <m/>
    <m/>
    <m/>
    <m/>
    <m/>
    <m/>
    <m/>
    <m/>
    <m/>
    <n v="0"/>
  </r>
  <r>
    <x v="0"/>
    <x v="51"/>
    <m/>
    <m/>
    <m/>
    <m/>
    <m/>
    <m/>
    <m/>
    <m/>
    <m/>
    <n v="0"/>
  </r>
  <r>
    <x v="1"/>
    <x v="0"/>
    <m/>
    <m/>
    <m/>
    <m/>
    <m/>
    <m/>
    <m/>
    <m/>
    <m/>
    <n v="0"/>
  </r>
  <r>
    <x v="1"/>
    <x v="1"/>
    <n v="8"/>
    <n v="10"/>
    <n v="10"/>
    <m/>
    <m/>
    <m/>
    <m/>
    <n v="10"/>
    <n v="2"/>
    <n v="40"/>
  </r>
  <r>
    <x v="1"/>
    <x v="2"/>
    <n v="6"/>
    <n v="10"/>
    <n v="10"/>
    <m/>
    <m/>
    <m/>
    <m/>
    <n v="10"/>
    <n v="2"/>
    <n v="38"/>
  </r>
  <r>
    <x v="1"/>
    <x v="3"/>
    <m/>
    <m/>
    <m/>
    <m/>
    <m/>
    <m/>
    <m/>
    <m/>
    <m/>
    <n v="0"/>
  </r>
  <r>
    <x v="1"/>
    <x v="4"/>
    <n v="20"/>
    <n v="20"/>
    <n v="20"/>
    <m/>
    <m/>
    <m/>
    <m/>
    <n v="20"/>
    <n v="4"/>
    <n v="84"/>
  </r>
  <r>
    <x v="1"/>
    <x v="5"/>
    <m/>
    <m/>
    <m/>
    <m/>
    <m/>
    <m/>
    <m/>
    <m/>
    <m/>
    <n v="0"/>
  </r>
  <r>
    <x v="1"/>
    <x v="6"/>
    <m/>
    <m/>
    <m/>
    <m/>
    <m/>
    <m/>
    <m/>
    <m/>
    <m/>
    <n v="0"/>
  </r>
  <r>
    <x v="1"/>
    <x v="7"/>
    <m/>
    <m/>
    <m/>
    <m/>
    <m/>
    <m/>
    <m/>
    <m/>
    <m/>
    <n v="0"/>
  </r>
  <r>
    <x v="1"/>
    <x v="8"/>
    <n v="8"/>
    <n v="10"/>
    <n v="10"/>
    <m/>
    <m/>
    <m/>
    <m/>
    <n v="10"/>
    <n v="2"/>
    <n v="40"/>
  </r>
  <r>
    <x v="1"/>
    <x v="9"/>
    <n v="4"/>
    <n v="2"/>
    <n v="4"/>
    <m/>
    <m/>
    <m/>
    <m/>
    <n v="4"/>
    <n v="2"/>
    <n v="16"/>
  </r>
  <r>
    <x v="1"/>
    <x v="10"/>
    <m/>
    <m/>
    <m/>
    <m/>
    <m/>
    <m/>
    <m/>
    <m/>
    <m/>
    <n v="0"/>
  </r>
  <r>
    <x v="1"/>
    <x v="11"/>
    <n v="2"/>
    <m/>
    <n v="1"/>
    <m/>
    <m/>
    <m/>
    <m/>
    <n v="1"/>
    <m/>
    <n v="4"/>
  </r>
  <r>
    <x v="1"/>
    <x v="12"/>
    <n v="6"/>
    <n v="8"/>
    <n v="6"/>
    <m/>
    <m/>
    <m/>
    <m/>
    <n v="6"/>
    <n v="4"/>
    <n v="30"/>
  </r>
  <r>
    <x v="1"/>
    <x v="13"/>
    <m/>
    <m/>
    <m/>
    <m/>
    <m/>
    <m/>
    <m/>
    <m/>
    <m/>
    <n v="0"/>
  </r>
  <r>
    <x v="1"/>
    <x v="14"/>
    <m/>
    <m/>
    <m/>
    <m/>
    <m/>
    <m/>
    <m/>
    <m/>
    <m/>
    <n v="0"/>
  </r>
  <r>
    <x v="1"/>
    <x v="15"/>
    <n v="12"/>
    <n v="14"/>
    <n v="10"/>
    <m/>
    <m/>
    <m/>
    <m/>
    <n v="10"/>
    <n v="6"/>
    <n v="52"/>
  </r>
  <r>
    <x v="1"/>
    <x v="16"/>
    <m/>
    <m/>
    <m/>
    <m/>
    <m/>
    <m/>
    <m/>
    <m/>
    <m/>
    <n v="0"/>
  </r>
  <r>
    <x v="1"/>
    <x v="17"/>
    <m/>
    <m/>
    <m/>
    <m/>
    <m/>
    <m/>
    <m/>
    <m/>
    <m/>
    <n v="0"/>
  </r>
  <r>
    <x v="1"/>
    <x v="18"/>
    <m/>
    <m/>
    <m/>
    <m/>
    <m/>
    <m/>
    <m/>
    <m/>
    <m/>
    <n v="0"/>
  </r>
  <r>
    <x v="1"/>
    <x v="19"/>
    <m/>
    <m/>
    <m/>
    <m/>
    <m/>
    <m/>
    <m/>
    <m/>
    <m/>
    <n v="0"/>
  </r>
  <r>
    <x v="1"/>
    <x v="20"/>
    <m/>
    <m/>
    <m/>
    <m/>
    <m/>
    <m/>
    <m/>
    <m/>
    <m/>
    <n v="0"/>
  </r>
  <r>
    <x v="1"/>
    <x v="21"/>
    <m/>
    <m/>
    <m/>
    <m/>
    <m/>
    <m/>
    <m/>
    <m/>
    <m/>
    <n v="0"/>
  </r>
  <r>
    <x v="1"/>
    <x v="22"/>
    <m/>
    <m/>
    <m/>
    <m/>
    <m/>
    <m/>
    <m/>
    <m/>
    <m/>
    <n v="0"/>
  </r>
  <r>
    <x v="1"/>
    <x v="23"/>
    <m/>
    <m/>
    <m/>
    <m/>
    <m/>
    <m/>
    <m/>
    <m/>
    <m/>
    <n v="0"/>
  </r>
  <r>
    <x v="1"/>
    <x v="24"/>
    <m/>
    <m/>
    <m/>
    <m/>
    <m/>
    <m/>
    <m/>
    <m/>
    <m/>
    <n v="0"/>
  </r>
  <r>
    <x v="1"/>
    <x v="25"/>
    <n v="8"/>
    <n v="10"/>
    <n v="10"/>
    <m/>
    <m/>
    <m/>
    <m/>
    <n v="10"/>
    <n v="6"/>
    <n v="44"/>
  </r>
  <r>
    <x v="1"/>
    <x v="26"/>
    <m/>
    <m/>
    <m/>
    <m/>
    <m/>
    <m/>
    <m/>
    <m/>
    <m/>
    <n v="0"/>
  </r>
  <r>
    <x v="1"/>
    <x v="27"/>
    <m/>
    <m/>
    <m/>
    <m/>
    <m/>
    <m/>
    <m/>
    <m/>
    <m/>
    <n v="0"/>
  </r>
  <r>
    <x v="1"/>
    <x v="28"/>
    <m/>
    <m/>
    <m/>
    <m/>
    <m/>
    <m/>
    <m/>
    <m/>
    <m/>
    <n v="0"/>
  </r>
  <r>
    <x v="1"/>
    <x v="29"/>
    <m/>
    <m/>
    <m/>
    <m/>
    <m/>
    <m/>
    <m/>
    <m/>
    <m/>
    <n v="0"/>
  </r>
  <r>
    <x v="1"/>
    <x v="30"/>
    <m/>
    <m/>
    <m/>
    <m/>
    <m/>
    <m/>
    <m/>
    <m/>
    <m/>
    <n v="0"/>
  </r>
  <r>
    <x v="1"/>
    <x v="31"/>
    <m/>
    <m/>
    <m/>
    <m/>
    <m/>
    <m/>
    <m/>
    <m/>
    <m/>
    <n v="0"/>
  </r>
  <r>
    <x v="1"/>
    <x v="32"/>
    <n v="2"/>
    <n v="4"/>
    <n v="4"/>
    <m/>
    <m/>
    <m/>
    <m/>
    <n v="4"/>
    <n v="2"/>
    <n v="16"/>
  </r>
  <r>
    <x v="1"/>
    <x v="33"/>
    <m/>
    <m/>
    <m/>
    <m/>
    <m/>
    <m/>
    <m/>
    <m/>
    <m/>
    <n v="0"/>
  </r>
  <r>
    <x v="1"/>
    <x v="34"/>
    <m/>
    <m/>
    <m/>
    <m/>
    <m/>
    <m/>
    <m/>
    <m/>
    <m/>
    <n v="0"/>
  </r>
  <r>
    <x v="1"/>
    <x v="35"/>
    <n v="10"/>
    <n v="16"/>
    <n v="16"/>
    <m/>
    <m/>
    <m/>
    <m/>
    <n v="6"/>
    <n v="10"/>
    <n v="58"/>
  </r>
  <r>
    <x v="1"/>
    <x v="36"/>
    <n v="6"/>
    <n v="8"/>
    <n v="6"/>
    <m/>
    <m/>
    <m/>
    <m/>
    <n v="6"/>
    <n v="6"/>
    <n v="32"/>
  </r>
  <r>
    <x v="1"/>
    <x v="37"/>
    <n v="10"/>
    <n v="10"/>
    <n v="10"/>
    <m/>
    <m/>
    <m/>
    <m/>
    <n v="10"/>
    <n v="10"/>
    <n v="50"/>
  </r>
  <r>
    <x v="1"/>
    <x v="38"/>
    <m/>
    <m/>
    <m/>
    <m/>
    <m/>
    <m/>
    <m/>
    <m/>
    <m/>
    <n v="0"/>
  </r>
  <r>
    <x v="1"/>
    <x v="39"/>
    <m/>
    <m/>
    <m/>
    <m/>
    <m/>
    <m/>
    <m/>
    <m/>
    <m/>
    <n v="0"/>
  </r>
  <r>
    <x v="1"/>
    <x v="40"/>
    <m/>
    <m/>
    <m/>
    <m/>
    <m/>
    <m/>
    <m/>
    <m/>
    <m/>
    <n v="0"/>
  </r>
  <r>
    <x v="1"/>
    <x v="41"/>
    <m/>
    <m/>
    <m/>
    <m/>
    <m/>
    <m/>
    <m/>
    <m/>
    <m/>
    <n v="0"/>
  </r>
  <r>
    <x v="1"/>
    <x v="42"/>
    <n v="18"/>
    <n v="20"/>
    <n v="16"/>
    <m/>
    <m/>
    <m/>
    <m/>
    <n v="16"/>
    <n v="20"/>
    <n v="90"/>
  </r>
  <r>
    <x v="1"/>
    <x v="43"/>
    <n v="10"/>
    <n v="12"/>
    <n v="12"/>
    <m/>
    <m/>
    <m/>
    <m/>
    <n v="8"/>
    <n v="10"/>
    <n v="52"/>
  </r>
  <r>
    <x v="1"/>
    <x v="44"/>
    <m/>
    <m/>
    <m/>
    <m/>
    <m/>
    <m/>
    <m/>
    <m/>
    <m/>
    <n v="0"/>
  </r>
  <r>
    <x v="1"/>
    <x v="45"/>
    <m/>
    <m/>
    <m/>
    <m/>
    <m/>
    <m/>
    <m/>
    <m/>
    <m/>
    <n v="0"/>
  </r>
  <r>
    <x v="1"/>
    <x v="46"/>
    <m/>
    <m/>
    <m/>
    <m/>
    <m/>
    <m/>
    <m/>
    <m/>
    <m/>
    <n v="0"/>
  </r>
  <r>
    <x v="1"/>
    <x v="47"/>
    <m/>
    <m/>
    <m/>
    <m/>
    <m/>
    <m/>
    <m/>
    <m/>
    <m/>
    <n v="0"/>
  </r>
  <r>
    <x v="1"/>
    <x v="48"/>
    <m/>
    <m/>
    <m/>
    <m/>
    <m/>
    <m/>
    <m/>
    <m/>
    <m/>
    <n v="0"/>
  </r>
  <r>
    <x v="1"/>
    <x v="49"/>
    <m/>
    <m/>
    <m/>
    <m/>
    <m/>
    <m/>
    <m/>
    <m/>
    <m/>
    <n v="0"/>
  </r>
  <r>
    <x v="1"/>
    <x v="50"/>
    <n v="6"/>
    <n v="8"/>
    <n v="6"/>
    <m/>
    <m/>
    <m/>
    <m/>
    <n v="6"/>
    <n v="6"/>
    <n v="32"/>
  </r>
  <r>
    <x v="1"/>
    <x v="51"/>
    <n v="8"/>
    <n v="12"/>
    <n v="10"/>
    <m/>
    <m/>
    <m/>
    <m/>
    <n v="8"/>
    <n v="6"/>
    <n v="44"/>
  </r>
  <r>
    <x v="2"/>
    <x v="0"/>
    <m/>
    <m/>
    <m/>
    <m/>
    <m/>
    <m/>
    <m/>
    <m/>
    <m/>
    <n v="0"/>
  </r>
  <r>
    <x v="2"/>
    <x v="1"/>
    <m/>
    <m/>
    <m/>
    <m/>
    <m/>
    <m/>
    <m/>
    <m/>
    <m/>
    <n v="0"/>
  </r>
  <r>
    <x v="2"/>
    <x v="2"/>
    <m/>
    <m/>
    <m/>
    <m/>
    <m/>
    <m/>
    <m/>
    <m/>
    <m/>
    <n v="0"/>
  </r>
  <r>
    <x v="2"/>
    <x v="3"/>
    <m/>
    <m/>
    <m/>
    <m/>
    <m/>
    <m/>
    <m/>
    <m/>
    <m/>
    <n v="0"/>
  </r>
  <r>
    <x v="2"/>
    <x v="4"/>
    <m/>
    <m/>
    <m/>
    <m/>
    <m/>
    <m/>
    <m/>
    <m/>
    <m/>
    <n v="0"/>
  </r>
  <r>
    <x v="2"/>
    <x v="5"/>
    <m/>
    <m/>
    <m/>
    <m/>
    <m/>
    <m/>
    <m/>
    <m/>
    <m/>
    <n v="0"/>
  </r>
  <r>
    <x v="2"/>
    <x v="6"/>
    <m/>
    <m/>
    <m/>
    <m/>
    <m/>
    <m/>
    <m/>
    <m/>
    <m/>
    <n v="0"/>
  </r>
  <r>
    <x v="2"/>
    <x v="7"/>
    <m/>
    <m/>
    <m/>
    <m/>
    <m/>
    <m/>
    <m/>
    <m/>
    <m/>
    <n v="0"/>
  </r>
  <r>
    <x v="2"/>
    <x v="8"/>
    <m/>
    <m/>
    <m/>
    <m/>
    <m/>
    <m/>
    <m/>
    <m/>
    <m/>
    <n v="0"/>
  </r>
  <r>
    <x v="2"/>
    <x v="9"/>
    <m/>
    <m/>
    <m/>
    <m/>
    <m/>
    <m/>
    <m/>
    <m/>
    <m/>
    <n v="0"/>
  </r>
  <r>
    <x v="2"/>
    <x v="10"/>
    <m/>
    <m/>
    <m/>
    <m/>
    <m/>
    <m/>
    <m/>
    <m/>
    <m/>
    <n v="0"/>
  </r>
  <r>
    <x v="2"/>
    <x v="11"/>
    <m/>
    <m/>
    <m/>
    <m/>
    <m/>
    <m/>
    <m/>
    <m/>
    <m/>
    <n v="0"/>
  </r>
  <r>
    <x v="2"/>
    <x v="12"/>
    <m/>
    <m/>
    <m/>
    <m/>
    <m/>
    <m/>
    <m/>
    <m/>
    <m/>
    <n v="0"/>
  </r>
  <r>
    <x v="2"/>
    <x v="13"/>
    <m/>
    <m/>
    <m/>
    <m/>
    <m/>
    <m/>
    <m/>
    <m/>
    <m/>
    <n v="0"/>
  </r>
  <r>
    <x v="2"/>
    <x v="14"/>
    <m/>
    <m/>
    <m/>
    <m/>
    <m/>
    <m/>
    <m/>
    <m/>
    <m/>
    <n v="0"/>
  </r>
  <r>
    <x v="2"/>
    <x v="15"/>
    <m/>
    <m/>
    <m/>
    <m/>
    <m/>
    <m/>
    <m/>
    <m/>
    <m/>
    <n v="0"/>
  </r>
  <r>
    <x v="2"/>
    <x v="16"/>
    <m/>
    <m/>
    <m/>
    <m/>
    <m/>
    <m/>
    <m/>
    <m/>
    <m/>
    <n v="0"/>
  </r>
  <r>
    <x v="2"/>
    <x v="17"/>
    <m/>
    <m/>
    <m/>
    <m/>
    <m/>
    <m/>
    <m/>
    <m/>
    <m/>
    <n v="0"/>
  </r>
  <r>
    <x v="2"/>
    <x v="18"/>
    <m/>
    <m/>
    <m/>
    <m/>
    <m/>
    <m/>
    <m/>
    <m/>
    <m/>
    <n v="0"/>
  </r>
  <r>
    <x v="2"/>
    <x v="19"/>
    <m/>
    <m/>
    <m/>
    <m/>
    <m/>
    <m/>
    <m/>
    <m/>
    <m/>
    <n v="0"/>
  </r>
  <r>
    <x v="2"/>
    <x v="20"/>
    <m/>
    <m/>
    <m/>
    <m/>
    <m/>
    <m/>
    <m/>
    <m/>
    <m/>
    <n v="0"/>
  </r>
  <r>
    <x v="2"/>
    <x v="21"/>
    <m/>
    <m/>
    <m/>
    <m/>
    <m/>
    <m/>
    <m/>
    <m/>
    <m/>
    <n v="0"/>
  </r>
  <r>
    <x v="2"/>
    <x v="22"/>
    <m/>
    <m/>
    <m/>
    <m/>
    <m/>
    <m/>
    <m/>
    <m/>
    <m/>
    <n v="0"/>
  </r>
  <r>
    <x v="2"/>
    <x v="23"/>
    <m/>
    <m/>
    <m/>
    <m/>
    <m/>
    <m/>
    <m/>
    <m/>
    <m/>
    <n v="0"/>
  </r>
  <r>
    <x v="2"/>
    <x v="24"/>
    <m/>
    <m/>
    <m/>
    <m/>
    <m/>
    <m/>
    <m/>
    <m/>
    <m/>
    <n v="0"/>
  </r>
  <r>
    <x v="2"/>
    <x v="25"/>
    <m/>
    <m/>
    <m/>
    <m/>
    <m/>
    <m/>
    <m/>
    <m/>
    <m/>
    <n v="0"/>
  </r>
  <r>
    <x v="2"/>
    <x v="26"/>
    <m/>
    <m/>
    <m/>
    <m/>
    <m/>
    <m/>
    <m/>
    <m/>
    <m/>
    <n v="0"/>
  </r>
  <r>
    <x v="2"/>
    <x v="27"/>
    <m/>
    <m/>
    <m/>
    <m/>
    <m/>
    <m/>
    <m/>
    <m/>
    <m/>
    <n v="0"/>
  </r>
  <r>
    <x v="2"/>
    <x v="28"/>
    <m/>
    <m/>
    <m/>
    <m/>
    <m/>
    <m/>
    <m/>
    <m/>
    <m/>
    <n v="0"/>
  </r>
  <r>
    <x v="2"/>
    <x v="29"/>
    <m/>
    <m/>
    <m/>
    <m/>
    <m/>
    <m/>
    <m/>
    <m/>
    <m/>
    <n v="0"/>
  </r>
  <r>
    <x v="2"/>
    <x v="30"/>
    <m/>
    <m/>
    <m/>
    <m/>
    <m/>
    <m/>
    <m/>
    <m/>
    <m/>
    <n v="0"/>
  </r>
  <r>
    <x v="2"/>
    <x v="31"/>
    <m/>
    <m/>
    <m/>
    <m/>
    <m/>
    <m/>
    <m/>
    <m/>
    <m/>
    <n v="0"/>
  </r>
  <r>
    <x v="2"/>
    <x v="32"/>
    <m/>
    <m/>
    <m/>
    <m/>
    <m/>
    <m/>
    <m/>
    <m/>
    <m/>
    <n v="0"/>
  </r>
  <r>
    <x v="2"/>
    <x v="33"/>
    <m/>
    <m/>
    <m/>
    <m/>
    <m/>
    <m/>
    <m/>
    <m/>
    <m/>
    <n v="0"/>
  </r>
  <r>
    <x v="2"/>
    <x v="34"/>
    <m/>
    <m/>
    <m/>
    <m/>
    <m/>
    <m/>
    <m/>
    <m/>
    <m/>
    <n v="0"/>
  </r>
  <r>
    <x v="2"/>
    <x v="35"/>
    <m/>
    <m/>
    <m/>
    <m/>
    <m/>
    <m/>
    <m/>
    <m/>
    <m/>
    <n v="0"/>
  </r>
  <r>
    <x v="2"/>
    <x v="36"/>
    <m/>
    <m/>
    <m/>
    <m/>
    <m/>
    <m/>
    <m/>
    <m/>
    <m/>
    <n v="0"/>
  </r>
  <r>
    <x v="2"/>
    <x v="37"/>
    <m/>
    <m/>
    <m/>
    <m/>
    <m/>
    <m/>
    <m/>
    <m/>
    <m/>
    <n v="0"/>
  </r>
  <r>
    <x v="2"/>
    <x v="38"/>
    <m/>
    <m/>
    <m/>
    <m/>
    <m/>
    <m/>
    <m/>
    <m/>
    <m/>
    <n v="0"/>
  </r>
  <r>
    <x v="2"/>
    <x v="39"/>
    <m/>
    <m/>
    <m/>
    <m/>
    <m/>
    <m/>
    <m/>
    <m/>
    <m/>
    <n v="0"/>
  </r>
  <r>
    <x v="2"/>
    <x v="40"/>
    <m/>
    <m/>
    <m/>
    <m/>
    <m/>
    <m/>
    <m/>
    <m/>
    <m/>
    <n v="0"/>
  </r>
  <r>
    <x v="2"/>
    <x v="41"/>
    <m/>
    <m/>
    <m/>
    <m/>
    <m/>
    <m/>
    <m/>
    <m/>
    <m/>
    <n v="0"/>
  </r>
  <r>
    <x v="2"/>
    <x v="42"/>
    <m/>
    <m/>
    <m/>
    <m/>
    <m/>
    <m/>
    <m/>
    <m/>
    <m/>
    <n v="0"/>
  </r>
  <r>
    <x v="2"/>
    <x v="43"/>
    <m/>
    <m/>
    <m/>
    <m/>
    <m/>
    <m/>
    <m/>
    <m/>
    <m/>
    <n v="0"/>
  </r>
  <r>
    <x v="2"/>
    <x v="44"/>
    <m/>
    <m/>
    <m/>
    <m/>
    <m/>
    <m/>
    <m/>
    <m/>
    <m/>
    <n v="0"/>
  </r>
  <r>
    <x v="2"/>
    <x v="45"/>
    <m/>
    <m/>
    <m/>
    <m/>
    <m/>
    <m/>
    <m/>
    <m/>
    <m/>
    <n v="0"/>
  </r>
  <r>
    <x v="2"/>
    <x v="46"/>
    <m/>
    <m/>
    <m/>
    <m/>
    <m/>
    <m/>
    <m/>
    <m/>
    <m/>
    <n v="0"/>
  </r>
  <r>
    <x v="2"/>
    <x v="47"/>
    <m/>
    <m/>
    <m/>
    <m/>
    <m/>
    <m/>
    <m/>
    <m/>
    <m/>
    <n v="0"/>
  </r>
  <r>
    <x v="2"/>
    <x v="48"/>
    <m/>
    <m/>
    <m/>
    <m/>
    <m/>
    <m/>
    <m/>
    <m/>
    <m/>
    <n v="0"/>
  </r>
  <r>
    <x v="2"/>
    <x v="49"/>
    <m/>
    <m/>
    <n v="2"/>
    <m/>
    <m/>
    <m/>
    <m/>
    <m/>
    <m/>
    <n v="2"/>
  </r>
  <r>
    <x v="2"/>
    <x v="50"/>
    <m/>
    <m/>
    <m/>
    <m/>
    <m/>
    <m/>
    <m/>
    <m/>
    <m/>
    <n v="0"/>
  </r>
  <r>
    <x v="2"/>
    <x v="51"/>
    <m/>
    <m/>
    <m/>
    <m/>
    <m/>
    <m/>
    <m/>
    <m/>
    <m/>
    <n v="0"/>
  </r>
  <r>
    <x v="3"/>
    <x v="0"/>
    <m/>
    <m/>
    <m/>
    <m/>
    <m/>
    <m/>
    <m/>
    <m/>
    <m/>
    <n v="0"/>
  </r>
  <r>
    <x v="3"/>
    <x v="1"/>
    <m/>
    <m/>
    <m/>
    <m/>
    <m/>
    <m/>
    <m/>
    <m/>
    <m/>
    <n v="0"/>
  </r>
  <r>
    <x v="3"/>
    <x v="2"/>
    <m/>
    <m/>
    <n v="7"/>
    <n v="2"/>
    <m/>
    <m/>
    <m/>
    <m/>
    <m/>
    <n v="9"/>
  </r>
  <r>
    <x v="3"/>
    <x v="3"/>
    <m/>
    <m/>
    <m/>
    <m/>
    <m/>
    <m/>
    <m/>
    <m/>
    <m/>
    <n v="0"/>
  </r>
  <r>
    <x v="3"/>
    <x v="4"/>
    <m/>
    <m/>
    <n v="6"/>
    <n v="22"/>
    <n v="4"/>
    <m/>
    <m/>
    <n v="4"/>
    <n v="2"/>
    <n v="38"/>
  </r>
  <r>
    <x v="3"/>
    <x v="5"/>
    <m/>
    <m/>
    <m/>
    <m/>
    <m/>
    <m/>
    <m/>
    <m/>
    <m/>
    <n v="0"/>
  </r>
  <r>
    <x v="3"/>
    <x v="6"/>
    <m/>
    <m/>
    <n v="1"/>
    <n v="2"/>
    <m/>
    <m/>
    <m/>
    <n v="1"/>
    <m/>
    <n v="4"/>
  </r>
  <r>
    <x v="3"/>
    <x v="7"/>
    <m/>
    <m/>
    <m/>
    <m/>
    <m/>
    <m/>
    <m/>
    <m/>
    <m/>
    <n v="0"/>
  </r>
  <r>
    <x v="3"/>
    <x v="8"/>
    <m/>
    <m/>
    <m/>
    <m/>
    <m/>
    <m/>
    <m/>
    <m/>
    <m/>
    <n v="0"/>
  </r>
  <r>
    <x v="3"/>
    <x v="9"/>
    <m/>
    <m/>
    <m/>
    <m/>
    <m/>
    <m/>
    <m/>
    <m/>
    <m/>
    <n v="0"/>
  </r>
  <r>
    <x v="3"/>
    <x v="10"/>
    <m/>
    <m/>
    <n v="10"/>
    <n v="30"/>
    <m/>
    <n v="30"/>
    <m/>
    <n v="30"/>
    <m/>
    <n v="100"/>
  </r>
  <r>
    <x v="3"/>
    <x v="11"/>
    <m/>
    <m/>
    <m/>
    <m/>
    <m/>
    <m/>
    <m/>
    <m/>
    <m/>
    <n v="0"/>
  </r>
  <r>
    <x v="3"/>
    <x v="12"/>
    <m/>
    <m/>
    <m/>
    <m/>
    <m/>
    <m/>
    <m/>
    <m/>
    <m/>
    <n v="0"/>
  </r>
  <r>
    <x v="3"/>
    <x v="13"/>
    <m/>
    <m/>
    <m/>
    <m/>
    <m/>
    <m/>
    <m/>
    <m/>
    <m/>
    <n v="0"/>
  </r>
  <r>
    <x v="3"/>
    <x v="14"/>
    <m/>
    <m/>
    <m/>
    <m/>
    <m/>
    <m/>
    <n v="1"/>
    <n v="1"/>
    <m/>
    <n v="2"/>
  </r>
  <r>
    <x v="3"/>
    <x v="15"/>
    <m/>
    <m/>
    <m/>
    <m/>
    <m/>
    <m/>
    <m/>
    <m/>
    <m/>
    <n v="0"/>
  </r>
  <r>
    <x v="3"/>
    <x v="16"/>
    <m/>
    <m/>
    <m/>
    <m/>
    <m/>
    <m/>
    <m/>
    <m/>
    <m/>
    <n v="0"/>
  </r>
  <r>
    <x v="3"/>
    <x v="17"/>
    <m/>
    <m/>
    <m/>
    <m/>
    <m/>
    <m/>
    <m/>
    <m/>
    <m/>
    <n v="0"/>
  </r>
  <r>
    <x v="3"/>
    <x v="18"/>
    <m/>
    <m/>
    <m/>
    <m/>
    <m/>
    <m/>
    <m/>
    <m/>
    <m/>
    <n v="0"/>
  </r>
  <r>
    <x v="3"/>
    <x v="19"/>
    <m/>
    <m/>
    <m/>
    <m/>
    <m/>
    <m/>
    <m/>
    <m/>
    <m/>
    <n v="0"/>
  </r>
  <r>
    <x v="3"/>
    <x v="20"/>
    <m/>
    <m/>
    <m/>
    <m/>
    <m/>
    <m/>
    <m/>
    <m/>
    <m/>
    <n v="0"/>
  </r>
  <r>
    <x v="3"/>
    <x v="21"/>
    <m/>
    <m/>
    <m/>
    <m/>
    <m/>
    <m/>
    <m/>
    <m/>
    <m/>
    <n v="0"/>
  </r>
  <r>
    <x v="3"/>
    <x v="22"/>
    <m/>
    <m/>
    <m/>
    <m/>
    <n v="1"/>
    <n v="3"/>
    <n v="1"/>
    <n v="3"/>
    <m/>
    <n v="8"/>
  </r>
  <r>
    <x v="3"/>
    <x v="23"/>
    <m/>
    <m/>
    <m/>
    <m/>
    <m/>
    <m/>
    <m/>
    <m/>
    <m/>
    <n v="0"/>
  </r>
  <r>
    <x v="3"/>
    <x v="24"/>
    <m/>
    <m/>
    <m/>
    <m/>
    <m/>
    <m/>
    <m/>
    <m/>
    <m/>
    <n v="0"/>
  </r>
  <r>
    <x v="3"/>
    <x v="25"/>
    <m/>
    <m/>
    <m/>
    <m/>
    <m/>
    <m/>
    <m/>
    <m/>
    <m/>
    <n v="0"/>
  </r>
  <r>
    <x v="3"/>
    <x v="26"/>
    <m/>
    <m/>
    <m/>
    <n v="1"/>
    <m/>
    <m/>
    <m/>
    <m/>
    <m/>
    <n v="1"/>
  </r>
  <r>
    <x v="3"/>
    <x v="27"/>
    <m/>
    <m/>
    <m/>
    <m/>
    <m/>
    <m/>
    <m/>
    <m/>
    <m/>
    <n v="0"/>
  </r>
  <r>
    <x v="3"/>
    <x v="28"/>
    <m/>
    <m/>
    <m/>
    <m/>
    <m/>
    <m/>
    <m/>
    <m/>
    <m/>
    <n v="0"/>
  </r>
  <r>
    <x v="3"/>
    <x v="29"/>
    <m/>
    <m/>
    <m/>
    <m/>
    <n v="1"/>
    <m/>
    <m/>
    <m/>
    <m/>
    <n v="1"/>
  </r>
  <r>
    <x v="3"/>
    <x v="30"/>
    <m/>
    <n v="2"/>
    <n v="2"/>
    <m/>
    <n v="2"/>
    <m/>
    <m/>
    <n v="2"/>
    <n v="2"/>
    <n v="10"/>
  </r>
  <r>
    <x v="3"/>
    <x v="31"/>
    <n v="4"/>
    <n v="4"/>
    <n v="11"/>
    <n v="10"/>
    <n v="7"/>
    <n v="4"/>
    <n v="7"/>
    <n v="10"/>
    <n v="10"/>
    <n v="67"/>
  </r>
  <r>
    <x v="3"/>
    <x v="32"/>
    <m/>
    <m/>
    <m/>
    <m/>
    <m/>
    <m/>
    <m/>
    <m/>
    <m/>
    <n v="0"/>
  </r>
  <r>
    <x v="3"/>
    <x v="33"/>
    <m/>
    <m/>
    <m/>
    <m/>
    <m/>
    <m/>
    <m/>
    <m/>
    <m/>
    <n v="0"/>
  </r>
  <r>
    <x v="3"/>
    <x v="34"/>
    <m/>
    <m/>
    <m/>
    <m/>
    <m/>
    <m/>
    <m/>
    <m/>
    <m/>
    <n v="0"/>
  </r>
  <r>
    <x v="3"/>
    <x v="35"/>
    <n v="5"/>
    <n v="7"/>
    <n v="12"/>
    <n v="19"/>
    <n v="21"/>
    <n v="11"/>
    <n v="24"/>
    <n v="11"/>
    <n v="9"/>
    <n v="119"/>
  </r>
  <r>
    <x v="3"/>
    <x v="36"/>
    <m/>
    <m/>
    <m/>
    <m/>
    <m/>
    <m/>
    <m/>
    <m/>
    <m/>
    <n v="0"/>
  </r>
  <r>
    <x v="3"/>
    <x v="37"/>
    <m/>
    <m/>
    <m/>
    <m/>
    <m/>
    <m/>
    <m/>
    <m/>
    <m/>
    <n v="0"/>
  </r>
  <r>
    <x v="3"/>
    <x v="38"/>
    <m/>
    <m/>
    <m/>
    <m/>
    <m/>
    <m/>
    <m/>
    <m/>
    <m/>
    <n v="0"/>
  </r>
  <r>
    <x v="3"/>
    <x v="39"/>
    <m/>
    <m/>
    <m/>
    <m/>
    <m/>
    <m/>
    <m/>
    <m/>
    <m/>
    <n v="0"/>
  </r>
  <r>
    <x v="3"/>
    <x v="40"/>
    <m/>
    <m/>
    <m/>
    <m/>
    <m/>
    <m/>
    <m/>
    <m/>
    <m/>
    <n v="0"/>
  </r>
  <r>
    <x v="3"/>
    <x v="41"/>
    <m/>
    <m/>
    <m/>
    <m/>
    <m/>
    <m/>
    <m/>
    <m/>
    <m/>
    <n v="0"/>
  </r>
  <r>
    <x v="3"/>
    <x v="42"/>
    <m/>
    <m/>
    <m/>
    <m/>
    <m/>
    <m/>
    <m/>
    <m/>
    <m/>
    <n v="0"/>
  </r>
  <r>
    <x v="3"/>
    <x v="43"/>
    <n v="11"/>
    <m/>
    <n v="2"/>
    <n v="10"/>
    <n v="8"/>
    <m/>
    <n v="2"/>
    <n v="6"/>
    <m/>
    <n v="39"/>
  </r>
  <r>
    <x v="3"/>
    <x v="44"/>
    <m/>
    <m/>
    <m/>
    <m/>
    <m/>
    <m/>
    <m/>
    <m/>
    <m/>
    <n v="0"/>
  </r>
  <r>
    <x v="3"/>
    <x v="45"/>
    <m/>
    <m/>
    <m/>
    <m/>
    <m/>
    <m/>
    <m/>
    <m/>
    <m/>
    <n v="0"/>
  </r>
  <r>
    <x v="3"/>
    <x v="46"/>
    <m/>
    <m/>
    <m/>
    <m/>
    <m/>
    <m/>
    <m/>
    <m/>
    <m/>
    <n v="0"/>
  </r>
  <r>
    <x v="3"/>
    <x v="47"/>
    <m/>
    <m/>
    <m/>
    <m/>
    <m/>
    <m/>
    <m/>
    <m/>
    <m/>
    <n v="0"/>
  </r>
  <r>
    <x v="3"/>
    <x v="48"/>
    <m/>
    <m/>
    <m/>
    <m/>
    <m/>
    <m/>
    <m/>
    <m/>
    <m/>
    <n v="0"/>
  </r>
  <r>
    <x v="3"/>
    <x v="49"/>
    <m/>
    <m/>
    <m/>
    <m/>
    <m/>
    <m/>
    <m/>
    <m/>
    <m/>
    <n v="0"/>
  </r>
  <r>
    <x v="3"/>
    <x v="50"/>
    <m/>
    <m/>
    <m/>
    <m/>
    <m/>
    <m/>
    <m/>
    <m/>
    <m/>
    <n v="0"/>
  </r>
  <r>
    <x v="3"/>
    <x v="51"/>
    <m/>
    <m/>
    <n v="2"/>
    <n v="9"/>
    <n v="4"/>
    <m/>
    <n v="4"/>
    <m/>
    <n v="2"/>
    <n v="21"/>
  </r>
  <r>
    <x v="4"/>
    <x v="0"/>
    <m/>
    <m/>
    <m/>
    <m/>
    <m/>
    <m/>
    <m/>
    <m/>
    <m/>
    <n v="0"/>
  </r>
  <r>
    <x v="4"/>
    <x v="1"/>
    <m/>
    <m/>
    <m/>
    <m/>
    <m/>
    <m/>
    <m/>
    <m/>
    <m/>
    <n v="0"/>
  </r>
  <r>
    <x v="4"/>
    <x v="2"/>
    <m/>
    <m/>
    <m/>
    <m/>
    <m/>
    <m/>
    <m/>
    <m/>
    <m/>
    <n v="0"/>
  </r>
  <r>
    <x v="4"/>
    <x v="3"/>
    <m/>
    <m/>
    <m/>
    <m/>
    <m/>
    <m/>
    <m/>
    <m/>
    <m/>
    <n v="0"/>
  </r>
  <r>
    <x v="4"/>
    <x v="4"/>
    <m/>
    <m/>
    <m/>
    <m/>
    <m/>
    <m/>
    <m/>
    <m/>
    <m/>
    <n v="0"/>
  </r>
  <r>
    <x v="4"/>
    <x v="5"/>
    <m/>
    <m/>
    <m/>
    <m/>
    <m/>
    <m/>
    <m/>
    <m/>
    <m/>
    <n v="0"/>
  </r>
  <r>
    <x v="4"/>
    <x v="6"/>
    <m/>
    <m/>
    <m/>
    <m/>
    <m/>
    <m/>
    <m/>
    <m/>
    <m/>
    <n v="0"/>
  </r>
  <r>
    <x v="4"/>
    <x v="7"/>
    <m/>
    <m/>
    <m/>
    <m/>
    <m/>
    <m/>
    <m/>
    <m/>
    <m/>
    <n v="0"/>
  </r>
  <r>
    <x v="4"/>
    <x v="8"/>
    <m/>
    <m/>
    <m/>
    <m/>
    <m/>
    <m/>
    <m/>
    <m/>
    <m/>
    <n v="0"/>
  </r>
  <r>
    <x v="4"/>
    <x v="9"/>
    <m/>
    <m/>
    <m/>
    <m/>
    <m/>
    <m/>
    <m/>
    <m/>
    <m/>
    <n v="0"/>
  </r>
  <r>
    <x v="4"/>
    <x v="10"/>
    <m/>
    <m/>
    <m/>
    <m/>
    <m/>
    <m/>
    <m/>
    <m/>
    <m/>
    <n v="0"/>
  </r>
  <r>
    <x v="4"/>
    <x v="11"/>
    <m/>
    <m/>
    <m/>
    <m/>
    <m/>
    <m/>
    <m/>
    <m/>
    <m/>
    <n v="0"/>
  </r>
  <r>
    <x v="4"/>
    <x v="12"/>
    <m/>
    <m/>
    <m/>
    <m/>
    <m/>
    <m/>
    <m/>
    <m/>
    <m/>
    <n v="0"/>
  </r>
  <r>
    <x v="4"/>
    <x v="13"/>
    <m/>
    <m/>
    <m/>
    <m/>
    <m/>
    <m/>
    <m/>
    <m/>
    <m/>
    <n v="0"/>
  </r>
  <r>
    <x v="4"/>
    <x v="14"/>
    <m/>
    <m/>
    <m/>
    <m/>
    <m/>
    <m/>
    <m/>
    <m/>
    <m/>
    <n v="0"/>
  </r>
  <r>
    <x v="4"/>
    <x v="15"/>
    <m/>
    <m/>
    <m/>
    <m/>
    <m/>
    <m/>
    <m/>
    <m/>
    <m/>
    <n v="0"/>
  </r>
  <r>
    <x v="4"/>
    <x v="16"/>
    <m/>
    <m/>
    <m/>
    <m/>
    <m/>
    <m/>
    <m/>
    <m/>
    <m/>
    <n v="0"/>
  </r>
  <r>
    <x v="4"/>
    <x v="17"/>
    <m/>
    <m/>
    <m/>
    <m/>
    <m/>
    <m/>
    <m/>
    <m/>
    <m/>
    <n v="0"/>
  </r>
  <r>
    <x v="4"/>
    <x v="18"/>
    <m/>
    <m/>
    <m/>
    <m/>
    <m/>
    <m/>
    <m/>
    <m/>
    <m/>
    <n v="0"/>
  </r>
  <r>
    <x v="4"/>
    <x v="19"/>
    <m/>
    <m/>
    <m/>
    <m/>
    <m/>
    <m/>
    <m/>
    <m/>
    <m/>
    <n v="0"/>
  </r>
  <r>
    <x v="4"/>
    <x v="20"/>
    <m/>
    <m/>
    <m/>
    <m/>
    <m/>
    <m/>
    <m/>
    <m/>
    <m/>
    <n v="0"/>
  </r>
  <r>
    <x v="4"/>
    <x v="21"/>
    <m/>
    <m/>
    <m/>
    <m/>
    <m/>
    <m/>
    <m/>
    <m/>
    <m/>
    <n v="0"/>
  </r>
  <r>
    <x v="4"/>
    <x v="22"/>
    <m/>
    <m/>
    <m/>
    <m/>
    <m/>
    <m/>
    <m/>
    <m/>
    <m/>
    <n v="0"/>
  </r>
  <r>
    <x v="4"/>
    <x v="23"/>
    <m/>
    <m/>
    <m/>
    <m/>
    <m/>
    <m/>
    <m/>
    <m/>
    <m/>
    <n v="0"/>
  </r>
  <r>
    <x v="4"/>
    <x v="24"/>
    <m/>
    <m/>
    <m/>
    <m/>
    <m/>
    <m/>
    <m/>
    <m/>
    <m/>
    <n v="0"/>
  </r>
  <r>
    <x v="4"/>
    <x v="25"/>
    <m/>
    <m/>
    <m/>
    <m/>
    <m/>
    <m/>
    <m/>
    <m/>
    <m/>
    <n v="0"/>
  </r>
  <r>
    <x v="4"/>
    <x v="26"/>
    <m/>
    <m/>
    <m/>
    <m/>
    <m/>
    <m/>
    <m/>
    <m/>
    <m/>
    <n v="0"/>
  </r>
  <r>
    <x v="4"/>
    <x v="27"/>
    <m/>
    <m/>
    <m/>
    <m/>
    <m/>
    <m/>
    <m/>
    <m/>
    <m/>
    <n v="0"/>
  </r>
  <r>
    <x v="4"/>
    <x v="28"/>
    <m/>
    <m/>
    <m/>
    <m/>
    <m/>
    <m/>
    <m/>
    <m/>
    <m/>
    <n v="0"/>
  </r>
  <r>
    <x v="4"/>
    <x v="29"/>
    <m/>
    <m/>
    <m/>
    <m/>
    <m/>
    <m/>
    <m/>
    <m/>
    <m/>
    <n v="0"/>
  </r>
  <r>
    <x v="4"/>
    <x v="30"/>
    <m/>
    <m/>
    <m/>
    <m/>
    <m/>
    <m/>
    <m/>
    <m/>
    <m/>
    <n v="0"/>
  </r>
  <r>
    <x v="4"/>
    <x v="31"/>
    <m/>
    <m/>
    <m/>
    <m/>
    <m/>
    <m/>
    <m/>
    <m/>
    <n v="2"/>
    <n v="2"/>
  </r>
  <r>
    <x v="4"/>
    <x v="32"/>
    <m/>
    <m/>
    <m/>
    <m/>
    <m/>
    <m/>
    <m/>
    <m/>
    <m/>
    <n v="0"/>
  </r>
  <r>
    <x v="4"/>
    <x v="33"/>
    <m/>
    <m/>
    <m/>
    <m/>
    <m/>
    <m/>
    <m/>
    <m/>
    <m/>
    <n v="0"/>
  </r>
  <r>
    <x v="4"/>
    <x v="34"/>
    <m/>
    <m/>
    <m/>
    <m/>
    <m/>
    <m/>
    <m/>
    <m/>
    <m/>
    <n v="0"/>
  </r>
  <r>
    <x v="4"/>
    <x v="35"/>
    <m/>
    <m/>
    <m/>
    <m/>
    <m/>
    <m/>
    <m/>
    <m/>
    <m/>
    <n v="0"/>
  </r>
  <r>
    <x v="4"/>
    <x v="36"/>
    <m/>
    <m/>
    <m/>
    <m/>
    <m/>
    <m/>
    <m/>
    <m/>
    <m/>
    <n v="0"/>
  </r>
  <r>
    <x v="4"/>
    <x v="37"/>
    <m/>
    <m/>
    <m/>
    <m/>
    <m/>
    <m/>
    <m/>
    <m/>
    <m/>
    <n v="0"/>
  </r>
  <r>
    <x v="4"/>
    <x v="38"/>
    <m/>
    <m/>
    <m/>
    <m/>
    <m/>
    <m/>
    <m/>
    <m/>
    <m/>
    <n v="0"/>
  </r>
  <r>
    <x v="4"/>
    <x v="39"/>
    <m/>
    <m/>
    <m/>
    <m/>
    <m/>
    <m/>
    <m/>
    <m/>
    <m/>
    <n v="0"/>
  </r>
  <r>
    <x v="4"/>
    <x v="40"/>
    <m/>
    <m/>
    <m/>
    <m/>
    <m/>
    <m/>
    <m/>
    <m/>
    <m/>
    <n v="0"/>
  </r>
  <r>
    <x v="4"/>
    <x v="41"/>
    <m/>
    <m/>
    <m/>
    <m/>
    <m/>
    <m/>
    <m/>
    <m/>
    <m/>
    <n v="0"/>
  </r>
  <r>
    <x v="4"/>
    <x v="42"/>
    <m/>
    <m/>
    <m/>
    <m/>
    <m/>
    <m/>
    <m/>
    <m/>
    <m/>
    <n v="0"/>
  </r>
  <r>
    <x v="4"/>
    <x v="43"/>
    <m/>
    <m/>
    <m/>
    <m/>
    <m/>
    <m/>
    <m/>
    <m/>
    <m/>
    <n v="0"/>
  </r>
  <r>
    <x v="4"/>
    <x v="44"/>
    <m/>
    <m/>
    <m/>
    <m/>
    <m/>
    <m/>
    <m/>
    <m/>
    <m/>
    <n v="0"/>
  </r>
  <r>
    <x v="4"/>
    <x v="45"/>
    <m/>
    <m/>
    <m/>
    <m/>
    <m/>
    <m/>
    <m/>
    <m/>
    <m/>
    <n v="0"/>
  </r>
  <r>
    <x v="4"/>
    <x v="46"/>
    <m/>
    <m/>
    <m/>
    <m/>
    <m/>
    <m/>
    <m/>
    <m/>
    <m/>
    <n v="0"/>
  </r>
  <r>
    <x v="4"/>
    <x v="47"/>
    <m/>
    <m/>
    <m/>
    <m/>
    <m/>
    <m/>
    <m/>
    <m/>
    <m/>
    <n v="0"/>
  </r>
  <r>
    <x v="4"/>
    <x v="48"/>
    <m/>
    <m/>
    <m/>
    <m/>
    <m/>
    <m/>
    <m/>
    <m/>
    <m/>
    <n v="0"/>
  </r>
  <r>
    <x v="4"/>
    <x v="49"/>
    <m/>
    <m/>
    <n v="2"/>
    <m/>
    <m/>
    <m/>
    <m/>
    <m/>
    <m/>
    <n v="2"/>
  </r>
  <r>
    <x v="4"/>
    <x v="50"/>
    <m/>
    <m/>
    <m/>
    <m/>
    <m/>
    <m/>
    <m/>
    <m/>
    <m/>
    <n v="0"/>
  </r>
  <r>
    <x v="4"/>
    <x v="51"/>
    <m/>
    <m/>
    <m/>
    <m/>
    <m/>
    <m/>
    <m/>
    <m/>
    <m/>
    <n v="0"/>
  </r>
  <r>
    <x v="5"/>
    <x v="0"/>
    <m/>
    <m/>
    <m/>
    <m/>
    <m/>
    <m/>
    <m/>
    <m/>
    <m/>
    <n v="0"/>
  </r>
  <r>
    <x v="5"/>
    <x v="1"/>
    <m/>
    <m/>
    <m/>
    <m/>
    <m/>
    <m/>
    <m/>
    <m/>
    <m/>
    <n v="0"/>
  </r>
  <r>
    <x v="5"/>
    <x v="2"/>
    <m/>
    <m/>
    <m/>
    <m/>
    <m/>
    <m/>
    <m/>
    <m/>
    <m/>
    <n v="0"/>
  </r>
  <r>
    <x v="5"/>
    <x v="3"/>
    <m/>
    <m/>
    <m/>
    <m/>
    <m/>
    <m/>
    <m/>
    <m/>
    <m/>
    <n v="0"/>
  </r>
  <r>
    <x v="5"/>
    <x v="4"/>
    <m/>
    <m/>
    <m/>
    <m/>
    <m/>
    <m/>
    <m/>
    <m/>
    <m/>
    <n v="0"/>
  </r>
  <r>
    <x v="5"/>
    <x v="5"/>
    <n v="2"/>
    <m/>
    <n v="2"/>
    <n v="2"/>
    <n v="2"/>
    <m/>
    <m/>
    <n v="2"/>
    <m/>
    <n v="10"/>
  </r>
  <r>
    <x v="5"/>
    <x v="6"/>
    <m/>
    <m/>
    <m/>
    <m/>
    <m/>
    <m/>
    <m/>
    <m/>
    <m/>
    <n v="0"/>
  </r>
  <r>
    <x v="5"/>
    <x v="7"/>
    <m/>
    <m/>
    <m/>
    <m/>
    <m/>
    <m/>
    <m/>
    <m/>
    <m/>
    <n v="0"/>
  </r>
  <r>
    <x v="5"/>
    <x v="8"/>
    <m/>
    <m/>
    <m/>
    <m/>
    <m/>
    <m/>
    <m/>
    <m/>
    <m/>
    <n v="0"/>
  </r>
  <r>
    <x v="5"/>
    <x v="9"/>
    <m/>
    <m/>
    <m/>
    <m/>
    <m/>
    <m/>
    <m/>
    <m/>
    <m/>
    <n v="0"/>
  </r>
  <r>
    <x v="5"/>
    <x v="10"/>
    <m/>
    <m/>
    <m/>
    <m/>
    <m/>
    <m/>
    <m/>
    <m/>
    <m/>
    <n v="0"/>
  </r>
  <r>
    <x v="5"/>
    <x v="11"/>
    <m/>
    <m/>
    <m/>
    <m/>
    <m/>
    <m/>
    <m/>
    <m/>
    <m/>
    <n v="0"/>
  </r>
  <r>
    <x v="5"/>
    <x v="12"/>
    <m/>
    <m/>
    <m/>
    <m/>
    <m/>
    <m/>
    <m/>
    <m/>
    <m/>
    <n v="0"/>
  </r>
  <r>
    <x v="5"/>
    <x v="13"/>
    <m/>
    <m/>
    <m/>
    <m/>
    <m/>
    <m/>
    <m/>
    <m/>
    <m/>
    <n v="0"/>
  </r>
  <r>
    <x v="5"/>
    <x v="14"/>
    <m/>
    <m/>
    <m/>
    <m/>
    <m/>
    <m/>
    <m/>
    <m/>
    <m/>
    <n v="0"/>
  </r>
  <r>
    <x v="5"/>
    <x v="15"/>
    <m/>
    <m/>
    <m/>
    <m/>
    <m/>
    <m/>
    <m/>
    <m/>
    <m/>
    <n v="0"/>
  </r>
  <r>
    <x v="5"/>
    <x v="16"/>
    <m/>
    <m/>
    <m/>
    <m/>
    <m/>
    <m/>
    <m/>
    <m/>
    <m/>
    <n v="0"/>
  </r>
  <r>
    <x v="5"/>
    <x v="17"/>
    <m/>
    <m/>
    <m/>
    <m/>
    <m/>
    <m/>
    <m/>
    <m/>
    <m/>
    <n v="0"/>
  </r>
  <r>
    <x v="5"/>
    <x v="18"/>
    <m/>
    <m/>
    <m/>
    <m/>
    <m/>
    <m/>
    <m/>
    <m/>
    <m/>
    <n v="0"/>
  </r>
  <r>
    <x v="5"/>
    <x v="19"/>
    <m/>
    <m/>
    <m/>
    <m/>
    <m/>
    <m/>
    <m/>
    <m/>
    <m/>
    <n v="0"/>
  </r>
  <r>
    <x v="5"/>
    <x v="20"/>
    <m/>
    <m/>
    <m/>
    <m/>
    <m/>
    <m/>
    <m/>
    <m/>
    <m/>
    <n v="0"/>
  </r>
  <r>
    <x v="5"/>
    <x v="21"/>
    <m/>
    <m/>
    <m/>
    <m/>
    <m/>
    <m/>
    <m/>
    <m/>
    <m/>
    <n v="0"/>
  </r>
  <r>
    <x v="5"/>
    <x v="22"/>
    <m/>
    <m/>
    <m/>
    <m/>
    <m/>
    <m/>
    <m/>
    <m/>
    <m/>
    <n v="0"/>
  </r>
  <r>
    <x v="5"/>
    <x v="23"/>
    <m/>
    <m/>
    <m/>
    <m/>
    <m/>
    <m/>
    <m/>
    <m/>
    <m/>
    <n v="0"/>
  </r>
  <r>
    <x v="5"/>
    <x v="24"/>
    <m/>
    <m/>
    <m/>
    <m/>
    <m/>
    <m/>
    <m/>
    <m/>
    <m/>
    <n v="0"/>
  </r>
  <r>
    <x v="5"/>
    <x v="25"/>
    <m/>
    <m/>
    <m/>
    <m/>
    <m/>
    <m/>
    <m/>
    <m/>
    <m/>
    <n v="0"/>
  </r>
  <r>
    <x v="5"/>
    <x v="26"/>
    <m/>
    <m/>
    <m/>
    <m/>
    <m/>
    <m/>
    <m/>
    <m/>
    <m/>
    <n v="0"/>
  </r>
  <r>
    <x v="5"/>
    <x v="27"/>
    <m/>
    <m/>
    <m/>
    <m/>
    <m/>
    <m/>
    <m/>
    <m/>
    <m/>
    <n v="0"/>
  </r>
  <r>
    <x v="5"/>
    <x v="28"/>
    <m/>
    <m/>
    <m/>
    <m/>
    <m/>
    <m/>
    <m/>
    <m/>
    <m/>
    <n v="0"/>
  </r>
  <r>
    <x v="5"/>
    <x v="29"/>
    <m/>
    <m/>
    <m/>
    <m/>
    <m/>
    <m/>
    <m/>
    <m/>
    <m/>
    <n v="0"/>
  </r>
  <r>
    <x v="5"/>
    <x v="30"/>
    <m/>
    <m/>
    <m/>
    <m/>
    <m/>
    <m/>
    <m/>
    <m/>
    <m/>
    <n v="0"/>
  </r>
  <r>
    <x v="5"/>
    <x v="31"/>
    <m/>
    <m/>
    <m/>
    <m/>
    <m/>
    <m/>
    <m/>
    <m/>
    <m/>
    <n v="0"/>
  </r>
  <r>
    <x v="5"/>
    <x v="32"/>
    <m/>
    <m/>
    <m/>
    <m/>
    <m/>
    <m/>
    <m/>
    <m/>
    <m/>
    <n v="0"/>
  </r>
  <r>
    <x v="5"/>
    <x v="33"/>
    <m/>
    <m/>
    <m/>
    <m/>
    <m/>
    <m/>
    <m/>
    <m/>
    <m/>
    <n v="0"/>
  </r>
  <r>
    <x v="5"/>
    <x v="34"/>
    <m/>
    <m/>
    <m/>
    <m/>
    <m/>
    <m/>
    <m/>
    <m/>
    <m/>
    <n v="0"/>
  </r>
  <r>
    <x v="5"/>
    <x v="35"/>
    <m/>
    <m/>
    <m/>
    <m/>
    <m/>
    <m/>
    <m/>
    <m/>
    <m/>
    <n v="0"/>
  </r>
  <r>
    <x v="5"/>
    <x v="36"/>
    <m/>
    <m/>
    <m/>
    <m/>
    <m/>
    <m/>
    <m/>
    <m/>
    <m/>
    <n v="0"/>
  </r>
  <r>
    <x v="5"/>
    <x v="37"/>
    <m/>
    <m/>
    <m/>
    <m/>
    <m/>
    <m/>
    <m/>
    <m/>
    <m/>
    <n v="0"/>
  </r>
  <r>
    <x v="5"/>
    <x v="38"/>
    <m/>
    <m/>
    <m/>
    <m/>
    <m/>
    <m/>
    <m/>
    <m/>
    <m/>
    <n v="0"/>
  </r>
  <r>
    <x v="5"/>
    <x v="39"/>
    <m/>
    <m/>
    <m/>
    <m/>
    <m/>
    <m/>
    <m/>
    <m/>
    <m/>
    <n v="0"/>
  </r>
  <r>
    <x v="5"/>
    <x v="40"/>
    <m/>
    <m/>
    <m/>
    <m/>
    <m/>
    <m/>
    <m/>
    <m/>
    <m/>
    <n v="0"/>
  </r>
  <r>
    <x v="5"/>
    <x v="41"/>
    <m/>
    <m/>
    <m/>
    <m/>
    <m/>
    <m/>
    <m/>
    <m/>
    <m/>
    <n v="0"/>
  </r>
  <r>
    <x v="5"/>
    <x v="42"/>
    <n v="15"/>
    <n v="3"/>
    <n v="15"/>
    <n v="12"/>
    <n v="15"/>
    <m/>
    <n v="3"/>
    <n v="15"/>
    <n v="3"/>
    <n v="81"/>
  </r>
  <r>
    <x v="5"/>
    <x v="43"/>
    <m/>
    <m/>
    <m/>
    <m/>
    <m/>
    <m/>
    <m/>
    <m/>
    <m/>
    <n v="0"/>
  </r>
  <r>
    <x v="5"/>
    <x v="44"/>
    <m/>
    <m/>
    <m/>
    <m/>
    <m/>
    <m/>
    <m/>
    <m/>
    <m/>
    <n v="0"/>
  </r>
  <r>
    <x v="5"/>
    <x v="45"/>
    <m/>
    <m/>
    <m/>
    <m/>
    <m/>
    <m/>
    <m/>
    <m/>
    <m/>
    <n v="0"/>
  </r>
  <r>
    <x v="5"/>
    <x v="46"/>
    <m/>
    <m/>
    <m/>
    <m/>
    <m/>
    <m/>
    <m/>
    <m/>
    <m/>
    <n v="0"/>
  </r>
  <r>
    <x v="5"/>
    <x v="47"/>
    <m/>
    <m/>
    <m/>
    <m/>
    <m/>
    <m/>
    <m/>
    <m/>
    <m/>
    <n v="0"/>
  </r>
  <r>
    <x v="5"/>
    <x v="48"/>
    <m/>
    <m/>
    <m/>
    <m/>
    <m/>
    <m/>
    <m/>
    <m/>
    <m/>
    <n v="0"/>
  </r>
  <r>
    <x v="5"/>
    <x v="49"/>
    <n v="8"/>
    <n v="8"/>
    <n v="8"/>
    <n v="0"/>
    <n v="5"/>
    <n v="0"/>
    <n v="5"/>
    <n v="5"/>
    <n v="5"/>
    <n v="44"/>
  </r>
  <r>
    <x v="5"/>
    <x v="50"/>
    <m/>
    <m/>
    <m/>
    <m/>
    <m/>
    <m/>
    <m/>
    <m/>
    <m/>
    <n v="0"/>
  </r>
  <r>
    <x v="5"/>
    <x v="51"/>
    <m/>
    <m/>
    <m/>
    <m/>
    <m/>
    <m/>
    <m/>
    <m/>
    <m/>
    <n v="0"/>
  </r>
  <r>
    <x v="5"/>
    <x v="52"/>
    <n v="1"/>
    <n v="1"/>
    <m/>
    <n v="2"/>
    <n v="2"/>
    <n v="2"/>
    <m/>
    <n v="1"/>
    <n v="3"/>
    <n v="12"/>
  </r>
  <r>
    <x v="5"/>
    <x v="53"/>
    <m/>
    <m/>
    <n v="3"/>
    <m/>
    <n v="3"/>
    <n v="3"/>
    <n v="3"/>
    <n v="3"/>
    <n v="3"/>
    <n v="18"/>
  </r>
  <r>
    <x v="5"/>
    <x v="54"/>
    <n v="30"/>
    <n v="0"/>
    <n v="50"/>
    <n v="50"/>
    <n v="15"/>
    <n v="15"/>
    <n v="10"/>
    <n v="40"/>
    <n v="20"/>
    <n v="230"/>
  </r>
  <r>
    <x v="5"/>
    <x v="55"/>
    <n v="5"/>
    <n v="5"/>
    <n v="5"/>
    <n v="0"/>
    <n v="3"/>
    <n v="0"/>
    <n v="3"/>
    <n v="5"/>
    <n v="5"/>
    <n v="31"/>
  </r>
  <r>
    <x v="5"/>
    <x v="56"/>
    <n v="8"/>
    <n v="8"/>
    <m/>
    <m/>
    <m/>
    <m/>
    <m/>
    <m/>
    <m/>
    <n v="16"/>
  </r>
  <r>
    <x v="5"/>
    <x v="57"/>
    <m/>
    <m/>
    <m/>
    <m/>
    <m/>
    <m/>
    <m/>
    <m/>
    <m/>
    <n v="0"/>
  </r>
  <r>
    <x v="5"/>
    <x v="58"/>
    <n v="5"/>
    <n v="1"/>
    <n v="25"/>
    <n v="3"/>
    <n v="2"/>
    <n v="5"/>
    <m/>
    <n v="21"/>
    <n v="4"/>
    <n v="66"/>
  </r>
  <r>
    <x v="5"/>
    <x v="59"/>
    <n v="40"/>
    <m/>
    <m/>
    <m/>
    <m/>
    <m/>
    <m/>
    <n v="40"/>
    <m/>
    <n v="80"/>
  </r>
  <r>
    <x v="5"/>
    <x v="60"/>
    <n v="2"/>
    <n v="1"/>
    <n v="3"/>
    <n v="2"/>
    <n v="3"/>
    <n v="1"/>
    <n v="1"/>
    <n v="2"/>
    <n v="1"/>
    <n v="16"/>
  </r>
  <r>
    <x v="5"/>
    <x v="61"/>
    <m/>
    <m/>
    <m/>
    <m/>
    <n v="11"/>
    <n v="5"/>
    <n v="11"/>
    <m/>
    <m/>
    <n v="27"/>
  </r>
  <r>
    <x v="5"/>
    <x v="62"/>
    <m/>
    <m/>
    <n v="10"/>
    <m/>
    <m/>
    <n v="10"/>
    <m/>
    <m/>
    <m/>
    <n v="20"/>
  </r>
  <r>
    <x v="5"/>
    <x v="63"/>
    <m/>
    <m/>
    <m/>
    <m/>
    <n v="1"/>
    <m/>
    <m/>
    <m/>
    <n v="1"/>
    <n v="2"/>
  </r>
  <r>
    <x v="5"/>
    <x v="64"/>
    <n v="2"/>
    <m/>
    <n v="2"/>
    <n v="2"/>
    <n v="2"/>
    <m/>
    <m/>
    <n v="2"/>
    <m/>
    <n v="10"/>
  </r>
  <r>
    <x v="5"/>
    <x v="65"/>
    <n v="10"/>
    <m/>
    <n v="10"/>
    <n v="10"/>
    <n v="10"/>
    <m/>
    <m/>
    <n v="10"/>
    <m/>
    <n v="50"/>
  </r>
  <r>
    <x v="5"/>
    <x v="66"/>
    <n v="2"/>
    <m/>
    <n v="2"/>
    <n v="2"/>
    <n v="2"/>
    <m/>
    <m/>
    <n v="2"/>
    <m/>
    <n v="10"/>
  </r>
  <r>
    <x v="6"/>
    <x v="0"/>
    <m/>
    <m/>
    <n v="2"/>
    <n v="0"/>
    <m/>
    <m/>
    <m/>
    <m/>
    <m/>
    <n v="2"/>
  </r>
  <r>
    <x v="6"/>
    <x v="1"/>
    <m/>
    <m/>
    <n v="2"/>
    <n v="2"/>
    <m/>
    <m/>
    <m/>
    <m/>
    <m/>
    <n v="4"/>
  </r>
  <r>
    <x v="6"/>
    <x v="2"/>
    <m/>
    <m/>
    <n v="12"/>
    <n v="5"/>
    <m/>
    <m/>
    <m/>
    <m/>
    <m/>
    <n v="17"/>
  </r>
  <r>
    <x v="6"/>
    <x v="3"/>
    <m/>
    <m/>
    <n v="1"/>
    <n v="2"/>
    <m/>
    <m/>
    <m/>
    <m/>
    <m/>
    <n v="3"/>
  </r>
  <r>
    <x v="6"/>
    <x v="4"/>
    <m/>
    <m/>
    <n v="7"/>
    <n v="2"/>
    <m/>
    <m/>
    <m/>
    <m/>
    <m/>
    <n v="9"/>
  </r>
  <r>
    <x v="6"/>
    <x v="5"/>
    <m/>
    <m/>
    <m/>
    <m/>
    <m/>
    <m/>
    <m/>
    <m/>
    <m/>
    <n v="0"/>
  </r>
  <r>
    <x v="6"/>
    <x v="67"/>
    <m/>
    <m/>
    <n v="2"/>
    <n v="0"/>
    <m/>
    <m/>
    <m/>
    <m/>
    <m/>
    <n v="2"/>
  </r>
  <r>
    <x v="6"/>
    <x v="6"/>
    <m/>
    <m/>
    <m/>
    <m/>
    <m/>
    <m/>
    <m/>
    <m/>
    <m/>
    <n v="0"/>
  </r>
  <r>
    <x v="6"/>
    <x v="68"/>
    <m/>
    <m/>
    <n v="2"/>
    <n v="8"/>
    <m/>
    <m/>
    <m/>
    <m/>
    <m/>
    <n v="10"/>
  </r>
  <r>
    <x v="6"/>
    <x v="7"/>
    <m/>
    <m/>
    <m/>
    <m/>
    <m/>
    <m/>
    <m/>
    <m/>
    <m/>
    <n v="0"/>
  </r>
  <r>
    <x v="6"/>
    <x v="8"/>
    <m/>
    <m/>
    <n v="9"/>
    <n v="0"/>
    <m/>
    <m/>
    <m/>
    <m/>
    <m/>
    <n v="9"/>
  </r>
  <r>
    <x v="6"/>
    <x v="9"/>
    <m/>
    <m/>
    <n v="0"/>
    <n v="3"/>
    <m/>
    <m/>
    <m/>
    <m/>
    <m/>
    <n v="3"/>
  </r>
  <r>
    <x v="6"/>
    <x v="10"/>
    <m/>
    <m/>
    <m/>
    <m/>
    <m/>
    <m/>
    <m/>
    <m/>
    <m/>
    <n v="0"/>
  </r>
  <r>
    <x v="6"/>
    <x v="69"/>
    <m/>
    <m/>
    <n v="1"/>
    <n v="1"/>
    <m/>
    <m/>
    <m/>
    <m/>
    <m/>
    <n v="2"/>
  </r>
  <r>
    <x v="6"/>
    <x v="11"/>
    <m/>
    <m/>
    <n v="2"/>
    <n v="2"/>
    <m/>
    <m/>
    <m/>
    <m/>
    <m/>
    <n v="4"/>
  </r>
  <r>
    <x v="6"/>
    <x v="70"/>
    <m/>
    <m/>
    <n v="2"/>
    <n v="0"/>
    <m/>
    <m/>
    <m/>
    <m/>
    <m/>
    <n v="2"/>
  </r>
  <r>
    <x v="6"/>
    <x v="12"/>
    <m/>
    <m/>
    <n v="3"/>
    <n v="0"/>
    <m/>
    <m/>
    <m/>
    <m/>
    <m/>
    <n v="3"/>
  </r>
  <r>
    <x v="6"/>
    <x v="13"/>
    <m/>
    <m/>
    <n v="3"/>
    <n v="0"/>
    <m/>
    <m/>
    <m/>
    <m/>
    <m/>
    <n v="3"/>
  </r>
  <r>
    <x v="6"/>
    <x v="71"/>
    <m/>
    <m/>
    <n v="3"/>
    <n v="3"/>
    <m/>
    <m/>
    <m/>
    <m/>
    <m/>
    <n v="6"/>
  </r>
  <r>
    <x v="6"/>
    <x v="14"/>
    <m/>
    <m/>
    <m/>
    <m/>
    <m/>
    <m/>
    <m/>
    <m/>
    <m/>
    <n v="0"/>
  </r>
  <r>
    <x v="6"/>
    <x v="15"/>
    <m/>
    <m/>
    <n v="2"/>
    <n v="0"/>
    <m/>
    <m/>
    <m/>
    <m/>
    <m/>
    <n v="2"/>
  </r>
  <r>
    <x v="6"/>
    <x v="16"/>
    <m/>
    <m/>
    <n v="1"/>
    <n v="4"/>
    <m/>
    <m/>
    <m/>
    <m/>
    <m/>
    <n v="5"/>
  </r>
  <r>
    <x v="6"/>
    <x v="17"/>
    <m/>
    <m/>
    <n v="0"/>
    <n v="4"/>
    <m/>
    <m/>
    <m/>
    <m/>
    <m/>
    <n v="4"/>
  </r>
  <r>
    <x v="6"/>
    <x v="18"/>
    <m/>
    <m/>
    <m/>
    <m/>
    <m/>
    <m/>
    <m/>
    <m/>
    <m/>
    <n v="0"/>
  </r>
  <r>
    <x v="6"/>
    <x v="19"/>
    <m/>
    <m/>
    <m/>
    <m/>
    <m/>
    <m/>
    <m/>
    <m/>
    <m/>
    <n v="0"/>
  </r>
  <r>
    <x v="6"/>
    <x v="20"/>
    <m/>
    <m/>
    <n v="3"/>
    <n v="5"/>
    <m/>
    <m/>
    <m/>
    <m/>
    <m/>
    <n v="8"/>
  </r>
  <r>
    <x v="6"/>
    <x v="21"/>
    <m/>
    <m/>
    <n v="3"/>
    <n v="0"/>
    <m/>
    <m/>
    <m/>
    <m/>
    <m/>
    <n v="3"/>
  </r>
  <r>
    <x v="6"/>
    <x v="72"/>
    <m/>
    <m/>
    <n v="1"/>
    <n v="2"/>
    <m/>
    <m/>
    <m/>
    <m/>
    <m/>
    <n v="3"/>
  </r>
  <r>
    <x v="6"/>
    <x v="22"/>
    <m/>
    <m/>
    <m/>
    <m/>
    <m/>
    <m/>
    <m/>
    <m/>
    <m/>
    <n v="0"/>
  </r>
  <r>
    <x v="6"/>
    <x v="23"/>
    <m/>
    <m/>
    <n v="0"/>
    <n v="2"/>
    <m/>
    <m/>
    <m/>
    <m/>
    <m/>
    <n v="2"/>
  </r>
  <r>
    <x v="6"/>
    <x v="24"/>
    <m/>
    <m/>
    <n v="0"/>
    <n v="2"/>
    <m/>
    <m/>
    <m/>
    <m/>
    <m/>
    <n v="2"/>
  </r>
  <r>
    <x v="6"/>
    <x v="25"/>
    <m/>
    <m/>
    <n v="4"/>
    <n v="0"/>
    <m/>
    <m/>
    <m/>
    <m/>
    <m/>
    <n v="4"/>
  </r>
  <r>
    <x v="6"/>
    <x v="26"/>
    <m/>
    <m/>
    <n v="1"/>
    <n v="9"/>
    <m/>
    <m/>
    <m/>
    <m/>
    <m/>
    <n v="10"/>
  </r>
  <r>
    <x v="6"/>
    <x v="73"/>
    <m/>
    <m/>
    <m/>
    <m/>
    <m/>
    <m/>
    <m/>
    <m/>
    <m/>
    <n v="0"/>
  </r>
  <r>
    <x v="6"/>
    <x v="27"/>
    <m/>
    <m/>
    <m/>
    <m/>
    <m/>
    <m/>
    <m/>
    <m/>
    <m/>
    <n v="0"/>
  </r>
  <r>
    <x v="6"/>
    <x v="74"/>
    <m/>
    <m/>
    <n v="2"/>
    <n v="0"/>
    <m/>
    <m/>
    <m/>
    <m/>
    <m/>
    <n v="2"/>
  </r>
  <r>
    <x v="6"/>
    <x v="28"/>
    <m/>
    <m/>
    <n v="2"/>
    <n v="2"/>
    <m/>
    <m/>
    <m/>
    <m/>
    <m/>
    <n v="4"/>
  </r>
  <r>
    <x v="6"/>
    <x v="29"/>
    <m/>
    <m/>
    <n v="3"/>
    <n v="0"/>
    <m/>
    <m/>
    <m/>
    <m/>
    <m/>
    <n v="3"/>
  </r>
  <r>
    <x v="6"/>
    <x v="75"/>
    <m/>
    <m/>
    <n v="3"/>
    <n v="0"/>
    <m/>
    <m/>
    <m/>
    <m/>
    <m/>
    <n v="3"/>
  </r>
  <r>
    <x v="6"/>
    <x v="30"/>
    <m/>
    <m/>
    <n v="4"/>
    <n v="0"/>
    <m/>
    <m/>
    <m/>
    <m/>
    <m/>
    <n v="4"/>
  </r>
  <r>
    <x v="6"/>
    <x v="31"/>
    <m/>
    <m/>
    <n v="6"/>
    <n v="7"/>
    <m/>
    <m/>
    <m/>
    <m/>
    <m/>
    <n v="13"/>
  </r>
  <r>
    <x v="6"/>
    <x v="32"/>
    <m/>
    <m/>
    <m/>
    <m/>
    <m/>
    <m/>
    <m/>
    <m/>
    <m/>
    <n v="0"/>
  </r>
  <r>
    <x v="6"/>
    <x v="33"/>
    <m/>
    <m/>
    <n v="0"/>
    <n v="3"/>
    <m/>
    <m/>
    <m/>
    <m/>
    <m/>
    <n v="3"/>
  </r>
  <r>
    <x v="6"/>
    <x v="34"/>
    <m/>
    <m/>
    <n v="3"/>
    <n v="4"/>
    <m/>
    <m/>
    <m/>
    <m/>
    <m/>
    <n v="7"/>
  </r>
  <r>
    <x v="6"/>
    <x v="35"/>
    <m/>
    <m/>
    <n v="2"/>
    <n v="10"/>
    <m/>
    <m/>
    <m/>
    <m/>
    <m/>
    <n v="12"/>
  </r>
  <r>
    <x v="6"/>
    <x v="36"/>
    <m/>
    <m/>
    <n v="1"/>
    <n v="4"/>
    <m/>
    <m/>
    <m/>
    <m/>
    <m/>
    <n v="5"/>
  </r>
  <r>
    <x v="6"/>
    <x v="37"/>
    <m/>
    <m/>
    <m/>
    <m/>
    <m/>
    <m/>
    <m/>
    <m/>
    <m/>
    <n v="0"/>
  </r>
  <r>
    <x v="6"/>
    <x v="38"/>
    <m/>
    <m/>
    <m/>
    <m/>
    <m/>
    <m/>
    <m/>
    <m/>
    <m/>
    <n v="0"/>
  </r>
  <r>
    <x v="6"/>
    <x v="39"/>
    <m/>
    <m/>
    <m/>
    <m/>
    <m/>
    <m/>
    <m/>
    <m/>
    <m/>
    <n v="0"/>
  </r>
  <r>
    <x v="6"/>
    <x v="76"/>
    <m/>
    <m/>
    <n v="2"/>
    <n v="0"/>
    <m/>
    <m/>
    <m/>
    <m/>
    <m/>
    <n v="2"/>
  </r>
  <r>
    <x v="6"/>
    <x v="40"/>
    <m/>
    <m/>
    <n v="7"/>
    <n v="1"/>
    <m/>
    <m/>
    <m/>
    <m/>
    <m/>
    <n v="8"/>
  </r>
  <r>
    <x v="6"/>
    <x v="41"/>
    <m/>
    <m/>
    <m/>
    <m/>
    <m/>
    <m/>
    <m/>
    <m/>
    <m/>
    <n v="0"/>
  </r>
  <r>
    <x v="6"/>
    <x v="42"/>
    <m/>
    <m/>
    <n v="21"/>
    <n v="0"/>
    <m/>
    <m/>
    <m/>
    <m/>
    <m/>
    <n v="21"/>
  </r>
  <r>
    <x v="6"/>
    <x v="43"/>
    <m/>
    <m/>
    <n v="13"/>
    <n v="1"/>
    <m/>
    <m/>
    <m/>
    <m/>
    <m/>
    <n v="14"/>
  </r>
  <r>
    <x v="6"/>
    <x v="44"/>
    <m/>
    <m/>
    <m/>
    <m/>
    <m/>
    <m/>
    <m/>
    <m/>
    <m/>
    <n v="0"/>
  </r>
  <r>
    <x v="6"/>
    <x v="45"/>
    <m/>
    <m/>
    <n v="7"/>
    <n v="5"/>
    <m/>
    <m/>
    <m/>
    <m/>
    <m/>
    <n v="12"/>
  </r>
  <r>
    <x v="6"/>
    <x v="77"/>
    <m/>
    <m/>
    <n v="2"/>
    <n v="0"/>
    <m/>
    <m/>
    <m/>
    <m/>
    <m/>
    <n v="2"/>
  </r>
  <r>
    <x v="6"/>
    <x v="46"/>
    <m/>
    <m/>
    <n v="0"/>
    <n v="2"/>
    <m/>
    <m/>
    <m/>
    <m/>
    <m/>
    <n v="2"/>
  </r>
  <r>
    <x v="6"/>
    <x v="47"/>
    <m/>
    <m/>
    <n v="5"/>
    <n v="0"/>
    <m/>
    <m/>
    <m/>
    <m/>
    <m/>
    <n v="5"/>
  </r>
  <r>
    <x v="6"/>
    <x v="48"/>
    <m/>
    <m/>
    <n v="0"/>
    <n v="3"/>
    <m/>
    <m/>
    <m/>
    <m/>
    <m/>
    <n v="3"/>
  </r>
  <r>
    <x v="6"/>
    <x v="49"/>
    <m/>
    <m/>
    <m/>
    <m/>
    <m/>
    <m/>
    <m/>
    <m/>
    <m/>
    <n v="0"/>
  </r>
  <r>
    <x v="6"/>
    <x v="50"/>
    <m/>
    <m/>
    <n v="5"/>
    <n v="0"/>
    <m/>
    <m/>
    <m/>
    <m/>
    <m/>
    <n v="5"/>
  </r>
  <r>
    <x v="6"/>
    <x v="51"/>
    <m/>
    <m/>
    <n v="17"/>
    <n v="8"/>
    <m/>
    <m/>
    <m/>
    <m/>
    <m/>
    <n v="25"/>
  </r>
  <r>
    <x v="7"/>
    <x v="0"/>
    <n v="30"/>
    <m/>
    <n v="25"/>
    <m/>
    <m/>
    <m/>
    <m/>
    <n v="30"/>
    <m/>
    <n v="85"/>
  </r>
  <r>
    <x v="7"/>
    <x v="1"/>
    <n v="20"/>
    <n v="20"/>
    <n v="20"/>
    <n v="20"/>
    <n v="20"/>
    <n v="20"/>
    <n v="20"/>
    <n v="20"/>
    <n v="30"/>
    <n v="190"/>
  </r>
  <r>
    <x v="7"/>
    <x v="2"/>
    <m/>
    <m/>
    <n v="30"/>
    <n v="25"/>
    <m/>
    <m/>
    <m/>
    <m/>
    <n v="2"/>
    <n v="57"/>
  </r>
  <r>
    <x v="7"/>
    <x v="3"/>
    <n v="20"/>
    <n v="30"/>
    <n v="30"/>
    <n v="30"/>
    <n v="30"/>
    <n v="30"/>
    <n v="30"/>
    <n v="30"/>
    <m/>
    <n v="230"/>
  </r>
  <r>
    <x v="7"/>
    <x v="4"/>
    <m/>
    <m/>
    <n v="30"/>
    <n v="30"/>
    <n v="30"/>
    <m/>
    <m/>
    <n v="30"/>
    <n v="2"/>
    <n v="122"/>
  </r>
  <r>
    <x v="7"/>
    <x v="5"/>
    <n v="30"/>
    <m/>
    <n v="30"/>
    <n v="30"/>
    <n v="30"/>
    <n v="30"/>
    <n v="20"/>
    <n v="30"/>
    <n v="20"/>
    <n v="220"/>
  </r>
  <r>
    <x v="7"/>
    <x v="6"/>
    <m/>
    <m/>
    <n v="15"/>
    <n v="15"/>
    <n v="15"/>
    <n v="15"/>
    <m/>
    <n v="15"/>
    <n v="10"/>
    <n v="85"/>
  </r>
  <r>
    <x v="7"/>
    <x v="7"/>
    <m/>
    <n v="30"/>
    <n v="25"/>
    <n v="30"/>
    <m/>
    <n v="30"/>
    <m/>
    <n v="30"/>
    <n v="1"/>
    <n v="146"/>
  </r>
  <r>
    <x v="7"/>
    <x v="8"/>
    <n v="30"/>
    <n v="30"/>
    <n v="30"/>
    <n v="30"/>
    <n v="25"/>
    <n v="25"/>
    <n v="25"/>
    <n v="25"/>
    <n v="15"/>
    <n v="235"/>
  </r>
  <r>
    <x v="7"/>
    <x v="9"/>
    <m/>
    <m/>
    <m/>
    <n v="25"/>
    <m/>
    <m/>
    <m/>
    <m/>
    <n v="2"/>
    <n v="27"/>
  </r>
  <r>
    <x v="7"/>
    <x v="10"/>
    <m/>
    <m/>
    <n v="25"/>
    <n v="30"/>
    <m/>
    <n v="30"/>
    <m/>
    <n v="30"/>
    <n v="1"/>
    <n v="116"/>
  </r>
  <r>
    <x v="7"/>
    <x v="11"/>
    <n v="30"/>
    <m/>
    <n v="30"/>
    <n v="30"/>
    <n v="30"/>
    <n v="30"/>
    <n v="30"/>
    <n v="30"/>
    <n v="30"/>
    <n v="240"/>
  </r>
  <r>
    <x v="7"/>
    <x v="12"/>
    <n v="5"/>
    <m/>
    <n v="5"/>
    <m/>
    <m/>
    <n v="5"/>
    <n v="5"/>
    <m/>
    <m/>
    <n v="20"/>
  </r>
  <r>
    <x v="7"/>
    <x v="13"/>
    <m/>
    <m/>
    <n v="20"/>
    <m/>
    <n v="20"/>
    <m/>
    <n v="20"/>
    <n v="20"/>
    <n v="10"/>
    <n v="90"/>
  </r>
  <r>
    <x v="7"/>
    <x v="14"/>
    <m/>
    <n v="30"/>
    <n v="25"/>
    <n v="30"/>
    <m/>
    <n v="30"/>
    <m/>
    <n v="30"/>
    <m/>
    <n v="145"/>
  </r>
  <r>
    <x v="7"/>
    <x v="15"/>
    <n v="30"/>
    <n v="30"/>
    <n v="30"/>
    <n v="30"/>
    <n v="30"/>
    <n v="30"/>
    <n v="30"/>
    <n v="30"/>
    <n v="30"/>
    <n v="270"/>
  </r>
  <r>
    <x v="7"/>
    <x v="16"/>
    <n v="30"/>
    <m/>
    <m/>
    <m/>
    <m/>
    <m/>
    <m/>
    <m/>
    <m/>
    <n v="30"/>
  </r>
  <r>
    <x v="7"/>
    <x v="17"/>
    <m/>
    <m/>
    <m/>
    <n v="25"/>
    <n v="30"/>
    <m/>
    <n v="30"/>
    <m/>
    <n v="1"/>
    <n v="86"/>
  </r>
  <r>
    <x v="7"/>
    <x v="18"/>
    <m/>
    <n v="30"/>
    <m/>
    <m/>
    <m/>
    <n v="30"/>
    <m/>
    <n v="30"/>
    <m/>
    <n v="90"/>
  </r>
  <r>
    <x v="7"/>
    <x v="19"/>
    <m/>
    <n v="20"/>
    <m/>
    <n v="20"/>
    <m/>
    <m/>
    <m/>
    <m/>
    <m/>
    <n v="40"/>
  </r>
  <r>
    <x v="7"/>
    <x v="20"/>
    <m/>
    <m/>
    <m/>
    <m/>
    <m/>
    <m/>
    <m/>
    <m/>
    <n v="3"/>
    <n v="3"/>
  </r>
  <r>
    <x v="7"/>
    <x v="21"/>
    <m/>
    <n v="15"/>
    <m/>
    <m/>
    <n v="2"/>
    <n v="2"/>
    <n v="2"/>
    <n v="14"/>
    <m/>
    <n v="35"/>
  </r>
  <r>
    <x v="7"/>
    <x v="22"/>
    <m/>
    <m/>
    <m/>
    <m/>
    <n v="1"/>
    <n v="3"/>
    <n v="1"/>
    <n v="3"/>
    <m/>
    <n v="8"/>
  </r>
  <r>
    <x v="7"/>
    <x v="23"/>
    <n v="30"/>
    <m/>
    <m/>
    <m/>
    <m/>
    <m/>
    <m/>
    <m/>
    <m/>
    <n v="30"/>
  </r>
  <r>
    <x v="7"/>
    <x v="24"/>
    <m/>
    <m/>
    <m/>
    <m/>
    <m/>
    <m/>
    <m/>
    <m/>
    <m/>
    <n v="0"/>
  </r>
  <r>
    <x v="7"/>
    <x v="25"/>
    <n v="10"/>
    <m/>
    <n v="10"/>
    <n v="5"/>
    <n v="10"/>
    <n v="15"/>
    <n v="15"/>
    <n v="15"/>
    <n v="5"/>
    <n v="85"/>
  </r>
  <r>
    <x v="7"/>
    <x v="26"/>
    <n v="30"/>
    <m/>
    <m/>
    <m/>
    <n v="30"/>
    <m/>
    <n v="30"/>
    <m/>
    <n v="1"/>
    <n v="91"/>
  </r>
  <r>
    <x v="7"/>
    <x v="27"/>
    <m/>
    <m/>
    <m/>
    <m/>
    <m/>
    <m/>
    <m/>
    <m/>
    <m/>
    <n v="0"/>
  </r>
  <r>
    <x v="7"/>
    <x v="28"/>
    <m/>
    <n v="15"/>
    <n v="30"/>
    <n v="30"/>
    <m/>
    <m/>
    <m/>
    <m/>
    <n v="1"/>
    <n v="76"/>
  </r>
  <r>
    <x v="7"/>
    <x v="29"/>
    <n v="30"/>
    <m/>
    <n v="25"/>
    <n v="30"/>
    <m/>
    <n v="30"/>
    <m/>
    <n v="30"/>
    <n v="2"/>
    <n v="147"/>
  </r>
  <r>
    <x v="7"/>
    <x v="30"/>
    <m/>
    <n v="30"/>
    <n v="25"/>
    <n v="30"/>
    <m/>
    <n v="30"/>
    <m/>
    <n v="30"/>
    <m/>
    <n v="145"/>
  </r>
  <r>
    <x v="7"/>
    <x v="31"/>
    <m/>
    <n v="30"/>
    <n v="30"/>
    <n v="30"/>
    <n v="4"/>
    <n v="30"/>
    <n v="4"/>
    <n v="30"/>
    <n v="19"/>
    <n v="177"/>
  </r>
  <r>
    <x v="7"/>
    <x v="32"/>
    <n v="30"/>
    <m/>
    <n v="30"/>
    <n v="30"/>
    <n v="30"/>
    <n v="30"/>
    <n v="30"/>
    <n v="30"/>
    <n v="30"/>
    <n v="240"/>
  </r>
  <r>
    <x v="7"/>
    <x v="33"/>
    <m/>
    <n v="20"/>
    <m/>
    <m/>
    <m/>
    <m/>
    <m/>
    <m/>
    <m/>
    <n v="20"/>
  </r>
  <r>
    <x v="7"/>
    <x v="34"/>
    <m/>
    <n v="30"/>
    <n v="25"/>
    <n v="30"/>
    <m/>
    <n v="30"/>
    <m/>
    <n v="30"/>
    <n v="10"/>
    <n v="155"/>
  </r>
  <r>
    <x v="7"/>
    <x v="35"/>
    <n v="30"/>
    <m/>
    <n v="30"/>
    <n v="30"/>
    <n v="30"/>
    <n v="30"/>
    <n v="30"/>
    <n v="30"/>
    <n v="30"/>
    <n v="240"/>
  </r>
  <r>
    <x v="7"/>
    <x v="36"/>
    <m/>
    <n v="20"/>
    <m/>
    <m/>
    <m/>
    <m/>
    <m/>
    <m/>
    <m/>
    <n v="20"/>
  </r>
  <r>
    <x v="7"/>
    <x v="37"/>
    <m/>
    <m/>
    <m/>
    <m/>
    <m/>
    <m/>
    <m/>
    <m/>
    <m/>
    <n v="0"/>
  </r>
  <r>
    <x v="7"/>
    <x v="38"/>
    <n v="10"/>
    <m/>
    <n v="10"/>
    <n v="10"/>
    <n v="15"/>
    <n v="10"/>
    <n v="10"/>
    <n v="15"/>
    <n v="3"/>
    <n v="83"/>
  </r>
  <r>
    <x v="7"/>
    <x v="39"/>
    <n v="30"/>
    <m/>
    <n v="28"/>
    <n v="30"/>
    <n v="5"/>
    <n v="30"/>
    <n v="30"/>
    <n v="30"/>
    <n v="1"/>
    <n v="184"/>
  </r>
  <r>
    <x v="7"/>
    <x v="40"/>
    <n v="30"/>
    <m/>
    <n v="30"/>
    <n v="30"/>
    <m/>
    <m/>
    <m/>
    <m/>
    <n v="30"/>
    <n v="120"/>
  </r>
  <r>
    <x v="7"/>
    <x v="41"/>
    <m/>
    <m/>
    <m/>
    <m/>
    <m/>
    <m/>
    <m/>
    <m/>
    <m/>
    <n v="0"/>
  </r>
  <r>
    <x v="7"/>
    <x v="42"/>
    <n v="30"/>
    <m/>
    <n v="30"/>
    <n v="25"/>
    <n v="30"/>
    <n v="15"/>
    <n v="20"/>
    <n v="30"/>
    <n v="15"/>
    <n v="195"/>
  </r>
  <r>
    <x v="7"/>
    <x v="43"/>
    <n v="30"/>
    <n v="30"/>
    <n v="25"/>
    <n v="25"/>
    <n v="26"/>
    <n v="20"/>
    <n v="20"/>
    <n v="26"/>
    <n v="10"/>
    <n v="212"/>
  </r>
  <r>
    <x v="7"/>
    <x v="44"/>
    <m/>
    <m/>
    <m/>
    <m/>
    <m/>
    <m/>
    <m/>
    <m/>
    <m/>
    <n v="0"/>
  </r>
  <r>
    <x v="7"/>
    <x v="45"/>
    <m/>
    <m/>
    <n v="30"/>
    <n v="30"/>
    <m/>
    <m/>
    <m/>
    <m/>
    <n v="30"/>
    <n v="90"/>
  </r>
  <r>
    <x v="7"/>
    <x v="46"/>
    <m/>
    <n v="25"/>
    <n v="25"/>
    <n v="25"/>
    <m/>
    <m/>
    <m/>
    <m/>
    <n v="2"/>
    <n v="77"/>
  </r>
  <r>
    <x v="7"/>
    <x v="47"/>
    <m/>
    <m/>
    <m/>
    <m/>
    <m/>
    <m/>
    <m/>
    <m/>
    <m/>
    <n v="0"/>
  </r>
  <r>
    <x v="7"/>
    <x v="48"/>
    <m/>
    <n v="30"/>
    <m/>
    <m/>
    <m/>
    <n v="30"/>
    <m/>
    <n v="30"/>
    <n v="10"/>
    <n v="100"/>
  </r>
  <r>
    <x v="7"/>
    <x v="49"/>
    <m/>
    <m/>
    <m/>
    <m/>
    <m/>
    <m/>
    <m/>
    <m/>
    <n v="10"/>
    <n v="10"/>
  </r>
  <r>
    <x v="7"/>
    <x v="50"/>
    <m/>
    <n v="21"/>
    <m/>
    <n v="21"/>
    <m/>
    <n v="21"/>
    <n v="5"/>
    <n v="25"/>
    <m/>
    <n v="93"/>
  </r>
  <r>
    <x v="7"/>
    <x v="51"/>
    <n v="20"/>
    <n v="20"/>
    <n v="22"/>
    <n v="31"/>
    <n v="24"/>
    <n v="20"/>
    <n v="24"/>
    <n v="20"/>
    <n v="12"/>
    <n v="193"/>
  </r>
  <r>
    <x v="7"/>
    <x v="78"/>
    <m/>
    <n v="20"/>
    <m/>
    <m/>
    <m/>
    <m/>
    <m/>
    <m/>
    <m/>
    <n v="20"/>
  </r>
  <r>
    <x v="7"/>
    <x v="71"/>
    <m/>
    <m/>
    <m/>
    <m/>
    <n v="30"/>
    <m/>
    <n v="30"/>
    <m/>
    <m/>
    <n v="60"/>
  </r>
  <r>
    <x v="7"/>
    <x v="72"/>
    <n v="30"/>
    <m/>
    <m/>
    <m/>
    <n v="30"/>
    <m/>
    <n v="30"/>
    <m/>
    <m/>
    <n v="90"/>
  </r>
  <r>
    <x v="7"/>
    <x v="79"/>
    <m/>
    <m/>
    <m/>
    <n v="25"/>
    <n v="30"/>
    <m/>
    <n v="30"/>
    <m/>
    <m/>
    <n v="85"/>
  </r>
  <r>
    <x v="7"/>
    <x v="80"/>
    <n v="10"/>
    <n v="10"/>
    <n v="5"/>
    <n v="5"/>
    <n v="10"/>
    <n v="10"/>
    <n v="10"/>
    <n v="10"/>
    <n v="5"/>
    <n v="75"/>
  </r>
  <r>
    <x v="7"/>
    <x v="81"/>
    <m/>
    <m/>
    <m/>
    <m/>
    <m/>
    <m/>
    <m/>
    <m/>
    <m/>
    <n v="0"/>
  </r>
  <r>
    <x v="7"/>
    <x v="82"/>
    <m/>
    <n v="30"/>
    <m/>
    <m/>
    <m/>
    <m/>
    <m/>
    <m/>
    <m/>
    <n v="30"/>
  </r>
  <r>
    <x v="7"/>
    <x v="83"/>
    <m/>
    <n v="30"/>
    <m/>
    <m/>
    <m/>
    <m/>
    <m/>
    <m/>
    <m/>
    <n v="30"/>
  </r>
  <r>
    <x v="7"/>
    <x v="84"/>
    <m/>
    <n v="30"/>
    <m/>
    <m/>
    <m/>
    <m/>
    <m/>
    <m/>
    <m/>
    <n v="30"/>
  </r>
  <r>
    <x v="7"/>
    <x v="43"/>
    <m/>
    <n v="30"/>
    <m/>
    <m/>
    <m/>
    <m/>
    <m/>
    <m/>
    <m/>
    <n v="30"/>
  </r>
  <r>
    <x v="7"/>
    <x v="85"/>
    <n v="20"/>
    <n v="20"/>
    <n v="20"/>
    <n v="60"/>
    <n v="20"/>
    <n v="20"/>
    <n v="20"/>
    <n v="20"/>
    <n v="10"/>
    <n v="210"/>
  </r>
  <r>
    <x v="7"/>
    <x v="21"/>
    <m/>
    <n v="15"/>
    <m/>
    <m/>
    <n v="2"/>
    <n v="2"/>
    <n v="2"/>
    <n v="15"/>
    <m/>
    <n v="36"/>
  </r>
  <r>
    <x v="7"/>
    <x v="86"/>
    <m/>
    <m/>
    <m/>
    <m/>
    <m/>
    <m/>
    <m/>
    <n v="30"/>
    <n v="5"/>
    <n v="35"/>
  </r>
  <r>
    <x v="7"/>
    <x v="87"/>
    <m/>
    <n v="30"/>
    <n v="2"/>
    <n v="35"/>
    <n v="2"/>
    <n v="6"/>
    <n v="5"/>
    <n v="5"/>
    <m/>
    <n v="85"/>
  </r>
  <r>
    <x v="7"/>
    <x v="76"/>
    <m/>
    <m/>
    <n v="20"/>
    <n v="15"/>
    <m/>
    <m/>
    <m/>
    <m/>
    <m/>
    <n v="35"/>
  </r>
  <r>
    <x v="7"/>
    <x v="69"/>
    <m/>
    <m/>
    <n v="20"/>
    <n v="15"/>
    <m/>
    <m/>
    <m/>
    <m/>
    <m/>
    <n v="35"/>
  </r>
  <r>
    <x v="7"/>
    <x v="88"/>
    <m/>
    <m/>
    <n v="4"/>
    <m/>
    <m/>
    <m/>
    <m/>
    <m/>
    <n v="3"/>
    <n v="7"/>
  </r>
  <r>
    <x v="8"/>
    <x v="57"/>
    <n v="40"/>
    <m/>
    <m/>
    <m/>
    <m/>
    <m/>
    <m/>
    <m/>
    <m/>
    <n v="40"/>
  </r>
  <r>
    <x v="8"/>
    <x v="59"/>
    <n v="40"/>
    <m/>
    <m/>
    <m/>
    <m/>
    <m/>
    <m/>
    <m/>
    <m/>
    <n v="40"/>
  </r>
  <r>
    <x v="8"/>
    <x v="58"/>
    <n v="40"/>
    <m/>
    <m/>
    <m/>
    <m/>
    <m/>
    <m/>
    <m/>
    <m/>
    <n v="40"/>
  </r>
  <r>
    <x v="8"/>
    <x v="64"/>
    <n v="40"/>
    <m/>
    <m/>
    <m/>
    <m/>
    <m/>
    <m/>
    <m/>
    <m/>
    <n v="40"/>
  </r>
  <r>
    <x v="8"/>
    <x v="54"/>
    <n v="40"/>
    <m/>
    <m/>
    <m/>
    <m/>
    <m/>
    <m/>
    <m/>
    <m/>
    <n v="40"/>
  </r>
  <r>
    <x v="8"/>
    <x v="61"/>
    <n v="40"/>
    <m/>
    <m/>
    <m/>
    <m/>
    <m/>
    <m/>
    <m/>
    <m/>
    <n v="40"/>
  </r>
  <r>
    <x v="8"/>
    <x v="89"/>
    <m/>
    <n v="40"/>
    <m/>
    <m/>
    <m/>
    <m/>
    <m/>
    <m/>
    <m/>
    <n v="40"/>
  </r>
  <r>
    <x v="8"/>
    <x v="90"/>
    <m/>
    <n v="40"/>
    <m/>
    <m/>
    <m/>
    <m/>
    <m/>
    <m/>
    <m/>
    <n v="40"/>
  </r>
  <r>
    <x v="8"/>
    <x v="65"/>
    <m/>
    <n v="40"/>
    <m/>
    <m/>
    <m/>
    <m/>
    <m/>
    <m/>
    <m/>
    <n v="40"/>
  </r>
  <r>
    <x v="8"/>
    <x v="91"/>
    <m/>
    <n v="40"/>
    <m/>
    <m/>
    <m/>
    <m/>
    <m/>
    <m/>
    <m/>
    <n v="40"/>
  </r>
  <r>
    <x v="8"/>
    <x v="92"/>
    <m/>
    <n v="40"/>
    <m/>
    <m/>
    <m/>
    <m/>
    <m/>
    <m/>
    <m/>
    <n v="40"/>
  </r>
  <r>
    <x v="8"/>
    <x v="93"/>
    <m/>
    <n v="40"/>
    <m/>
    <m/>
    <m/>
    <m/>
    <m/>
    <m/>
    <m/>
    <n v="40"/>
  </r>
  <r>
    <x v="8"/>
    <x v="94"/>
    <m/>
    <n v="40"/>
    <m/>
    <m/>
    <m/>
    <m/>
    <m/>
    <m/>
    <m/>
    <n v="40"/>
  </r>
  <r>
    <x v="8"/>
    <x v="54"/>
    <m/>
    <m/>
    <m/>
    <m/>
    <m/>
    <m/>
    <m/>
    <m/>
    <n v="25"/>
    <n v="25"/>
  </r>
  <r>
    <x v="8"/>
    <x v="61"/>
    <m/>
    <m/>
    <m/>
    <m/>
    <m/>
    <m/>
    <m/>
    <m/>
    <n v="25"/>
    <n v="25"/>
  </r>
  <r>
    <x v="8"/>
    <x v="90"/>
    <m/>
    <m/>
    <m/>
    <m/>
    <m/>
    <m/>
    <m/>
    <m/>
    <n v="25"/>
    <n v="25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  <r>
    <x v="9"/>
    <x v="95"/>
    <m/>
    <m/>
    <m/>
    <m/>
    <m/>
    <m/>
    <m/>
    <m/>
    <m/>
    <n v="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6">
  <r>
    <x v="0"/>
    <x v="0"/>
    <m/>
    <n v="18"/>
    <n v="69"/>
    <m/>
    <m/>
    <m/>
    <n v="87"/>
  </r>
  <r>
    <x v="0"/>
    <x v="1"/>
    <m/>
    <m/>
    <n v="16"/>
    <m/>
    <m/>
    <m/>
    <n v="16"/>
  </r>
  <r>
    <x v="1"/>
    <x v="0"/>
    <n v="20"/>
    <n v="16"/>
    <n v="14"/>
    <n v="38"/>
    <n v="22"/>
    <n v="42"/>
    <n v="152"/>
  </r>
  <r>
    <x v="1"/>
    <x v="1"/>
    <n v="20"/>
    <n v="14"/>
    <n v="12"/>
    <n v="30"/>
    <n v="16"/>
    <n v="26"/>
    <n v="118"/>
  </r>
  <r>
    <x v="2"/>
    <x v="0"/>
    <m/>
    <m/>
    <m/>
    <m/>
    <m/>
    <m/>
    <n v="0"/>
  </r>
  <r>
    <x v="2"/>
    <x v="1"/>
    <m/>
    <m/>
    <n v="2"/>
    <m/>
    <m/>
    <m/>
    <n v="2"/>
  </r>
  <r>
    <x v="3"/>
    <x v="0"/>
    <n v="0"/>
    <n v="0"/>
    <n v="1"/>
    <n v="2"/>
    <n v="0"/>
    <n v="1"/>
    <n v="4"/>
  </r>
  <r>
    <x v="3"/>
    <x v="1"/>
    <n v="0"/>
    <n v="0"/>
    <n v="2"/>
    <n v="2"/>
    <n v="0"/>
    <n v="1"/>
    <n v="5"/>
  </r>
  <r>
    <x v="4"/>
    <x v="0"/>
    <m/>
    <m/>
    <n v="1"/>
    <m/>
    <m/>
    <m/>
    <n v="1"/>
  </r>
  <r>
    <x v="4"/>
    <x v="1"/>
    <m/>
    <m/>
    <n v="5"/>
    <m/>
    <m/>
    <m/>
    <n v="5"/>
  </r>
  <r>
    <x v="5"/>
    <x v="0"/>
    <m/>
    <m/>
    <m/>
    <n v="8"/>
    <n v="20"/>
    <n v="40"/>
    <n v="68"/>
  </r>
  <r>
    <x v="5"/>
    <x v="1"/>
    <m/>
    <m/>
    <n v="10"/>
    <m/>
    <m/>
    <m/>
    <n v="10"/>
  </r>
  <r>
    <x v="6"/>
    <x v="0"/>
    <m/>
    <m/>
    <m/>
    <m/>
    <m/>
    <m/>
    <n v="0"/>
  </r>
  <r>
    <x v="6"/>
    <x v="1"/>
    <n v="5"/>
    <n v="18"/>
    <n v="56"/>
    <n v="10"/>
    <n v="13"/>
    <n v="4"/>
    <n v="106"/>
  </r>
  <r>
    <x v="7"/>
    <x v="0"/>
    <m/>
    <n v="1"/>
    <n v="1"/>
    <n v="1"/>
    <m/>
    <n v="1"/>
    <n v="4"/>
  </r>
  <r>
    <x v="8"/>
    <x v="2"/>
    <m/>
    <m/>
    <m/>
    <m/>
    <m/>
    <m/>
    <n v="0"/>
  </r>
  <r>
    <x v="7"/>
    <x v="1"/>
    <n v="1"/>
    <n v="2"/>
    <n v="3"/>
    <n v="1"/>
    <n v="1"/>
    <n v="3"/>
    <n v="11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  <r>
    <x v="8"/>
    <x v="2"/>
    <m/>
    <m/>
    <m/>
    <m/>
    <m/>
    <m/>
    <n v="0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6">
  <r>
    <m/>
    <x v="0"/>
    <s v="A-493-0550"/>
    <s v="09K5"/>
    <x v="0"/>
    <d v="2025-09-29T00:00:00"/>
    <d v="2025-10-02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38"/>
    <n v="0"/>
    <n v="34"/>
    <n v="0"/>
    <n v="0"/>
    <n v="0"/>
    <n v="0"/>
    <s v="Weaver, Nicole"/>
    <n v="-72"/>
    <n v="0"/>
    <n v="0"/>
    <n v="1"/>
    <n v="0"/>
    <n v="32"/>
    <n v="7"/>
    <n v="1"/>
    <s v="N5"/>
  </r>
  <r>
    <m/>
    <x v="1"/>
    <s v="A-493-0099"/>
    <s v="12JW"/>
    <x v="0"/>
    <d v="2025-09-30T00:00:00"/>
    <d v="2025-10-02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1041"/>
    <n v="35"/>
    <n v="0"/>
    <n v="27"/>
    <n v="2"/>
    <n v="0"/>
    <n v="0"/>
    <n v="0"/>
    <s v="Keay, Aaron"/>
    <n v="-72"/>
    <n v="0"/>
    <n v="0"/>
    <n v="1"/>
    <n v="0"/>
    <n v="24"/>
    <n v="10"/>
    <n v="1"/>
    <s v="N5"/>
  </r>
  <r>
    <s v="USMC Special Convening"/>
    <x v="2"/>
    <s v="A-493-2501"/>
    <s v="05ZE"/>
    <x v="1"/>
    <d v="2025-10-02T00:00:00"/>
    <d v="2025-10-02T00:00:00"/>
    <s v="Funded"/>
    <d v="1899-12-30T08:00:00"/>
    <m/>
    <m/>
    <m/>
    <m/>
    <m/>
    <m/>
    <s v="ENV Contractor"/>
    <m/>
    <m/>
    <n v="30"/>
    <n v="8"/>
    <n v="1"/>
    <m/>
    <n v="14"/>
    <n v="0"/>
    <n v="0"/>
    <n v="0"/>
    <n v="0"/>
    <n v="0"/>
    <n v="0"/>
    <s v="Weaver, Nicole"/>
    <n v="-72"/>
    <n v="0"/>
    <n v="0"/>
    <n v="1"/>
    <n v="0"/>
    <n v="8"/>
    <n v="16"/>
    <n v="1"/>
    <s v="N4"/>
  </r>
  <r>
    <m/>
    <x v="3"/>
    <s v="A-493-0103"/>
    <s v="12JY"/>
    <x v="2"/>
    <d v="2025-10-06T00:00:00"/>
    <d v="2025-10-10T00:00:00"/>
    <s v="Funded"/>
    <d v="1899-12-30T08:00:00"/>
    <m/>
    <m/>
    <m/>
    <m/>
    <m/>
    <m/>
    <s v="SOH Contractor"/>
    <m/>
    <m/>
    <n v="25"/>
    <n v="40"/>
    <n v="5"/>
    <n v="10"/>
    <n v="25"/>
    <n v="0"/>
    <n v="26"/>
    <n v="0"/>
    <n v="0"/>
    <n v="0"/>
    <n v="2"/>
    <s v="Benzick, Sue"/>
    <n v="-64"/>
    <n v="0"/>
    <n v="0"/>
    <n v="1"/>
    <n v="0"/>
    <n v="40"/>
    <n v="0"/>
    <n v="1"/>
    <s v="N5"/>
  </r>
  <r>
    <m/>
    <x v="4"/>
    <s v="A-493-0061"/>
    <s v="288E"/>
    <x v="0"/>
    <d v="2025-10-06T00:00:00"/>
    <d v="2025-10-09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23"/>
    <n v="0"/>
    <n v="20"/>
    <n v="0"/>
    <n v="0"/>
    <n v="0"/>
    <n v="0"/>
    <s v="Benzick, Sue"/>
    <n v="-65"/>
    <n v="0"/>
    <n v="0"/>
    <n v="1"/>
    <n v="0"/>
    <n v="30"/>
    <n v="22"/>
    <n v="1"/>
    <s v="N5"/>
  </r>
  <r>
    <m/>
    <x v="5"/>
    <s v="A-322-2604"/>
    <s v="10ZZ"/>
    <x v="0"/>
    <d v="2025-10-06T00:00:00"/>
    <d v="2025-10-08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24"/>
    <n v="3"/>
    <n v="316"/>
    <n v="45"/>
    <n v="2"/>
    <n v="36"/>
    <n v="0"/>
    <n v="0"/>
    <n v="2"/>
    <n v="0"/>
    <s v="Benzick, Sue"/>
    <n v="-66"/>
    <n v="0"/>
    <n v="0"/>
    <n v="1"/>
    <n v="0"/>
    <n v="24"/>
    <n v="0"/>
    <n v="1"/>
    <s v="N8"/>
  </r>
  <r>
    <m/>
    <x v="6"/>
    <s v="A-493-0078"/>
    <n v="1228"/>
    <x v="0"/>
    <d v="2025-10-06T00:00:00"/>
    <d v="2025-10-09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40"/>
    <n v="0"/>
    <n v="27"/>
    <n v="3"/>
    <n v="0"/>
    <n v="0"/>
    <n v="0"/>
    <s v="Benzick, Sue"/>
    <n v="-65"/>
    <n v="0"/>
    <n v="0"/>
    <n v="1"/>
    <n v="0"/>
    <n v="32"/>
    <n v="5"/>
    <n v="1"/>
    <s v="N5"/>
  </r>
  <r>
    <m/>
    <x v="7"/>
    <s v="A-493-0072"/>
    <s v="713U"/>
    <x v="3"/>
    <d v="2025-10-06T00:00:00"/>
    <d v="2025-10-10T00:00:00"/>
    <s v="Funded"/>
    <d v="1899-12-30T08:00:00"/>
    <m/>
    <m/>
    <m/>
    <m/>
    <m/>
    <m/>
    <s v="K. Seo"/>
    <m/>
    <m/>
    <n v="30"/>
    <n v="40"/>
    <n v="5"/>
    <n v="178"/>
    <n v="22"/>
    <n v="0"/>
    <n v="22"/>
    <n v="0"/>
    <n v="0"/>
    <n v="2"/>
    <n v="0"/>
    <s v="Keay, Aaron"/>
    <n v="-64"/>
    <n v="0"/>
    <n v="0"/>
    <n v="1"/>
    <n v="0"/>
    <n v="40"/>
    <n v="8"/>
    <n v="1"/>
    <s v="N3"/>
  </r>
  <r>
    <m/>
    <x v="8"/>
    <s v="A-493-2098"/>
    <s v="09WW"/>
    <x v="0"/>
    <d v="2025-10-06T00:00:00"/>
    <d v="2025-10-08T00:00:00"/>
    <s v="Funded"/>
    <m/>
    <d v="1899-12-30T12:00:00"/>
    <d v="1899-12-30T09:00:00"/>
    <d v="1899-12-30T19:00:00"/>
    <d v="1899-12-30T18:00:00"/>
    <d v="1899-12-30T06:00:00"/>
    <d v="1899-12-30T01:00:00"/>
    <s v="LT Bozenski"/>
    <m/>
    <m/>
    <n v="100"/>
    <n v="16"/>
    <n v="3"/>
    <m/>
    <n v="100"/>
    <n v="0"/>
    <n v="57"/>
    <n v="7"/>
    <n v="0"/>
    <n v="0"/>
    <n v="0"/>
    <s v="Weaver, Nicole"/>
    <n v="-66"/>
    <n v="0"/>
    <n v="0"/>
    <n v="1"/>
    <n v="0"/>
    <n v="16"/>
    <n v="0"/>
    <n v="1"/>
    <s v="N8"/>
  </r>
  <r>
    <m/>
    <x v="9"/>
    <s v="A-493-2099"/>
    <s v="438G"/>
    <x v="4"/>
    <d v="2025-10-06T00:00:00"/>
    <d v="2025-10-07T00:00:00"/>
    <s v="Funded"/>
    <d v="1899-12-30T08:00:00"/>
    <m/>
    <m/>
    <m/>
    <m/>
    <m/>
    <m/>
    <s v="EMC Stroughn"/>
    <m/>
    <m/>
    <n v="30"/>
    <n v="16"/>
    <n v="2"/>
    <n v="0"/>
    <n v="18"/>
    <n v="0"/>
    <n v="13"/>
    <n v="0"/>
    <n v="0"/>
    <n v="1"/>
    <n v="0"/>
    <s v="Weaver, Nicole"/>
    <n v="-67"/>
    <n v="0"/>
    <n v="0"/>
    <n v="1"/>
    <n v="0"/>
    <n v="16"/>
    <n v="12"/>
    <n v="1"/>
    <s v="N8"/>
  </r>
  <r>
    <m/>
    <x v="0"/>
    <s v="A-493-0550"/>
    <s v="09K5"/>
    <x v="0"/>
    <d v="2025-10-07T00:00:00"/>
    <d v="2025-10-10T00:00:00"/>
    <s v="Funded"/>
    <m/>
    <d v="1905-03-14T19:00:00"/>
    <d v="1899-12-30T16:00:00"/>
    <d v="1899-12-30T02:00:00"/>
    <d v="1899-12-30T00:00:00"/>
    <d v="1899-12-30T13:00:00"/>
    <d v="1899-12-30T08:00:00"/>
    <s v="N. DeCastro"/>
    <m/>
    <m/>
    <n v="45"/>
    <n v="32"/>
    <n v="4"/>
    <n v="180"/>
    <n v="24"/>
    <n v="0"/>
    <n v="18"/>
    <n v="0"/>
    <n v="0"/>
    <n v="0"/>
    <n v="0"/>
    <s v="Weaver, Nicole"/>
    <n v="-64"/>
    <n v="0"/>
    <n v="0"/>
    <n v="1"/>
    <n v="0"/>
    <n v="32"/>
    <n v="21"/>
    <n v="1"/>
    <s v="N5"/>
  </r>
  <r>
    <m/>
    <x v="9"/>
    <s v="A-493-2099"/>
    <s v="438G"/>
    <x v="4"/>
    <d v="2025-10-08T00:00:00"/>
    <d v="2025-10-09T00:00:00"/>
    <s v="Funded"/>
    <d v="1899-12-30T08:00:00"/>
    <m/>
    <m/>
    <m/>
    <m/>
    <m/>
    <m/>
    <s v="EMC Stroughn"/>
    <m/>
    <m/>
    <n v="30"/>
    <n v="16"/>
    <n v="2"/>
    <n v="0"/>
    <n v="11"/>
    <n v="0"/>
    <n v="9"/>
    <n v="0"/>
    <n v="0"/>
    <n v="1"/>
    <n v="0"/>
    <s v="Weaver, Nicole"/>
    <n v="-65"/>
    <n v="0"/>
    <n v="0"/>
    <n v="1"/>
    <n v="0"/>
    <n v="16"/>
    <n v="19"/>
    <n v="1"/>
    <s v="N8"/>
  </r>
  <r>
    <m/>
    <x v="10"/>
    <s v="A-493-0083"/>
    <s v="339E"/>
    <x v="0"/>
    <d v="2025-10-09T00:00:00"/>
    <d v="2025-10-09T00:00:00"/>
    <s v="Funded"/>
    <m/>
    <d v="1903-01-04T02:00:00"/>
    <d v="1899-12-30T23:00:00"/>
    <d v="1899-12-30T09:00:00"/>
    <d v="1899-12-30T08:00:00"/>
    <d v="1899-12-30T20:00:00"/>
    <d v="1899-12-30T15:00:00"/>
    <s v="ENV Contractor"/>
    <m/>
    <m/>
    <n v="30"/>
    <n v="8"/>
    <n v="1"/>
    <m/>
    <n v="20"/>
    <n v="0"/>
    <n v="20"/>
    <n v="0"/>
    <n v="0"/>
    <n v="0"/>
    <n v="0"/>
    <s v="Weaver, Nicole"/>
    <n v="-65"/>
    <n v="0"/>
    <n v="0"/>
    <n v="1"/>
    <n v="0"/>
    <n v="8"/>
    <n v="10"/>
    <n v="1"/>
    <s v="N4"/>
  </r>
  <r>
    <s v="Columbus Day"/>
    <x v="11"/>
    <s v="Holiday"/>
    <s v="Holiday"/>
    <x v="5"/>
    <d v="2025-10-13T00:00:00"/>
    <d v="2025-10-1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61"/>
    <n v="0"/>
    <n v="0"/>
    <n v="1"/>
    <n v="0"/>
    <n v="0"/>
    <n v="0"/>
    <n v="1"/>
    <s v="TSD"/>
  </r>
  <r>
    <m/>
    <x v="12"/>
    <s v="A-493-0331"/>
    <s v="10UG"/>
    <x v="0"/>
    <d v="2025-10-14T00:00:00"/>
    <d v="2025-10-16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45"/>
    <n v="5"/>
    <n v="32"/>
    <n v="0"/>
    <n v="0"/>
    <n v="0"/>
    <n v="0"/>
    <s v="Keay, Aaron"/>
    <n v="-58"/>
    <n v="0"/>
    <n v="0"/>
    <n v="1"/>
    <n v="0"/>
    <n v="24"/>
    <n v="0"/>
    <n v="1"/>
    <s v="N3"/>
  </r>
  <r>
    <m/>
    <x v="13"/>
    <s v="A-493-0069"/>
    <s v="450U"/>
    <x v="4"/>
    <d v="2025-10-20T00:00:00"/>
    <d v="2025-10-24T00:00:00"/>
    <s v="Funded"/>
    <d v="1899-12-30T08:00:00"/>
    <m/>
    <m/>
    <m/>
    <m/>
    <m/>
    <m/>
    <s v="B. Jung"/>
    <s v="W. Mitchell"/>
    <m/>
    <n v="25"/>
    <n v="40"/>
    <n v="5"/>
    <n v="15"/>
    <n v="8"/>
    <n v="0"/>
    <n v="4"/>
    <n v="0"/>
    <n v="0"/>
    <n v="0"/>
    <n v="0"/>
    <s v="Keay, Aaron"/>
    <n v="-50"/>
    <n v="0"/>
    <n v="0"/>
    <n v="1"/>
    <n v="1"/>
    <n v="20"/>
    <n v="17"/>
    <n v="1"/>
    <s v="N3"/>
  </r>
  <r>
    <m/>
    <x v="14"/>
    <s v="A-493-0030"/>
    <s v="286X"/>
    <x v="3"/>
    <d v="2025-10-20T00:00:00"/>
    <d v="2025-10-24T00:00:00"/>
    <s v="Funded"/>
    <d v="1899-12-30T08:00:00"/>
    <m/>
    <m/>
    <m/>
    <m/>
    <m/>
    <m/>
    <s v="OH Contractor"/>
    <m/>
    <m/>
    <n v="25"/>
    <n v="40"/>
    <n v="5"/>
    <n v="195"/>
    <n v="11"/>
    <n v="0"/>
    <n v="4"/>
    <n v="0"/>
    <n v="0"/>
    <n v="0"/>
    <n v="0"/>
    <s v="Keay, Aaron"/>
    <n v="-50"/>
    <n v="0"/>
    <n v="0"/>
    <n v="1"/>
    <n v="0"/>
    <n v="40"/>
    <n v="14"/>
    <n v="1"/>
    <s v="N3"/>
  </r>
  <r>
    <m/>
    <x v="15"/>
    <s v="A-493-0012"/>
    <n v="3682"/>
    <x v="6"/>
    <d v="2025-10-20T00:00:00"/>
    <d v="2025-10-24T00:00:00"/>
    <s v="Funded"/>
    <d v="1899-12-30T08:00:00"/>
    <m/>
    <m/>
    <m/>
    <m/>
    <m/>
    <m/>
    <s v="R. Hartel"/>
    <m/>
    <m/>
    <n v="40"/>
    <n v="40"/>
    <n v="5"/>
    <n v="30"/>
    <n v="38"/>
    <n v="0"/>
    <n v="29"/>
    <n v="1"/>
    <n v="0"/>
    <n v="2"/>
    <n v="0"/>
    <s v="Weaver, Nicole"/>
    <n v="-50"/>
    <n v="0"/>
    <n v="0"/>
    <n v="1"/>
    <n v="0"/>
    <n v="40"/>
    <n v="2"/>
    <n v="1"/>
    <s v="N4"/>
  </r>
  <r>
    <m/>
    <x v="16"/>
    <s v="A-493-3002"/>
    <s v="31V4"/>
    <x v="0"/>
    <d v="2025-10-20T00:00:00"/>
    <d v="2025-10-20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4"/>
    <n v="0.5"/>
    <n v="0"/>
    <n v="38"/>
    <n v="0"/>
    <n v="60"/>
    <n v="0"/>
    <n v="0"/>
    <n v="0"/>
    <n v="0"/>
    <s v="AC1 Engleking"/>
    <n v="-54"/>
    <n v="0"/>
    <n v="0"/>
    <n v="1"/>
    <n v="0"/>
    <n v="4"/>
    <n v="962"/>
    <n v="1"/>
    <s v="N8"/>
  </r>
  <r>
    <m/>
    <x v="17"/>
    <s v="A-493-3003"/>
    <s v="31V5"/>
    <x v="0"/>
    <d v="2025-10-20T00:00:00"/>
    <d v="2025-10-22T00:00:00"/>
    <s v="Funded"/>
    <m/>
    <d v="1899-12-30T15:00:00"/>
    <d v="1899-12-30T12:00:00"/>
    <d v="1899-12-30T22:00:00"/>
    <d v="1899-12-30T21:00:00"/>
    <d v="1899-12-30T10:00:00"/>
    <d v="1899-12-30T04:00:00"/>
    <s v="C. Gum"/>
    <m/>
    <m/>
    <n v="1000"/>
    <n v="0.75"/>
    <n v="0.1"/>
    <m/>
    <n v="17"/>
    <n v="0"/>
    <n v="34"/>
    <n v="0"/>
    <n v="0"/>
    <n v="0"/>
    <n v="0"/>
    <s v="AC1 Engleking"/>
    <n v="-52"/>
    <n v="0"/>
    <n v="0"/>
    <n v="1"/>
    <n v="0"/>
    <n v="0.75"/>
    <n v="983"/>
    <n v="1"/>
    <s v="N8"/>
  </r>
  <r>
    <m/>
    <x v="18"/>
    <s v="A-493-3006"/>
    <s v="31V8"/>
    <x v="0"/>
    <d v="2025-10-20T00:00:00"/>
    <d v="2025-10-20T00:00:00"/>
    <s v="Funded"/>
    <m/>
    <d v="1899-12-30T13:00:00"/>
    <d v="1899-12-30T10:00:00"/>
    <d v="1899-12-30T20:00:00"/>
    <d v="1899-12-30T19:00:00"/>
    <d v="1899-12-30T07:00:00"/>
    <d v="1899-12-30T02:00:00"/>
    <s v="C. Gum"/>
    <m/>
    <m/>
    <n v="1000"/>
    <n v="0.75"/>
    <n v="0.1"/>
    <m/>
    <n v="1"/>
    <n v="0"/>
    <n v="39"/>
    <n v="0"/>
    <n v="0"/>
    <n v="0"/>
    <n v="0"/>
    <s v="AC1 Engleking"/>
    <n v="-54"/>
    <n v="0"/>
    <n v="0"/>
    <n v="1"/>
    <n v="0"/>
    <n v="0.75"/>
    <n v="999"/>
    <n v="1"/>
    <s v="N8"/>
  </r>
  <r>
    <m/>
    <x v="19"/>
    <s v="A-493-3007"/>
    <s v="31V9"/>
    <x v="0"/>
    <d v="2025-10-20T00:00:00"/>
    <d v="2025-10-20T00:00:00"/>
    <s v="Funded"/>
    <m/>
    <d v="1899-12-30T14:00:00"/>
    <d v="1899-12-30T11:00:00"/>
    <d v="1899-12-30T20:00:00"/>
    <d v="1899-12-30T19:00:00"/>
    <d v="1899-12-30T08:00:00"/>
    <d v="1899-12-30T02:00:00"/>
    <s v="C. Gum"/>
    <m/>
    <m/>
    <n v="1000"/>
    <n v="0.75"/>
    <n v="0.1"/>
    <m/>
    <n v="1"/>
    <n v="0"/>
    <n v="43"/>
    <n v="0"/>
    <n v="0"/>
    <n v="0"/>
    <n v="0"/>
    <s v="AC1 Engleking"/>
    <n v="-54"/>
    <n v="0"/>
    <n v="0"/>
    <n v="1"/>
    <n v="0"/>
    <n v="0.75"/>
    <n v="999"/>
    <n v="1"/>
    <s v="N8"/>
  </r>
  <r>
    <m/>
    <x v="8"/>
    <s v="A-493-2098"/>
    <s v="09WW"/>
    <x v="0"/>
    <d v="2025-10-20T00:00:00"/>
    <d v="2025-10-22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n v="100"/>
    <n v="5"/>
    <n v="84"/>
    <n v="2"/>
    <n v="0"/>
    <n v="1"/>
    <n v="0"/>
    <s v="Weaver, Nicole"/>
    <n v="-52"/>
    <n v="0"/>
    <n v="0"/>
    <n v="1"/>
    <n v="0"/>
    <n v="16"/>
    <n v="0"/>
    <n v="1"/>
    <s v="N8"/>
  </r>
  <r>
    <m/>
    <x v="3"/>
    <s v="A-493-0103"/>
    <s v="12JY"/>
    <x v="7"/>
    <d v="2025-10-20T00:00:00"/>
    <d v="2025-10-24T00:00:00"/>
    <s v="Funded"/>
    <d v="1899-12-30T08:00:00"/>
    <m/>
    <m/>
    <m/>
    <m/>
    <m/>
    <m/>
    <s v="SOH Contractor"/>
    <m/>
    <m/>
    <n v="25"/>
    <n v="40"/>
    <n v="5"/>
    <n v="512"/>
    <n v="25"/>
    <n v="2"/>
    <n v="20"/>
    <n v="0"/>
    <n v="0"/>
    <n v="6"/>
    <n v="0"/>
    <s v="Benzick, Sue"/>
    <n v="-50"/>
    <n v="0"/>
    <n v="0"/>
    <n v="1"/>
    <n v="0"/>
    <n v="40"/>
    <n v="0"/>
    <n v="1"/>
    <s v="N5"/>
  </r>
  <r>
    <m/>
    <x v="20"/>
    <s v="A-493-0075 "/>
    <s v="714U"/>
    <x v="8"/>
    <d v="2025-10-20T00:00:00"/>
    <d v="2025-10-23T00:00:00"/>
    <s v="Funded"/>
    <m/>
    <m/>
    <m/>
    <m/>
    <m/>
    <m/>
    <m/>
    <s v="SOH Contractor"/>
    <m/>
    <m/>
    <n v="30"/>
    <n v="32"/>
    <n v="4"/>
    <m/>
    <n v="10"/>
    <n v="0"/>
    <n v="3"/>
    <n v="0"/>
    <n v="0"/>
    <n v="1"/>
    <n v="0"/>
    <s v="Benzick, Sue"/>
    <n v="-51"/>
    <n v="0"/>
    <n v="0"/>
    <n v="1"/>
    <n v="0"/>
    <n v="32"/>
    <n v="20"/>
    <n v="1"/>
    <s v="N5"/>
  </r>
  <r>
    <m/>
    <x v="5"/>
    <s v="A-322-2604"/>
    <s v="10ZZ"/>
    <x v="0"/>
    <d v="2025-10-20T00:00:00"/>
    <d v="2025-10-22T00:00:00"/>
    <s v="Funded"/>
    <m/>
    <d v="1905-03-14T19:00:00"/>
    <d v="1899-12-30T16:00:00"/>
    <d v="1899-12-30T02:00:00"/>
    <d v="1899-12-30T00:00:00"/>
    <d v="1899-12-30T13:00:00"/>
    <d v="1899-12-30T08:00:00"/>
    <s v="LS1 Scoggins"/>
    <m/>
    <m/>
    <n v="45"/>
    <n v="24"/>
    <n v="3"/>
    <n v="174"/>
    <n v="45"/>
    <n v="4"/>
    <n v="39"/>
    <n v="0"/>
    <n v="0"/>
    <n v="4"/>
    <n v="0"/>
    <s v="Benzick, Sue"/>
    <n v="-52"/>
    <n v="0"/>
    <n v="0"/>
    <n v="1"/>
    <n v="0"/>
    <n v="24"/>
    <n v="0"/>
    <n v="1"/>
    <s v="N8"/>
  </r>
  <r>
    <m/>
    <x v="21"/>
    <s v="A-4J-0019"/>
    <s v="28SL/285M"/>
    <x v="9"/>
    <d v="2025-10-20T00:00:00"/>
    <d v="2025-10-24T00:00:00"/>
    <s v="Funded"/>
    <d v="1899-12-30T07:30:00"/>
    <m/>
    <m/>
    <m/>
    <m/>
    <m/>
    <m/>
    <s v="J. Wilson"/>
    <s v="M. Bailey"/>
    <m/>
    <n v="20"/>
    <n v="40"/>
    <n v="5"/>
    <n v="148"/>
    <n v="20"/>
    <n v="0"/>
    <n v="16"/>
    <n v="0"/>
    <n v="0"/>
    <n v="1"/>
    <n v="0"/>
    <s v="Benzick, Sue"/>
    <n v="-50"/>
    <n v="0"/>
    <n v="0"/>
    <n v="1"/>
    <n v="1"/>
    <n v="20"/>
    <n v="0"/>
    <n v="1"/>
    <s v="N8"/>
  </r>
  <r>
    <m/>
    <x v="10"/>
    <s v="A-493-0083"/>
    <s v="339E"/>
    <x v="0"/>
    <d v="2025-10-21T00:00:00"/>
    <d v="2025-10-21T00:00:00"/>
    <s v="Funded"/>
    <m/>
    <d v="1903-01-04T08:00:00"/>
    <d v="1899-12-30T05:00:00"/>
    <n v="1600"/>
    <n v="1400"/>
    <d v="1899-12-30T03:00:00"/>
    <n v="2200"/>
    <s v="ENV Contractor"/>
    <m/>
    <m/>
    <n v="30"/>
    <n v="8"/>
    <n v="1"/>
    <m/>
    <n v="6"/>
    <n v="0"/>
    <n v="9"/>
    <n v="0"/>
    <n v="0"/>
    <n v="1"/>
    <n v="0"/>
    <s v="Weaver, Nicole"/>
    <n v="-53"/>
    <n v="0"/>
    <n v="0"/>
    <n v="1"/>
    <n v="0"/>
    <n v="8"/>
    <n v="24"/>
    <n v="1"/>
    <s v="N4"/>
  </r>
  <r>
    <m/>
    <x v="22"/>
    <s v="A-493-3011"/>
    <s v="31VD"/>
    <x v="0"/>
    <d v="2025-10-21T00:00:00"/>
    <d v="2025-10-21T00:00:00"/>
    <s v="Funded"/>
    <m/>
    <d v="1899-12-30T13:00:00"/>
    <d v="1899-12-30T10:00:00"/>
    <d v="1899-12-30T20:00:00"/>
    <d v="1899-12-30T19:00:00"/>
    <d v="1899-12-30T07:00:00"/>
    <d v="1899-12-30T02:00:00"/>
    <s v="C. Gum"/>
    <m/>
    <m/>
    <n v="1000"/>
    <n v="2.5"/>
    <n v="0.3"/>
    <n v="0"/>
    <n v="25"/>
    <n v="0"/>
    <n v="69"/>
    <n v="0"/>
    <n v="0"/>
    <n v="0"/>
    <n v="0"/>
    <s v="AC1 Engleking"/>
    <n v="-53"/>
    <n v="0"/>
    <n v="0"/>
    <n v="1"/>
    <n v="0"/>
    <n v="2.5"/>
    <n v="975"/>
    <n v="1"/>
    <s v="N8"/>
  </r>
  <r>
    <m/>
    <x v="23"/>
    <s v="A-493-3010"/>
    <s v="31VC"/>
    <x v="0"/>
    <d v="2025-10-21T00:00:00"/>
    <d v="2025-10-21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3.5"/>
    <n v="0.4"/>
    <n v="0"/>
    <n v="52"/>
    <n v="0"/>
    <n v="67"/>
    <n v="0"/>
    <n v="0"/>
    <n v="0"/>
    <n v="0"/>
    <s v="AC1 Engleking"/>
    <n v="-53"/>
    <n v="0"/>
    <n v="0"/>
    <n v="1"/>
    <n v="0"/>
    <n v="3.5"/>
    <n v="948"/>
    <n v="1"/>
    <s v="N8"/>
  </r>
  <r>
    <m/>
    <x v="24"/>
    <s v="A-493-3018"/>
    <s v="31YM"/>
    <x v="0"/>
    <d v="2025-10-22T00:00:00"/>
    <d v="2025-10-22T00:00:00"/>
    <s v="Funded"/>
    <m/>
    <d v="1899-12-30T14:30:00"/>
    <d v="1899-12-30T11:30:00"/>
    <d v="1899-12-30T21:30:00"/>
    <d v="1899-12-30T20:30:00"/>
    <d v="1899-12-30T09:30:00"/>
    <d v="1899-12-30T03:30:00"/>
    <s v="C. Gum"/>
    <m/>
    <m/>
    <n v="1000"/>
    <n v="2.5"/>
    <n v="0.3"/>
    <m/>
    <n v="1"/>
    <n v="0"/>
    <n v="35"/>
    <n v="0"/>
    <n v="0"/>
    <n v="0"/>
    <n v="0"/>
    <s v="AC1 Engleking"/>
    <n v="-52"/>
    <n v="0"/>
    <n v="0"/>
    <n v="1"/>
    <n v="0"/>
    <n v="2.5"/>
    <n v="999"/>
    <n v="1"/>
    <s v="N8"/>
  </r>
  <r>
    <m/>
    <x v="25"/>
    <s v="A-493-3004"/>
    <s v="31V6"/>
    <x v="0"/>
    <d v="2025-10-22T00:00:00"/>
    <d v="2025-10-22T00:00:00"/>
    <s v="Funded"/>
    <m/>
    <d v="1899-12-30T12:30:00"/>
    <d v="1899-12-30T10:00:00"/>
    <d v="1899-12-30T20:00:00"/>
    <d v="1899-12-30T19:00:00"/>
    <d v="1899-12-30T07:00:00"/>
    <d v="1899-12-30T02:00:00"/>
    <s v="C. Gum"/>
    <m/>
    <m/>
    <n v="1000"/>
    <n v="1.5"/>
    <n v="0.2"/>
    <n v="0"/>
    <n v="25"/>
    <n v="0"/>
    <n v="56"/>
    <n v="0"/>
    <n v="0"/>
    <n v="0"/>
    <n v="0"/>
    <s v="AC1 Engleking"/>
    <n v="-52"/>
    <n v="0"/>
    <n v="0"/>
    <n v="1"/>
    <n v="0"/>
    <n v="1.5"/>
    <n v="975"/>
    <n v="1"/>
    <s v="N8"/>
  </r>
  <r>
    <m/>
    <x v="26"/>
    <s v="A-493-3001"/>
    <s v="31V3"/>
    <x v="0"/>
    <d v="2025-10-22T00:00:00"/>
    <d v="2025-10-22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2"/>
    <n v="0.25"/>
    <m/>
    <n v="12"/>
    <n v="0"/>
    <n v="45"/>
    <n v="0"/>
    <n v="0"/>
    <n v="0"/>
    <n v="0"/>
    <s v="AC1 Engleking"/>
    <n v="-52"/>
    <n v="0"/>
    <n v="0"/>
    <n v="1"/>
    <n v="0"/>
    <n v="2"/>
    <n v="988"/>
    <n v="1"/>
    <s v="N8"/>
  </r>
  <r>
    <m/>
    <x v="27"/>
    <s v="A-493-3013"/>
    <s v="31YG"/>
    <x v="0"/>
    <d v="2025-10-23T00:00:00"/>
    <d v="2025-10-23T00:00:00"/>
    <s v="Funded"/>
    <m/>
    <d v="1899-12-30T10:30:00"/>
    <d v="1899-12-30T07:30:00"/>
    <d v="1899-12-30T17:30:00"/>
    <d v="1899-12-30T16:30:00"/>
    <d v="1899-12-30T04:30:00"/>
    <d v="1899-12-30T23:30:00"/>
    <s v="C. Gum"/>
    <m/>
    <m/>
    <n v="1000"/>
    <n v="1"/>
    <n v="0.1"/>
    <m/>
    <n v="1"/>
    <n v="0"/>
    <n v="37"/>
    <n v="0"/>
    <n v="0"/>
    <n v="0"/>
    <n v="0"/>
    <s v="AC1 Engleking"/>
    <n v="-51"/>
    <n v="0"/>
    <n v="0"/>
    <n v="1"/>
    <n v="0"/>
    <n v="1"/>
    <n v="999"/>
    <n v="1"/>
    <s v="N8"/>
  </r>
  <r>
    <m/>
    <x v="28"/>
    <s v="A-493-3014"/>
    <s v="31Yh"/>
    <x v="0"/>
    <d v="2025-10-23T00:00:00"/>
    <d v="2025-10-23T00:00:00"/>
    <s v="Funded"/>
    <m/>
    <d v="1899-12-30T12:30:00"/>
    <d v="1899-12-30T09:30:00"/>
    <d v="1899-12-30T19:30:00"/>
    <d v="1899-12-30T18:30:00"/>
    <d v="1899-12-30T07:30:00"/>
    <d v="1899-12-30T01:30:00"/>
    <s v="C. Gum"/>
    <m/>
    <m/>
    <n v="1000"/>
    <n v="0.75"/>
    <n v="0.1"/>
    <m/>
    <n v="1"/>
    <n v="0"/>
    <n v="43"/>
    <n v="0"/>
    <n v="0"/>
    <n v="0"/>
    <n v="0"/>
    <s v="AC1 Engleking"/>
    <n v="-51"/>
    <n v="0"/>
    <n v="0"/>
    <n v="1"/>
    <n v="0"/>
    <n v="0.75"/>
    <n v="999"/>
    <n v="1"/>
    <s v="N8"/>
  </r>
  <r>
    <m/>
    <x v="29"/>
    <s v="A-493-3015"/>
    <s v="31YJ"/>
    <x v="0"/>
    <d v="2025-10-23T00:00:00"/>
    <d v="2025-10-23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1"/>
    <n v="0.1"/>
    <m/>
    <n v="1"/>
    <n v="0"/>
    <n v="48"/>
    <n v="0"/>
    <n v="0"/>
    <n v="0"/>
    <n v="0"/>
    <s v="AC1 Engleking"/>
    <n v="-51"/>
    <n v="0"/>
    <n v="0"/>
    <n v="1"/>
    <n v="0"/>
    <n v="1"/>
    <n v="999"/>
    <n v="1"/>
    <s v="N8"/>
  </r>
  <r>
    <m/>
    <x v="30"/>
    <s v="A-493-3016"/>
    <s v="31Yk"/>
    <x v="0"/>
    <d v="2025-10-23T00:00:00"/>
    <d v="2025-10-23T00:00:00"/>
    <s v="Funded"/>
    <m/>
    <d v="1899-12-30T13:30:00"/>
    <d v="1899-12-30T10:30:00"/>
    <d v="1899-12-30T20:30:00"/>
    <d v="1899-12-30T19:30:00"/>
    <d v="1899-12-30T08:30:00"/>
    <d v="1899-12-30T02:30:00"/>
    <s v="C. Gum"/>
    <m/>
    <m/>
    <n v="1000"/>
    <n v="1"/>
    <n v="0.1"/>
    <m/>
    <n v="1"/>
    <n v="0"/>
    <n v="39"/>
    <n v="0"/>
    <n v="0"/>
    <n v="0"/>
    <n v="0"/>
    <s v="AC1 Engleking"/>
    <n v="-51"/>
    <n v="0"/>
    <n v="0"/>
    <n v="1"/>
    <n v="0"/>
    <n v="1"/>
    <n v="999"/>
    <n v="1"/>
    <s v="N8"/>
  </r>
  <r>
    <m/>
    <x v="31"/>
    <s v="A-493-3012"/>
    <s v="31YF"/>
    <x v="0"/>
    <d v="2025-10-23T00:00:00"/>
    <d v="2025-10-23T00:00:00"/>
    <s v="Funded"/>
    <m/>
    <d v="1899-12-30T15:00:00"/>
    <d v="1899-12-30T12:00:00"/>
    <d v="1899-12-30T22:00:00"/>
    <d v="1899-12-30T21:00:00"/>
    <d v="1899-12-30T10:00:00"/>
    <d v="1899-12-30T04:00:00"/>
    <s v="C. Gum"/>
    <m/>
    <m/>
    <n v="1000"/>
    <n v="1"/>
    <n v="0.1"/>
    <m/>
    <n v="1"/>
    <n v="0"/>
    <n v="33"/>
    <n v="0"/>
    <n v="0"/>
    <n v="0"/>
    <n v="0"/>
    <s v="AC1 Engleking"/>
    <n v="-51"/>
    <n v="0"/>
    <n v="0"/>
    <n v="1"/>
    <n v="0"/>
    <n v="1"/>
    <n v="999"/>
    <n v="1"/>
    <s v="N8"/>
  </r>
  <r>
    <m/>
    <x v="32"/>
    <s v="A-493-3005"/>
    <s v="31V7"/>
    <x v="0"/>
    <d v="2025-10-24T00:00:00"/>
    <d v="2025-10-24T00:00:00"/>
    <s v="Funded"/>
    <m/>
    <d v="1899-12-30T10:45:00"/>
    <d v="1899-12-30T07:45:00"/>
    <d v="1899-12-30T17:45:00"/>
    <d v="1899-12-30T16:45:00"/>
    <d v="1899-12-30T05:45:00"/>
    <d v="1899-12-30T23:45:00"/>
    <s v="C. Gum"/>
    <m/>
    <m/>
    <n v="1000"/>
    <n v="2"/>
    <n v="0.25"/>
    <m/>
    <n v="22"/>
    <n v="0"/>
    <n v="48"/>
    <n v="0"/>
    <n v="0"/>
    <n v="0"/>
    <n v="0"/>
    <s v="AC1 Engleking"/>
    <n v="-50"/>
    <n v="0"/>
    <n v="0"/>
    <n v="1"/>
    <n v="0"/>
    <n v="2"/>
    <n v="978"/>
    <n v="1"/>
    <s v="N8"/>
  </r>
  <r>
    <m/>
    <x v="33"/>
    <s v="A-493-3017"/>
    <s v="31YL"/>
    <x v="0"/>
    <d v="2025-10-24T00:00:00"/>
    <d v="2025-10-24T00:00:00"/>
    <s v="Funded"/>
    <m/>
    <d v="1899-12-30T12:30:00"/>
    <d v="1899-12-30T09:30:00"/>
    <d v="1899-12-30T19:30:00"/>
    <d v="1899-12-30T18:30:00"/>
    <d v="1899-12-30T07:30:00"/>
    <d v="1899-12-30T01:30:00"/>
    <s v="C. Gum"/>
    <m/>
    <m/>
    <n v="1000"/>
    <n v="2.5"/>
    <n v="0.3"/>
    <m/>
    <n v="1"/>
    <n v="0"/>
    <n v="43"/>
    <n v="0"/>
    <n v="0"/>
    <n v="0"/>
    <n v="0"/>
    <s v="AC1 Engleking"/>
    <n v="-50"/>
    <n v="0"/>
    <n v="0"/>
    <n v="1"/>
    <n v="0"/>
    <n v="2.5"/>
    <n v="999"/>
    <n v="1"/>
    <s v="N8"/>
  </r>
  <r>
    <m/>
    <x v="34"/>
    <s v="A-493-3008"/>
    <s v="31VA"/>
    <x v="0"/>
    <d v="2025-10-24T00:00:00"/>
    <d v="2025-10-24T00:00:00"/>
    <s v="Funded"/>
    <m/>
    <d v="1899-12-30T08:00:00"/>
    <d v="1899-12-30T05:00:00"/>
    <d v="1899-12-30T15:00:00"/>
    <d v="1899-12-30T14:00:00"/>
    <d v="1899-12-30T03:00:00"/>
    <d v="1899-12-30T21:00:00"/>
    <s v="C. Gum"/>
    <m/>
    <m/>
    <n v="1000"/>
    <n v="1"/>
    <n v="0.1"/>
    <m/>
    <n v="14"/>
    <n v="0"/>
    <n v="41"/>
    <n v="0"/>
    <n v="0"/>
    <n v="0"/>
    <n v="0"/>
    <s v="AC1 Engleking"/>
    <n v="-50"/>
    <n v="0"/>
    <n v="0"/>
    <n v="1"/>
    <n v="0"/>
    <n v="1"/>
    <n v="986"/>
    <n v="1"/>
    <s v="N8"/>
  </r>
  <r>
    <m/>
    <x v="35"/>
    <s v="A-493-3009"/>
    <s v="31VB"/>
    <x v="0"/>
    <d v="2025-10-24T00:00:00"/>
    <d v="2025-10-24T00:00:00"/>
    <s v="Funded"/>
    <m/>
    <d v="1899-12-30T09:30:00"/>
    <d v="1899-12-30T06:30:00"/>
    <d v="1899-12-30T16:30:00"/>
    <d v="1899-12-30T15:30:00"/>
    <d v="1899-12-30T04:30:00"/>
    <d v="1899-12-30T22:30:00"/>
    <s v="C. Gum"/>
    <m/>
    <m/>
    <n v="1000"/>
    <n v="1"/>
    <n v="0.1"/>
    <m/>
    <n v="44"/>
    <n v="0"/>
    <n v="65"/>
    <n v="0"/>
    <n v="0"/>
    <n v="0"/>
    <n v="0"/>
    <s v="AC1 Engleking"/>
    <n v="-50"/>
    <n v="0"/>
    <n v="0"/>
    <n v="1"/>
    <n v="0"/>
    <n v="1"/>
    <n v="956"/>
    <n v="1"/>
    <s v="N8"/>
  </r>
  <r>
    <m/>
    <x v="36"/>
    <s v="A-493-0014"/>
    <n v="3878"/>
    <x v="4"/>
    <d v="2025-10-27T00:00:00"/>
    <d v="2025-10-29T00:00:00"/>
    <s v="Funded"/>
    <d v="1899-12-30T08:00:00"/>
    <m/>
    <m/>
    <m/>
    <m/>
    <m/>
    <m/>
    <s v="B. Jung"/>
    <s v="W. Mitchell"/>
    <m/>
    <n v="25"/>
    <n v="24"/>
    <n v="3"/>
    <n v="149"/>
    <n v="15"/>
    <n v="0"/>
    <n v="11"/>
    <n v="0"/>
    <n v="0"/>
    <n v="1"/>
    <n v="0"/>
    <s v="Keay, Aaron"/>
    <n v="-45"/>
    <n v="0"/>
    <n v="0"/>
    <n v="1"/>
    <n v="1"/>
    <n v="12"/>
    <n v="10"/>
    <n v="1"/>
    <s v="N3"/>
  </r>
  <r>
    <m/>
    <x v="37"/>
    <s v="A-493-0665"/>
    <s v="10KW"/>
    <x v="0"/>
    <d v="2025-10-27T00:00:00"/>
    <d v="2025-10-29T00:00:00"/>
    <s v="Funded"/>
    <m/>
    <d v="1899-12-30T08:00:00"/>
    <d v="1899-12-30T05:00:00"/>
    <d v="1899-12-30T15:00:00"/>
    <d v="1899-12-30T13:00:00"/>
    <d v="1899-12-30T02:00:00"/>
    <d v="1899-12-30T21:00:00"/>
    <s v="LSC Kitivi"/>
    <s v="LS1 Scoggins"/>
    <m/>
    <n v="45"/>
    <n v="24"/>
    <n v="3"/>
    <n v="140"/>
    <n v="36"/>
    <n v="0"/>
    <n v="33"/>
    <n v="0"/>
    <n v="0"/>
    <n v="0"/>
    <n v="0"/>
    <s v="AC1 Engleking"/>
    <n v="-45"/>
    <n v="0"/>
    <n v="0"/>
    <n v="1"/>
    <n v="1"/>
    <n v="12"/>
    <n v="9"/>
    <n v="1"/>
    <s v="N8"/>
  </r>
  <r>
    <m/>
    <x v="38"/>
    <s v="A-570-0100"/>
    <s v="18B7"/>
    <x v="0"/>
    <d v="2025-10-27T00:00:00"/>
    <d v="2025-10-28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326"/>
    <n v="39"/>
    <n v="0"/>
    <n v="34"/>
    <n v="0"/>
    <n v="0"/>
    <n v="0"/>
    <n v="0"/>
    <s v="Keay, Aaron"/>
    <n v="-46"/>
    <n v="0"/>
    <n v="0"/>
    <n v="1"/>
    <n v="0"/>
    <n v="16"/>
    <n v="6"/>
    <n v="1"/>
    <s v="N8"/>
  </r>
  <r>
    <m/>
    <x v="7"/>
    <s v="A-493-0072"/>
    <s v="713U"/>
    <x v="7"/>
    <d v="2025-10-27T00:00:00"/>
    <d v="2025-10-31T00:00:00"/>
    <s v="Funded"/>
    <d v="1899-12-30T08:00:00"/>
    <m/>
    <m/>
    <m/>
    <m/>
    <m/>
    <m/>
    <s v="A. Harris"/>
    <s v="K. Seo"/>
    <m/>
    <n v="30"/>
    <n v="40"/>
    <n v="5"/>
    <n v="178"/>
    <n v="19"/>
    <n v="0"/>
    <n v="19"/>
    <n v="0"/>
    <n v="0"/>
    <n v="5"/>
    <n v="0"/>
    <s v="Keay, Aaron"/>
    <n v="-43"/>
    <n v="0"/>
    <n v="0"/>
    <n v="1"/>
    <n v="1"/>
    <n v="20"/>
    <n v="11"/>
    <n v="1"/>
    <s v="N3"/>
  </r>
  <r>
    <m/>
    <x v="3"/>
    <s v="A-493-0103"/>
    <s v="12JY"/>
    <x v="3"/>
    <d v="2025-10-27T00:00:00"/>
    <d v="2025-10-31T00:00:00"/>
    <s v="Funded"/>
    <d v="1899-12-30T08:00:00"/>
    <m/>
    <m/>
    <m/>
    <m/>
    <m/>
    <m/>
    <s v="SOH Contractor"/>
    <m/>
    <m/>
    <n v="25"/>
    <n v="40"/>
    <n v="5"/>
    <n v="512"/>
    <n v="25"/>
    <n v="4"/>
    <n v="22"/>
    <n v="0"/>
    <n v="0"/>
    <n v="4"/>
    <n v="0"/>
    <s v="Benzick, Sue"/>
    <n v="-43"/>
    <n v="0"/>
    <n v="0"/>
    <n v="1"/>
    <n v="0"/>
    <n v="40"/>
    <n v="0"/>
    <n v="1"/>
    <s v="N5"/>
  </r>
  <r>
    <m/>
    <x v="4"/>
    <s v="A-493-0061"/>
    <s v="288E"/>
    <x v="0"/>
    <d v="2025-10-27T00:00:00"/>
    <d v="2025-10-30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n v="32"/>
    <n v="0"/>
    <n v="26"/>
    <n v="0"/>
    <n v="0"/>
    <n v="1"/>
    <n v="0"/>
    <s v="Benzick, Sue"/>
    <n v="-44"/>
    <n v="0"/>
    <n v="0"/>
    <n v="1"/>
    <n v="0"/>
    <n v="30"/>
    <n v="13"/>
    <n v="1"/>
    <s v="N5"/>
  </r>
  <r>
    <m/>
    <x v="12"/>
    <s v="A-493-0331"/>
    <s v="10UG"/>
    <x v="0"/>
    <d v="2025-10-28T00:00:00"/>
    <d v="2025-10-30T00:00:00"/>
    <s v="Funded"/>
    <m/>
    <d v="1905-03-14T19:00:00"/>
    <d v="1899-12-30T16:00:00"/>
    <d v="1899-12-30T02:00:00"/>
    <d v="1899-12-30T00:00:00"/>
    <d v="1899-12-30T13:00:00"/>
    <d v="1899-12-30T08:00:00"/>
    <s v="A. Hardy"/>
    <m/>
    <m/>
    <n v="45"/>
    <n v="24"/>
    <n v="3"/>
    <n v="183"/>
    <n v="45"/>
    <n v="1"/>
    <n v="37"/>
    <n v="1"/>
    <n v="0"/>
    <n v="0"/>
    <n v="0"/>
    <s v="Keay, Aaron"/>
    <n v="-44"/>
    <n v="0"/>
    <n v="0"/>
    <n v="1"/>
    <n v="0"/>
    <n v="24"/>
    <n v="0"/>
    <n v="1"/>
    <s v="N3"/>
  </r>
  <r>
    <m/>
    <x v="39"/>
    <s v="A-493-0019"/>
    <n v="3882"/>
    <x v="4"/>
    <d v="2025-10-30T00:00:00"/>
    <d v="2025-10-31T00:00:00"/>
    <s v="Funded"/>
    <d v="1899-12-30T08:00:00"/>
    <m/>
    <m/>
    <m/>
    <m/>
    <m/>
    <m/>
    <s v="B. Jung"/>
    <s v="W. Mitchell"/>
    <m/>
    <n v="25"/>
    <n v="16"/>
    <n v="2"/>
    <n v="14"/>
    <n v="6"/>
    <n v="0"/>
    <n v="4"/>
    <n v="0"/>
    <n v="0"/>
    <n v="0"/>
    <n v="0"/>
    <s v="Keay, Aaron"/>
    <n v="-43"/>
    <n v="0"/>
    <n v="0"/>
    <n v="1"/>
    <n v="1"/>
    <n v="8"/>
    <n v="19"/>
    <n v="1"/>
    <s v="N3"/>
  </r>
  <r>
    <m/>
    <x v="40"/>
    <s v="A-493-0335"/>
    <s v="09ND"/>
    <x v="0"/>
    <d v="2025-11-03T00:00:00"/>
    <d v="2025-11-06T00:00:00"/>
    <s v="Funded"/>
    <m/>
    <d v="1899-12-30T12:00:00"/>
    <d v="1899-12-30T09:00:00"/>
    <d v="1899-12-30T20:00:00"/>
    <d v="1899-12-30T18:00:00"/>
    <d v="1899-12-30T07:00:00"/>
    <d v="1899-12-30T02:00:00"/>
    <s v="B. Jung"/>
    <m/>
    <m/>
    <n v="45"/>
    <n v="32"/>
    <n v="4"/>
    <n v="537"/>
    <n v="28"/>
    <n v="0"/>
    <n v="19"/>
    <n v="0"/>
    <n v="0"/>
    <n v="0"/>
    <n v="0"/>
    <s v="Keay, Aaron"/>
    <n v="-37"/>
    <n v="0"/>
    <n v="0"/>
    <n v="1"/>
    <n v="0"/>
    <n v="32"/>
    <n v="17"/>
    <n v="1"/>
    <s v="N3"/>
  </r>
  <r>
    <m/>
    <x v="16"/>
    <s v="A-493-3002"/>
    <s v="31V4"/>
    <x v="0"/>
    <d v="2025-11-03T00:00:00"/>
    <d v="2025-11-03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4"/>
    <n v="0.5"/>
    <n v="0"/>
    <n v="13"/>
    <n v="0"/>
    <n v="51"/>
    <n v="0"/>
    <n v="0"/>
    <n v="0"/>
    <n v="0"/>
    <s v="AC1 Engleking"/>
    <n v="-40"/>
    <n v="0"/>
    <n v="0"/>
    <n v="1"/>
    <n v="0"/>
    <n v="4"/>
    <n v="987"/>
    <n v="1"/>
    <s v="N8"/>
  </r>
  <r>
    <m/>
    <x v="17"/>
    <s v="A-493-3003"/>
    <s v="31V5"/>
    <x v="0"/>
    <d v="2025-11-03T00:00:00"/>
    <d v="2025-11-03T00:00:00"/>
    <s v="Funded"/>
    <m/>
    <d v="1899-12-30T15:00:00"/>
    <d v="1899-12-30T12:00:00"/>
    <d v="1899-12-30T23:00:00"/>
    <d v="1899-12-30T21:00:00"/>
    <d v="1899-12-30T01:00:00"/>
    <d v="1899-12-30T05:00:00"/>
    <s v="C. Gum"/>
    <m/>
    <m/>
    <n v="1000"/>
    <n v="0.75"/>
    <n v="0.1"/>
    <m/>
    <n v="5"/>
    <n v="0"/>
    <n v="28"/>
    <n v="0"/>
    <n v="0"/>
    <n v="0"/>
    <n v="0"/>
    <s v="AC1 Engleking"/>
    <n v="-40"/>
    <n v="0"/>
    <n v="0"/>
    <n v="1"/>
    <n v="0"/>
    <n v="0.75"/>
    <n v="995"/>
    <n v="1"/>
    <s v="N8"/>
  </r>
  <r>
    <m/>
    <x v="18"/>
    <s v="A-493-3006"/>
    <s v="31V8"/>
    <x v="0"/>
    <d v="2025-11-03T00:00:00"/>
    <d v="2025-11-03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0.75"/>
    <n v="0.1"/>
    <m/>
    <n v="1"/>
    <n v="0"/>
    <n v="28"/>
    <n v="0"/>
    <n v="0"/>
    <n v="0"/>
    <n v="0"/>
    <s v="AC1 Engleking"/>
    <n v="-40"/>
    <n v="0"/>
    <n v="0"/>
    <n v="1"/>
    <n v="0"/>
    <n v="0.75"/>
    <n v="999"/>
    <n v="1"/>
    <s v="N8"/>
  </r>
  <r>
    <m/>
    <x v="19"/>
    <s v="A-493-3007"/>
    <s v="31V9"/>
    <x v="0"/>
    <d v="2025-11-03T00:00:00"/>
    <d v="2025-11-03T00:00:00"/>
    <s v="Funded"/>
    <m/>
    <d v="1899-12-30T19:00:00"/>
    <d v="1899-12-30T16:00:00"/>
    <d v="1899-12-30T03:00:00"/>
    <d v="1899-12-30T01:00:00"/>
    <d v="1899-12-30T15:00:00"/>
    <d v="1899-12-30T09:00:00"/>
    <s v="C. Gum"/>
    <m/>
    <m/>
    <n v="1000"/>
    <n v="0.75"/>
    <n v="0.1"/>
    <m/>
    <n v="1"/>
    <n v="0"/>
    <n v="25"/>
    <n v="0"/>
    <n v="0"/>
    <n v="0"/>
    <n v="0"/>
    <s v="AC1 Engleking"/>
    <n v="-40"/>
    <n v="0"/>
    <n v="0"/>
    <n v="1"/>
    <n v="0"/>
    <n v="0.75"/>
    <n v="999"/>
    <n v="1"/>
    <s v="N8"/>
  </r>
  <r>
    <m/>
    <x v="8"/>
    <s v="A-493-2098"/>
    <s v="09WW"/>
    <x v="0"/>
    <d v="2025-11-03T00:00:00"/>
    <d v="2025-11-05T00:00:00"/>
    <s v="Funded"/>
    <m/>
    <d v="1899-12-30T19:00:00"/>
    <d v="1899-12-30T16:00:00"/>
    <d v="1899-12-30T03:00:00"/>
    <d v="1899-12-30T01:00:00"/>
    <d v="1899-12-30T14:00:00"/>
    <d v="1899-12-30T09:00:00"/>
    <s v="LT Bozenski"/>
    <m/>
    <m/>
    <n v="100"/>
    <n v="16"/>
    <n v="3"/>
    <n v="1882"/>
    <n v="100"/>
    <n v="5"/>
    <n v="74"/>
    <n v="2"/>
    <n v="0"/>
    <n v="0"/>
    <n v="0"/>
    <s v="Weaver, Nicole"/>
    <n v="-38"/>
    <n v="0"/>
    <n v="0"/>
    <n v="1"/>
    <n v="0"/>
    <n v="16"/>
    <n v="0"/>
    <n v="1"/>
    <s v="N8"/>
  </r>
  <r>
    <m/>
    <x v="41"/>
    <s v="F-4J-0023"/>
    <s v="11A2"/>
    <x v="0"/>
    <d v="2025-11-03T00:00:00"/>
    <d v="2025-11-04T00:00:00"/>
    <s v="Funded"/>
    <m/>
    <d v="1899-12-30T08:00:00"/>
    <d v="1899-12-30T05:00:00"/>
    <n v="1600"/>
    <n v="1400"/>
    <d v="1899-12-30T03:00:00"/>
    <n v="2200"/>
    <s v="LTJG Bozenski"/>
    <m/>
    <m/>
    <n v="45"/>
    <n v="16"/>
    <n v="2"/>
    <n v="28"/>
    <n v="21"/>
    <n v="0"/>
    <n v="19"/>
    <n v="1"/>
    <n v="0"/>
    <n v="0"/>
    <n v="0"/>
    <s v="Keay, Aaron"/>
    <n v="-39"/>
    <n v="0"/>
    <n v="0"/>
    <n v="1"/>
    <n v="0"/>
    <n v="16"/>
    <n v="24"/>
    <n v="1"/>
    <s v="N8"/>
  </r>
  <r>
    <m/>
    <x v="3"/>
    <s v="A-493-0103"/>
    <s v="12JY"/>
    <x v="10"/>
    <d v="2025-11-03T00:00:00"/>
    <d v="2025-11-07T00:00:00"/>
    <s v="Funded"/>
    <d v="1899-12-30T08:00:00"/>
    <m/>
    <m/>
    <m/>
    <m/>
    <m/>
    <m/>
    <s v="SOH Contractor"/>
    <m/>
    <m/>
    <n v="25"/>
    <n v="40"/>
    <n v="5"/>
    <n v="225"/>
    <n v="21"/>
    <n v="0"/>
    <n v="7"/>
    <n v="0"/>
    <n v="0"/>
    <n v="1"/>
    <n v="0"/>
    <s v="Benzick, Sue"/>
    <n v="-36"/>
    <n v="0"/>
    <n v="0"/>
    <n v="1"/>
    <n v="0"/>
    <n v="40"/>
    <n v="4"/>
    <n v="1"/>
    <s v="N5"/>
  </r>
  <r>
    <m/>
    <x v="5"/>
    <s v="A-322-2604"/>
    <s v="10ZZ"/>
    <x v="0"/>
    <d v="2025-11-03T00:00:00"/>
    <d v="2025-11-05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24"/>
    <n v="3"/>
    <n v="621"/>
    <n v="43"/>
    <n v="0"/>
    <n v="33"/>
    <n v="0"/>
    <n v="0"/>
    <n v="1"/>
    <n v="0"/>
    <s v="Benzick, Sue"/>
    <n v="-38"/>
    <n v="0"/>
    <n v="0"/>
    <n v="1"/>
    <n v="0"/>
    <n v="24"/>
    <n v="2"/>
    <n v="1"/>
    <s v="N8"/>
  </r>
  <r>
    <m/>
    <x v="0"/>
    <s v="A-493-0550"/>
    <s v="09K5"/>
    <x v="0"/>
    <d v="2025-11-03T00:00:00"/>
    <d v="2025-11-06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0"/>
    <n v="2"/>
    <n v="32"/>
    <n v="1"/>
    <n v="0"/>
    <n v="1"/>
    <n v="0"/>
    <s v="Benzick, Sue"/>
    <n v="-37"/>
    <n v="0"/>
    <n v="0"/>
    <n v="1"/>
    <n v="0"/>
    <n v="32"/>
    <n v="5"/>
    <n v="1"/>
    <s v="N5"/>
  </r>
  <r>
    <m/>
    <x v="6"/>
    <s v="A-493-0078"/>
    <n v="1228"/>
    <x v="0"/>
    <d v="2025-11-03T00:00:00"/>
    <d v="2025-11-07T00:00:00"/>
    <s v="Funded"/>
    <m/>
    <d v="1899-12-30T12:00:00"/>
    <d v="1899-12-30T09:00:00"/>
    <d v="1899-12-30T20:00:00"/>
    <d v="1899-12-30T18:00:00"/>
    <d v="1899-12-30T07:00:00"/>
    <d v="1899-12-30T02:00:00"/>
    <s v="T. White"/>
    <m/>
    <m/>
    <n v="45"/>
    <n v="32"/>
    <n v="4"/>
    <n v="568"/>
    <n v="39"/>
    <n v="0"/>
    <n v="34"/>
    <n v="2"/>
    <n v="0"/>
    <n v="0"/>
    <n v="0"/>
    <s v="Benzick, Sue"/>
    <n v="-36"/>
    <n v="0"/>
    <n v="0"/>
    <n v="1"/>
    <n v="0"/>
    <n v="32"/>
    <n v="6"/>
    <n v="1"/>
    <s v="N5"/>
  </r>
  <r>
    <m/>
    <x v="22"/>
    <s v="A-493-3011"/>
    <s v="31VD"/>
    <x v="0"/>
    <d v="2025-11-04T00:00:00"/>
    <d v="2025-11-04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2.5"/>
    <n v="0.3"/>
    <n v="0"/>
    <n v="8"/>
    <n v="0"/>
    <n v="37"/>
    <n v="0"/>
    <n v="0"/>
    <n v="0"/>
    <n v="0"/>
    <s v="AC1 Engleking"/>
    <n v="-39"/>
    <n v="0"/>
    <n v="0"/>
    <n v="1"/>
    <n v="0"/>
    <n v="2.5"/>
    <n v="992"/>
    <n v="1"/>
    <s v="N8"/>
  </r>
  <r>
    <m/>
    <x v="23"/>
    <s v="A-493-3010"/>
    <s v="31VC"/>
    <x v="0"/>
    <d v="2025-11-04T00:00:00"/>
    <d v="2025-11-04T00:00:00"/>
    <s v="Funded"/>
    <m/>
    <d v="1899-12-30T11:00:00"/>
    <d v="1899-12-30T08:00:00"/>
    <d v="1899-12-30T19:00:00"/>
    <d v="1899-12-30T17:00:00"/>
    <d v="1899-12-30T07:00:00"/>
    <d v="1899-12-30T01:00:00"/>
    <s v="C. Gum"/>
    <m/>
    <m/>
    <n v="1000"/>
    <n v="3.5"/>
    <n v="0.4"/>
    <n v="0"/>
    <n v="20"/>
    <n v="0"/>
    <n v="51"/>
    <n v="0"/>
    <n v="0"/>
    <n v="0"/>
    <n v="0"/>
    <s v="AC1 Engleking"/>
    <n v="-39"/>
    <n v="0"/>
    <n v="0"/>
    <n v="1"/>
    <n v="0"/>
    <n v="3.5"/>
    <n v="980"/>
    <n v="1"/>
    <s v="N8"/>
  </r>
  <r>
    <m/>
    <x v="24"/>
    <s v="A-493-3018"/>
    <s v="31YM"/>
    <x v="0"/>
    <d v="2025-11-05T00:00:00"/>
    <d v="2025-11-05T00:00:00"/>
    <s v="Funded"/>
    <m/>
    <d v="1899-12-30T17:30:00"/>
    <d v="1899-12-30T14:30:00"/>
    <d v="1899-12-30T01:30:00"/>
    <d v="1899-12-30T23:30:00"/>
    <d v="1899-12-30T13:30:00"/>
    <d v="1899-12-30T07:30:00"/>
    <s v="C. Gum"/>
    <m/>
    <m/>
    <n v="1000"/>
    <n v="2.5"/>
    <n v="0.3"/>
    <m/>
    <n v="1"/>
    <n v="0"/>
    <n v="29"/>
    <n v="0"/>
    <n v="0"/>
    <n v="0"/>
    <n v="0"/>
    <s v="AC1 Engleking"/>
    <n v="-38"/>
    <n v="0"/>
    <n v="0"/>
    <n v="1"/>
    <n v="0"/>
    <n v="2.5"/>
    <n v="999"/>
    <n v="1"/>
    <s v="N8"/>
  </r>
  <r>
    <m/>
    <x v="25"/>
    <s v="A-493-3004"/>
    <s v="31V6"/>
    <x v="0"/>
    <d v="2025-11-05T00:00:00"/>
    <d v="2025-11-05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1.5"/>
    <n v="0.2"/>
    <n v="0"/>
    <n v="6"/>
    <n v="0"/>
    <n v="36"/>
    <n v="0"/>
    <n v="0"/>
    <n v="0"/>
    <n v="0"/>
    <s v="AC1 Engleking"/>
    <n v="-38"/>
    <n v="0"/>
    <n v="0"/>
    <n v="1"/>
    <n v="0"/>
    <n v="1.5"/>
    <n v="994"/>
    <n v="1"/>
    <s v="N8"/>
  </r>
  <r>
    <m/>
    <x v="26"/>
    <s v="A-493-3001"/>
    <s v="31V3"/>
    <x v="0"/>
    <d v="2025-11-05T00:00:00"/>
    <d v="2025-11-05T00:00:00"/>
    <s v="Funded"/>
    <m/>
    <d v="1899-12-30T11:00:00"/>
    <d v="1899-12-30T08:00:00"/>
    <d v="1899-12-30T19:00:00"/>
    <d v="1899-12-30T17:00:00"/>
    <d v="1899-12-30T07:00:00"/>
    <d v="1899-12-30T01:00:00"/>
    <s v="C. Gum"/>
    <m/>
    <m/>
    <n v="1000"/>
    <n v="2"/>
    <n v="0.25"/>
    <m/>
    <n v="12"/>
    <n v="0"/>
    <n v="35"/>
    <n v="0"/>
    <n v="0"/>
    <n v="0"/>
    <n v="0"/>
    <s v="AC1 Engleking"/>
    <n v="-38"/>
    <n v="0"/>
    <n v="0"/>
    <n v="1"/>
    <n v="0"/>
    <n v="2"/>
    <n v="988"/>
    <n v="1"/>
    <s v="N8"/>
  </r>
  <r>
    <m/>
    <x v="27"/>
    <s v="A-493-3013"/>
    <s v="31YG"/>
    <x v="0"/>
    <d v="2025-11-06T00:00:00"/>
    <d v="2025-11-06T00:00:00"/>
    <s v="Funded"/>
    <m/>
    <d v="1899-12-30T13:30:00"/>
    <d v="1899-12-30T10:30:00"/>
    <d v="1899-12-30T21:30:00"/>
    <d v="1899-12-30T19:30:00"/>
    <d v="1899-12-30T08:30:00"/>
    <d v="1899-12-30T03:30:00"/>
    <s v="C. Gum"/>
    <m/>
    <m/>
    <n v="1000"/>
    <n v="1"/>
    <n v="0.1"/>
    <m/>
    <n v="1"/>
    <n v="0"/>
    <n v="39"/>
    <n v="0"/>
    <n v="0"/>
    <n v="0"/>
    <n v="0"/>
    <s v="AC1 Engleking"/>
    <n v="-37"/>
    <n v="0"/>
    <n v="0"/>
    <n v="1"/>
    <n v="0"/>
    <n v="1"/>
    <n v="999"/>
    <n v="1"/>
    <s v="N8"/>
  </r>
  <r>
    <m/>
    <x v="28"/>
    <s v="A-493-3014"/>
    <s v="31Yh"/>
    <x v="0"/>
    <d v="2025-11-06T00:00:00"/>
    <d v="2025-11-06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0.75"/>
    <n v="0.1"/>
    <m/>
    <n v="1"/>
    <n v="0"/>
    <n v="33"/>
    <n v="0"/>
    <n v="0"/>
    <n v="0"/>
    <n v="0"/>
    <s v="AC1 Engleking"/>
    <n v="-37"/>
    <n v="0"/>
    <n v="0"/>
    <n v="1"/>
    <n v="0"/>
    <n v="0.75"/>
    <n v="999"/>
    <n v="1"/>
    <s v="N8"/>
  </r>
  <r>
    <m/>
    <x v="29"/>
    <s v="A-493-3015"/>
    <s v="31YJ"/>
    <x v="0"/>
    <d v="2025-11-06T00:00:00"/>
    <d v="2025-11-06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1"/>
    <n v="0"/>
    <n v="38"/>
    <n v="0"/>
    <n v="0"/>
    <n v="0"/>
    <n v="0"/>
    <s v="AC1 Engleking"/>
    <n v="-37"/>
    <n v="0"/>
    <n v="0"/>
    <n v="1"/>
    <n v="0"/>
    <n v="1"/>
    <n v="999"/>
    <n v="1"/>
    <s v="N8"/>
  </r>
  <r>
    <m/>
    <x v="30"/>
    <s v="A-493-3016"/>
    <s v="31Yk"/>
    <x v="0"/>
    <d v="2025-11-06T00:00:00"/>
    <d v="2025-11-06T00:00:00"/>
    <s v="Funded"/>
    <m/>
    <d v="1899-12-30T16:30:00"/>
    <d v="1899-12-30T13:30:00"/>
    <d v="1899-12-30T00:30:00"/>
    <d v="1899-12-30T22:30:00"/>
    <d v="1899-12-30T11:30:00"/>
    <d v="1899-12-30T06:30:00"/>
    <s v="C. Gum"/>
    <m/>
    <m/>
    <n v="1000"/>
    <n v="1"/>
    <n v="0.1"/>
    <m/>
    <n v="1"/>
    <n v="0"/>
    <n v="45"/>
    <n v="0"/>
    <n v="0"/>
    <n v="0"/>
    <n v="0"/>
    <s v="AC1 Engleking"/>
    <n v="-37"/>
    <n v="0"/>
    <n v="0"/>
    <n v="1"/>
    <n v="0"/>
    <n v="1"/>
    <n v="999"/>
    <n v="1"/>
    <s v="N8"/>
  </r>
  <r>
    <m/>
    <x v="31"/>
    <s v="A-493-3012"/>
    <s v="31YF"/>
    <x v="0"/>
    <d v="2025-11-06T00:00:00"/>
    <d v="2025-11-06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1"/>
    <n v="0.1"/>
    <m/>
    <n v="1"/>
    <n v="0"/>
    <n v="26"/>
    <n v="0"/>
    <n v="0"/>
    <n v="0"/>
    <n v="0"/>
    <s v="AC1 Engleking"/>
    <n v="-37"/>
    <n v="0"/>
    <n v="0"/>
    <n v="1"/>
    <n v="0"/>
    <n v="1"/>
    <n v="999"/>
    <n v="1"/>
    <s v="N8"/>
  </r>
  <r>
    <m/>
    <x v="32"/>
    <s v="A-493-3005"/>
    <s v="31V7"/>
    <x v="0"/>
    <d v="2025-11-07T00:00:00"/>
    <d v="2025-11-07T00:00:00"/>
    <s v="Funded"/>
    <m/>
    <d v="1899-12-30T13:45:00"/>
    <d v="1899-12-30T10:45:00"/>
    <d v="1899-12-30T21:45:00"/>
    <d v="1899-12-30T19:45:00"/>
    <d v="1899-12-30T08:45:00"/>
    <d v="1899-12-30T03:45:00"/>
    <s v="C. Gum"/>
    <m/>
    <m/>
    <n v="1000"/>
    <n v="2"/>
    <n v="0.25"/>
    <n v="0"/>
    <n v="6"/>
    <n v="0"/>
    <n v="26"/>
    <n v="0"/>
    <n v="0"/>
    <n v="0"/>
    <n v="0"/>
    <s v="AC1 Engleking"/>
    <n v="-36"/>
    <n v="0"/>
    <n v="0"/>
    <n v="1"/>
    <n v="0"/>
    <n v="2"/>
    <n v="994"/>
    <n v="1"/>
    <s v="N8"/>
  </r>
  <r>
    <m/>
    <x v="33"/>
    <s v="A-493-3017"/>
    <s v="31YL"/>
    <x v="0"/>
    <d v="2025-11-07T00:00:00"/>
    <d v="2025-11-07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2.5"/>
    <n v="0.3"/>
    <m/>
    <n v="1"/>
    <n v="0"/>
    <n v="25"/>
    <n v="0"/>
    <n v="0"/>
    <n v="0"/>
    <n v="0"/>
    <s v="AC1 Engleking"/>
    <n v="-36"/>
    <n v="0"/>
    <n v="0"/>
    <n v="1"/>
    <n v="0"/>
    <n v="2.5"/>
    <n v="999"/>
    <n v="1"/>
    <s v="N8"/>
  </r>
  <r>
    <m/>
    <x v="34"/>
    <s v="A-493-3008"/>
    <s v="31VA"/>
    <x v="0"/>
    <d v="2025-11-07T00:00:00"/>
    <d v="2025-11-07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6"/>
    <n v="0"/>
    <n v="35"/>
    <n v="0"/>
    <n v="0"/>
    <n v="0"/>
    <n v="0"/>
    <s v="AC1 Engleking"/>
    <n v="-36"/>
    <n v="0"/>
    <n v="0"/>
    <n v="1"/>
    <n v="0"/>
    <n v="1"/>
    <n v="994"/>
    <n v="1"/>
    <s v="N8"/>
  </r>
  <r>
    <m/>
    <x v="35"/>
    <s v="A-493-3009"/>
    <s v="31VB"/>
    <x v="0"/>
    <d v="2025-11-07T00:00:00"/>
    <d v="2025-11-07T00:00:00"/>
    <s v="Funded"/>
    <m/>
    <d v="1899-12-30T12:30:00"/>
    <d v="1899-12-30T09:30:00"/>
    <d v="1899-12-30T20:30:00"/>
    <d v="1899-12-30T18:30:00"/>
    <d v="1899-12-30T07:30:00"/>
    <d v="1899-12-30T02:30:00"/>
    <s v="C. Gum"/>
    <m/>
    <m/>
    <n v="1000"/>
    <n v="1"/>
    <n v="0.1"/>
    <n v="0"/>
    <n v="43"/>
    <n v="0"/>
    <n v="35"/>
    <n v="0"/>
    <n v="0"/>
    <n v="0"/>
    <n v="0"/>
    <s v="AC1 Engleking"/>
    <n v="-36"/>
    <n v="0"/>
    <n v="0"/>
    <n v="1"/>
    <n v="0"/>
    <n v="1"/>
    <n v="957"/>
    <n v="1"/>
    <s v="N8"/>
  </r>
  <r>
    <s v="Veterans Day"/>
    <x v="11"/>
    <s v="Holiday"/>
    <s v="Holiday"/>
    <x v="5"/>
    <d v="2025-11-11T00:00:00"/>
    <d v="2025-11-11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32"/>
    <n v="0"/>
    <n v="0"/>
    <n v="1"/>
    <n v="0"/>
    <n v="0"/>
    <n v="0"/>
    <n v="1"/>
    <s v="TSD"/>
  </r>
  <r>
    <m/>
    <x v="12"/>
    <s v="A-493-0331"/>
    <s v="10UG"/>
    <x v="0"/>
    <d v="2025-11-12T00:00:00"/>
    <d v="2025-11-14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24"/>
    <n v="3"/>
    <n v="844"/>
    <n v="44"/>
    <n v="5"/>
    <n v="39"/>
    <n v="3"/>
    <n v="0"/>
    <n v="0"/>
    <n v="0"/>
    <s v="Keay, Aaron"/>
    <n v="-29"/>
    <n v="0"/>
    <n v="0"/>
    <n v="1"/>
    <n v="0"/>
    <n v="24"/>
    <n v="1"/>
    <n v="1"/>
    <s v="N3"/>
  </r>
  <r>
    <m/>
    <x v="37"/>
    <s v="A-493-0665"/>
    <s v="10KW"/>
    <x v="0"/>
    <d v="2025-11-17T00:00:00"/>
    <d v="2025-11-19T00:00:00"/>
    <s v="Funded"/>
    <m/>
    <d v="1899-12-30T19:00:00"/>
    <d v="1899-12-30T16:00:00"/>
    <d v="1899-12-30T03:00:00"/>
    <d v="1899-12-30T01:00:00"/>
    <d v="1899-12-30T14:00:00"/>
    <d v="1899-12-30T09:00:00"/>
    <s v="LSC Kitivi"/>
    <m/>
    <m/>
    <n v="45"/>
    <n v="24"/>
    <n v="3"/>
    <n v="82"/>
    <n v="20"/>
    <n v="0"/>
    <n v="20"/>
    <n v="0"/>
    <n v="1"/>
    <n v="0"/>
    <n v="0"/>
    <s v="AC1 Engleking"/>
    <n v="-24"/>
    <n v="0"/>
    <n v="0"/>
    <n v="1"/>
    <n v="0"/>
    <n v="24"/>
    <n v="25"/>
    <n v="1"/>
    <s v="N8"/>
  </r>
  <r>
    <m/>
    <x v="15"/>
    <s v="A-493-0012"/>
    <n v="3682"/>
    <x v="11"/>
    <d v="2025-11-17T00:00:00"/>
    <d v="2025-11-21T00:00:00"/>
    <s v="Funded"/>
    <d v="1899-12-30T08:00:00"/>
    <m/>
    <m/>
    <m/>
    <m/>
    <m/>
    <m/>
    <s v="W. Bailey"/>
    <m/>
    <m/>
    <n v="40"/>
    <n v="40"/>
    <n v="5"/>
    <n v="30"/>
    <n v="30"/>
    <n v="0"/>
    <n v="33"/>
    <n v="0"/>
    <n v="1"/>
    <n v="2"/>
    <n v="0"/>
    <s v="Weaver, Nicole"/>
    <n v="-22"/>
    <n v="0"/>
    <n v="0"/>
    <n v="1"/>
    <n v="0"/>
    <n v="40"/>
    <n v="10"/>
    <n v="1"/>
    <s v="N4"/>
  </r>
  <r>
    <s v="Naval Base San Diego"/>
    <x v="15"/>
    <s v="A-493-0012"/>
    <n v="3682"/>
    <x v="8"/>
    <d v="2025-11-17T00:00:00"/>
    <d v="2025-11-21T00:00:00"/>
    <s v="Funded"/>
    <d v="1899-12-30T08:00:00"/>
    <m/>
    <m/>
    <m/>
    <m/>
    <m/>
    <m/>
    <s v="R. Hartel"/>
    <m/>
    <m/>
    <n v="40"/>
    <n v="40"/>
    <n v="5"/>
    <n v="63"/>
    <n v="37"/>
    <n v="0"/>
    <n v="36"/>
    <n v="0"/>
    <n v="7"/>
    <n v="6"/>
    <n v="0"/>
    <s v="Weaver, Nicole"/>
    <n v="-22"/>
    <n v="0"/>
    <n v="0"/>
    <n v="1"/>
    <n v="0"/>
    <n v="40"/>
    <n v="3"/>
    <n v="1"/>
    <s v="N4"/>
  </r>
  <r>
    <m/>
    <x v="40"/>
    <s v="A-493-0335"/>
    <s v="09ND"/>
    <x v="0"/>
    <d v="2025-11-17T00:00:00"/>
    <d v="2025-11-20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45"/>
    <n v="32"/>
    <n v="4"/>
    <n v="119"/>
    <n v="9"/>
    <n v="0"/>
    <n v="10"/>
    <n v="0"/>
    <n v="1"/>
    <n v="1"/>
    <n v="0"/>
    <s v="Keay, Aaron"/>
    <n v="-23"/>
    <n v="0"/>
    <n v="0"/>
    <n v="1"/>
    <n v="0"/>
    <n v="32"/>
    <n v="36"/>
    <n v="1"/>
    <s v="N3"/>
  </r>
  <r>
    <m/>
    <x v="42"/>
    <s v="A-493-0085"/>
    <n v="3555"/>
    <x v="0"/>
    <d v="2025-11-17T00:00:00"/>
    <d v="2025-11-20T00:00:00"/>
    <s v="Funded"/>
    <m/>
    <d v="1899-12-30T12:00:00"/>
    <d v="1899-12-30T09:00:00"/>
    <d v="1899-12-30T20:00:00"/>
    <d v="1899-12-30T18:00:00"/>
    <d v="1899-12-30T07:00:00"/>
    <d v="1899-12-30T02:00:00"/>
    <s v="B. Jung"/>
    <m/>
    <m/>
    <n v="45"/>
    <n v="32"/>
    <n v="4"/>
    <n v="688"/>
    <n v="25"/>
    <n v="0"/>
    <n v="17"/>
    <n v="1"/>
    <n v="9"/>
    <n v="0"/>
    <n v="0"/>
    <s v="Keay, Aaron"/>
    <n v="-23"/>
    <n v="0"/>
    <n v="0"/>
    <n v="1"/>
    <n v="0"/>
    <n v="32"/>
    <n v="20"/>
    <n v="1"/>
    <s v="N3"/>
  </r>
  <r>
    <m/>
    <x v="38"/>
    <s v="A-570-0100"/>
    <s v="18B7"/>
    <x v="0"/>
    <d v="2025-11-17T00:00:00"/>
    <d v="2025-11-18T00:00:00"/>
    <s v="Funded"/>
    <m/>
    <d v="1899-12-30T19:00:00"/>
    <d v="1899-12-30T16:00:00"/>
    <d v="1899-12-30T03:00:00"/>
    <d v="1899-12-30T01:00:00"/>
    <d v="1899-12-30T14:00:00"/>
    <d v="1899-12-30T09:00:00"/>
    <s v="LT Bozenski"/>
    <m/>
    <m/>
    <n v="45"/>
    <n v="16"/>
    <n v="2"/>
    <n v="126"/>
    <n v="22"/>
    <n v="0"/>
    <n v="16"/>
    <n v="0"/>
    <n v="5"/>
    <n v="0"/>
    <n v="0"/>
    <s v="Keay, Aaron"/>
    <n v="-25"/>
    <n v="0"/>
    <n v="0"/>
    <n v="1"/>
    <n v="0"/>
    <n v="16"/>
    <n v="23"/>
    <n v="1"/>
    <s v="N8"/>
  </r>
  <r>
    <m/>
    <x v="8"/>
    <s v="A-493-2098"/>
    <s v="09WW"/>
    <x v="0"/>
    <d v="2025-11-17T00:00:00"/>
    <d v="2025-11-19T00:00:00"/>
    <s v="Funded"/>
    <m/>
    <d v="1899-12-30T12:00:00"/>
    <d v="1899-12-30T09:00:00"/>
    <d v="1899-12-30T20:00:00"/>
    <d v="1899-12-30T18:00:00"/>
    <d v="1899-12-30T07:00:00"/>
    <d v="1899-12-30T02:00:00"/>
    <s v="LT Bozenski"/>
    <m/>
    <m/>
    <n v="100"/>
    <n v="16"/>
    <n v="3"/>
    <m/>
    <n v="100"/>
    <n v="1"/>
    <n v="81"/>
    <n v="1"/>
    <n v="16"/>
    <n v="0"/>
    <n v="0"/>
    <s v="Weaver, Nicole"/>
    <n v="-24"/>
    <n v="0"/>
    <n v="0"/>
    <n v="1"/>
    <n v="0"/>
    <n v="16"/>
    <n v="0"/>
    <n v="1"/>
    <s v="N8"/>
  </r>
  <r>
    <m/>
    <x v="4"/>
    <s v="A-493-0061"/>
    <s v="288E"/>
    <x v="0"/>
    <d v="2025-11-17T00:00:00"/>
    <d v="2025-11-20T00:00:00"/>
    <s v="Funded"/>
    <m/>
    <d v="1899-12-30T08:00:00"/>
    <d v="1899-12-30T05:00:00"/>
    <n v="1600"/>
    <n v="1400"/>
    <d v="1899-12-30T03:00:00"/>
    <n v="2200"/>
    <s v="S. Griffin"/>
    <m/>
    <m/>
    <n v="45"/>
    <n v="30"/>
    <n v="4"/>
    <n v="366"/>
    <n v="12"/>
    <n v="0"/>
    <n v="12"/>
    <n v="0"/>
    <n v="1"/>
    <n v="0"/>
    <n v="0"/>
    <s v="Benzick, Sue"/>
    <n v="-23"/>
    <n v="0"/>
    <n v="0"/>
    <n v="1"/>
    <n v="0"/>
    <n v="30"/>
    <n v="33"/>
    <n v="1"/>
    <s v="N5"/>
  </r>
  <r>
    <m/>
    <x v="5"/>
    <s v="A-322-2604"/>
    <s v="10ZZ"/>
    <x v="0"/>
    <d v="2025-11-17T00:00:00"/>
    <d v="2025-11-19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24"/>
    <n v="3"/>
    <n v="621"/>
    <n v="42"/>
    <n v="0"/>
    <n v="35"/>
    <n v="0"/>
    <n v="8"/>
    <n v="0"/>
    <n v="0"/>
    <s v="Benzick, Sue"/>
    <n v="-24"/>
    <n v="0"/>
    <n v="0"/>
    <n v="1"/>
    <n v="0"/>
    <n v="24"/>
    <n v="3"/>
    <n v="1"/>
    <s v="N8"/>
  </r>
  <r>
    <m/>
    <x v="0"/>
    <s v="A-493-0550"/>
    <s v="09K5"/>
    <x v="0"/>
    <d v="2025-11-17T00:00:00"/>
    <d v="2025-11-20T00:00:00"/>
    <s v="Funded"/>
    <m/>
    <d v="1899-12-30T12:00:00"/>
    <d v="1899-12-30T09:00:00"/>
    <d v="1899-12-30T20:00:00"/>
    <d v="1899-12-30T18:00:00"/>
    <d v="1899-12-30T07:00:00"/>
    <d v="1899-12-30T02:00:00"/>
    <s v="N. DeCastro"/>
    <m/>
    <m/>
    <n v="45"/>
    <n v="32"/>
    <n v="4"/>
    <n v="864"/>
    <n v="45"/>
    <n v="0"/>
    <n v="31"/>
    <n v="0"/>
    <n v="14"/>
    <n v="0"/>
    <n v="0"/>
    <s v="Benzick, Sue"/>
    <n v="-23"/>
    <n v="0"/>
    <n v="0"/>
    <n v="1"/>
    <n v="0"/>
    <n v="32"/>
    <n v="0"/>
    <n v="1"/>
    <s v="N5"/>
  </r>
  <r>
    <m/>
    <x v="6"/>
    <s v="A-493-0078"/>
    <n v="1228"/>
    <x v="0"/>
    <d v="2025-11-17T00:00:00"/>
    <d v="2025-11-20T00:00:00"/>
    <s v="Funded"/>
    <m/>
    <d v="1899-12-30T08:00:00"/>
    <d v="1899-12-30T05:00:00"/>
    <n v="1600"/>
    <n v="1400"/>
    <d v="1899-12-30T03:00:00"/>
    <n v="2200"/>
    <s v="T. White"/>
    <m/>
    <m/>
    <n v="45"/>
    <n v="32"/>
    <n v="4"/>
    <n v="454"/>
    <n v="43"/>
    <n v="0"/>
    <n v="39"/>
    <n v="0"/>
    <n v="7"/>
    <n v="1"/>
    <n v="0"/>
    <s v="Benzick, Sue"/>
    <n v="-23"/>
    <n v="0"/>
    <n v="0"/>
    <n v="1"/>
    <n v="0"/>
    <n v="32"/>
    <n v="2"/>
    <n v="1"/>
    <s v="N5"/>
  </r>
  <r>
    <m/>
    <x v="43"/>
    <s v="A-4J-0022"/>
    <s v="09ER"/>
    <x v="0"/>
    <d v="2025-11-18T00:00:00"/>
    <d v="2025-11-19T00:00:00"/>
    <s v="Funded"/>
    <m/>
    <d v="1899-12-30T08:00:00"/>
    <d v="1899-12-30T05:00:00"/>
    <n v="1600"/>
    <n v="1400"/>
    <d v="1899-12-30T03:00:00"/>
    <n v="2200"/>
    <s v="A. Hardy"/>
    <m/>
    <m/>
    <n v="45"/>
    <n v="16"/>
    <n v="2"/>
    <n v="141"/>
    <n v="45"/>
    <n v="0"/>
    <n v="36"/>
    <n v="0"/>
    <n v="12"/>
    <n v="2"/>
    <n v="0"/>
    <s v="Weaver, Nicole"/>
    <n v="-24"/>
    <n v="0"/>
    <n v="0"/>
    <n v="1"/>
    <n v="0"/>
    <n v="16"/>
    <n v="0"/>
    <n v="1"/>
    <s v="N4"/>
  </r>
  <r>
    <m/>
    <x v="1"/>
    <s v="A-493-0099"/>
    <s v="12JW"/>
    <x v="0"/>
    <d v="2025-11-19T00:00:00"/>
    <d v="2025-11-21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334"/>
    <n v="45"/>
    <n v="1"/>
    <n v="42"/>
    <n v="0"/>
    <n v="5"/>
    <n v="1"/>
    <n v="0"/>
    <s v="Benzick, Sue"/>
    <n v="-22"/>
    <n v="0"/>
    <n v="0"/>
    <n v="1"/>
    <n v="0"/>
    <n v="24"/>
    <n v="0"/>
    <n v="1"/>
    <s v="N5"/>
  </r>
  <r>
    <s v="Thanksgiving Potluck"/>
    <x v="44"/>
    <s v="Function"/>
    <s v="Function"/>
    <x v="3"/>
    <d v="2025-11-25T00:00:00"/>
    <d v="2025-11-25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8"/>
    <n v="0"/>
    <n v="0"/>
    <n v="1"/>
    <n v="0"/>
    <n v="0"/>
    <n v="0"/>
    <n v="1"/>
    <s v="TSD"/>
  </r>
  <r>
    <s v="Thanksgiving"/>
    <x v="11"/>
    <s v="Holiday"/>
    <s v="Holiday"/>
    <x v="5"/>
    <d v="2025-11-27T00:00:00"/>
    <d v="2025-11-27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16"/>
    <n v="0"/>
    <n v="0"/>
    <n v="1"/>
    <n v="0"/>
    <n v="0"/>
    <n v="0"/>
    <n v="1"/>
    <s v="TSD"/>
  </r>
  <r>
    <m/>
    <x v="8"/>
    <s v="A-493-2098"/>
    <s v="09WW"/>
    <x v="0"/>
    <d v="2025-12-01T00:00:00"/>
    <d v="2025-12-03T00:00:00"/>
    <s v="Funded"/>
    <m/>
    <d v="1899-12-30T12:00:00"/>
    <d v="1899-12-30T09:00:00"/>
    <d v="1899-12-30T20:00:00"/>
    <d v="1899-12-30T18:00:00"/>
    <d v="1899-12-30T07:00:00"/>
    <d v="1899-12-30T02:00:00"/>
    <s v="EMC Stroughn"/>
    <m/>
    <m/>
    <n v="100"/>
    <n v="16"/>
    <n v="3"/>
    <n v="356"/>
    <n v="99"/>
    <n v="3"/>
    <m/>
    <m/>
    <m/>
    <m/>
    <m/>
    <m/>
    <n v="-10"/>
    <n v="1"/>
    <n v="0"/>
    <n v="1"/>
    <n v="0"/>
    <n v="16"/>
    <n v="1"/>
    <n v="1"/>
    <s v="N8"/>
  </r>
  <r>
    <m/>
    <x v="3"/>
    <s v="A-493-0103"/>
    <s v="12JY"/>
    <x v="12"/>
    <d v="2025-12-01T00:00:00"/>
    <d v="2025-12-05T00:00:00"/>
    <s v="Funded"/>
    <d v="1899-12-30T08:00:00"/>
    <m/>
    <m/>
    <m/>
    <m/>
    <m/>
    <m/>
    <s v="SOH Contractor"/>
    <m/>
    <m/>
    <n v="25"/>
    <n v="40"/>
    <n v="5"/>
    <n v="75"/>
    <n v="24"/>
    <n v="5"/>
    <n v="25"/>
    <n v="0"/>
    <n v="2"/>
    <n v="2"/>
    <n v="0"/>
    <s v="Benzick, Sue"/>
    <n v="-8"/>
    <n v="0"/>
    <n v="0"/>
    <n v="1"/>
    <n v="0"/>
    <n v="40"/>
    <n v="1"/>
    <n v="1"/>
    <s v="N5"/>
  </r>
  <r>
    <m/>
    <x v="4"/>
    <s v="A-493-0061"/>
    <s v="288E"/>
    <x v="0"/>
    <d v="2025-12-01T00:00:00"/>
    <d v="2025-12-04T00:00:00"/>
    <s v="Funded"/>
    <m/>
    <d v="1899-12-30T12:00:00"/>
    <d v="1899-12-30T09:00:00"/>
    <d v="1899-12-30T20:00:00"/>
    <d v="1899-12-30T18:00:00"/>
    <d v="1899-12-30T07:00:00"/>
    <d v="1899-12-30T02:00:00"/>
    <s v="S. Griffin"/>
    <m/>
    <m/>
    <n v="45"/>
    <n v="30"/>
    <n v="4"/>
    <n v="620"/>
    <n v="25"/>
    <n v="0"/>
    <n v="20"/>
    <n v="0"/>
    <n v="6"/>
    <n v="1"/>
    <n v="0"/>
    <s v="Benzick, Sue"/>
    <n v="-9"/>
    <n v="0"/>
    <n v="0"/>
    <n v="1"/>
    <n v="0"/>
    <n v="30"/>
    <n v="20"/>
    <n v="1"/>
    <s v="N5"/>
  </r>
  <r>
    <m/>
    <x v="5"/>
    <s v="A-322-2604"/>
    <s v="10ZZ"/>
    <x v="0"/>
    <d v="2025-12-01T00:00:00"/>
    <d v="2025-12-03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24"/>
    <n v="3"/>
    <n v="621"/>
    <n v="39"/>
    <n v="0"/>
    <n v="35"/>
    <n v="0"/>
    <n v="5"/>
    <n v="0"/>
    <n v="0"/>
    <s v="Benzick, Sue"/>
    <n v="-10"/>
    <n v="0"/>
    <n v="0"/>
    <n v="1"/>
    <n v="0"/>
    <n v="24"/>
    <n v="6"/>
    <n v="1"/>
    <s v="N8"/>
  </r>
  <r>
    <m/>
    <x v="0"/>
    <s v="A-493-0550"/>
    <s v="09K5"/>
    <x v="0"/>
    <d v="2025-12-01T00:00:00"/>
    <d v="2025-12-04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2"/>
    <n v="0"/>
    <n v="40"/>
    <n v="0"/>
    <n v="6"/>
    <n v="1"/>
    <n v="0"/>
    <s v="Benzick, Sue"/>
    <n v="-9"/>
    <n v="0"/>
    <n v="0"/>
    <n v="1"/>
    <n v="0"/>
    <n v="32"/>
    <n v="3"/>
    <n v="1"/>
    <s v="N5"/>
  </r>
  <r>
    <m/>
    <x v="1"/>
    <s v="A-493-0099"/>
    <s v="12JW"/>
    <x v="0"/>
    <d v="2025-12-03T00:00:00"/>
    <d v="2025-12-05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334"/>
    <n v="44"/>
    <n v="0"/>
    <n v="34"/>
    <n v="0"/>
    <n v="11"/>
    <n v="0"/>
    <n v="0"/>
    <s v="Benzick, Sue"/>
    <n v="-8"/>
    <n v="0"/>
    <n v="0"/>
    <n v="1"/>
    <n v="0"/>
    <n v="24"/>
    <n v="1"/>
    <n v="1"/>
    <s v="N5"/>
  </r>
  <r>
    <m/>
    <x v="45"/>
    <s v="A-493-0070"/>
    <s v="450V"/>
    <x v="4"/>
    <d v="2025-12-08T00:00:00"/>
    <d v="2025-12-08T00:00:00"/>
    <s v="Funded"/>
    <s v="0800"/>
    <m/>
    <m/>
    <m/>
    <m/>
    <m/>
    <m/>
    <s v="B. Jung"/>
    <m/>
    <m/>
    <n v="30"/>
    <n v="8"/>
    <n v="1"/>
    <m/>
    <m/>
    <m/>
    <n v="16"/>
    <n v="0"/>
    <n v="0"/>
    <n v="0"/>
    <n v="0"/>
    <s v="Keay, Aaron"/>
    <n v="-5"/>
    <n v="0"/>
    <n v="0"/>
    <n v="1"/>
    <n v="0"/>
    <n v="8"/>
    <n v="12"/>
    <m/>
    <s v="N3"/>
  </r>
  <r>
    <m/>
    <x v="37"/>
    <s v="A-493-0665"/>
    <s v="10KW"/>
    <x v="0"/>
    <d v="2025-12-08T00:00:00"/>
    <d v="2025-12-10T00:00:00"/>
    <s v="Funded"/>
    <m/>
    <d v="1899-12-30T12:00:00"/>
    <d v="1899-12-30T09:00:00"/>
    <d v="1899-12-30T20:00:00"/>
    <d v="1899-12-30T18:00:00"/>
    <d v="1899-12-30T07:00:00"/>
    <d v="1899-12-30T02:00:00"/>
    <s v="LSC Kitivi"/>
    <m/>
    <m/>
    <n v="45"/>
    <n v="24"/>
    <n v="3"/>
    <n v="337"/>
    <n v="35"/>
    <n v="0"/>
    <m/>
    <m/>
    <m/>
    <m/>
    <m/>
    <m/>
    <n v="-3"/>
    <n v="1"/>
    <n v="0"/>
    <n v="1"/>
    <n v="0"/>
    <n v="24"/>
    <n v="10"/>
    <n v="1"/>
    <s v="N8"/>
  </r>
  <r>
    <m/>
    <x v="38"/>
    <s v="A-570-0100"/>
    <s v="18B7"/>
    <x v="0"/>
    <d v="2025-12-08T00:00:00"/>
    <d v="2025-12-09T00:00:00"/>
    <s v="Funded"/>
    <m/>
    <d v="1899-12-30T12:00:00"/>
    <d v="1899-12-30T09:00:00"/>
    <d v="1899-12-30T20:00:00"/>
    <d v="1899-12-30T18:00:00"/>
    <d v="1899-12-30T07:00:00"/>
    <d v="1899-12-30T02:00:00"/>
    <s v="LT Bozenski"/>
    <m/>
    <m/>
    <n v="45"/>
    <n v="16"/>
    <n v="2"/>
    <n v="663"/>
    <n v="25"/>
    <n v="0"/>
    <m/>
    <m/>
    <m/>
    <m/>
    <m/>
    <m/>
    <n v="-4"/>
    <n v="1"/>
    <n v="0"/>
    <n v="1"/>
    <n v="0"/>
    <n v="16"/>
    <n v="20"/>
    <n v="1"/>
    <s v="N8"/>
  </r>
  <r>
    <m/>
    <x v="8"/>
    <s v="A-493-2098"/>
    <s v="09WW"/>
    <x v="0"/>
    <d v="2025-12-08T00:00:00"/>
    <d v="2025-12-10T00:00:00"/>
    <s v="Funded"/>
    <m/>
    <d v="1899-12-30T08:00:00"/>
    <d v="1899-12-30T05:00:00"/>
    <n v="1600"/>
    <n v="1400"/>
    <d v="1899-12-30T03:00:00"/>
    <n v="2200"/>
    <s v="LT Bozenski"/>
    <m/>
    <m/>
    <n v="100"/>
    <n v="16"/>
    <n v="3"/>
    <m/>
    <n v="70"/>
    <n v="0"/>
    <m/>
    <m/>
    <m/>
    <m/>
    <m/>
    <m/>
    <n v="-3"/>
    <n v="1"/>
    <n v="0"/>
    <n v="1"/>
    <n v="0"/>
    <n v="16"/>
    <n v="30"/>
    <n v="1"/>
    <s v="N8"/>
  </r>
  <r>
    <m/>
    <x v="3"/>
    <s v="A-493-0103"/>
    <s v="12JY"/>
    <x v="8"/>
    <d v="2025-12-08T00:00:00"/>
    <d v="2025-12-12T00:00:00"/>
    <s v="Funded"/>
    <d v="1899-12-30T08:00:00"/>
    <m/>
    <m/>
    <m/>
    <m/>
    <m/>
    <m/>
    <s v="SOH Contractor"/>
    <m/>
    <m/>
    <n v="25"/>
    <n v="40"/>
    <n v="5"/>
    <n v="516"/>
    <n v="25"/>
    <n v="2"/>
    <m/>
    <m/>
    <m/>
    <m/>
    <m/>
    <m/>
    <n v="-1"/>
    <n v="1"/>
    <n v="0"/>
    <n v="1"/>
    <n v="0"/>
    <n v="40"/>
    <n v="0"/>
    <n v="1"/>
    <s v="N5"/>
  </r>
  <r>
    <m/>
    <x v="6"/>
    <s v="A-493-0078"/>
    <n v="1228"/>
    <x v="0"/>
    <d v="2025-12-08T00:00:00"/>
    <d v="2025-12-11T00:00:00"/>
    <s v="Funded"/>
    <m/>
    <d v="1899-12-30T08:00:00"/>
    <d v="1899-12-30T05:00:00"/>
    <n v="1600"/>
    <n v="1400"/>
    <d v="1899-12-30T03:00:00"/>
    <n v="2200"/>
    <s v="T. White"/>
    <m/>
    <m/>
    <n v="45"/>
    <n v="32"/>
    <n v="4"/>
    <n v="454"/>
    <n v="43"/>
    <n v="1"/>
    <m/>
    <m/>
    <m/>
    <m/>
    <m/>
    <m/>
    <n v="-2"/>
    <n v="1"/>
    <n v="0"/>
    <n v="1"/>
    <n v="0"/>
    <n v="32"/>
    <n v="2"/>
    <n v="1"/>
    <s v="N5"/>
  </r>
  <r>
    <m/>
    <x v="46"/>
    <s v="A-493-0015"/>
    <n v="3879"/>
    <x v="4"/>
    <d v="2025-12-09T00:00:00"/>
    <d v="2025-12-09T00:00:00"/>
    <s v="Funded"/>
    <s v="0800"/>
    <m/>
    <m/>
    <m/>
    <m/>
    <m/>
    <m/>
    <s v="B. Jung"/>
    <m/>
    <m/>
    <n v="30"/>
    <n v="4"/>
    <n v="0.5"/>
    <m/>
    <m/>
    <m/>
    <n v="21"/>
    <n v="0"/>
    <n v="0"/>
    <n v="0"/>
    <n v="0"/>
    <s v="Keay, Aaron"/>
    <n v="-4"/>
    <n v="0"/>
    <n v="0"/>
    <n v="1"/>
    <n v="0"/>
    <n v="4"/>
    <n v="7"/>
    <m/>
    <s v="N3"/>
  </r>
  <r>
    <m/>
    <x v="47"/>
    <s v="A-493-0020"/>
    <n v="3888"/>
    <x v="4"/>
    <d v="2025-12-09T00:00:00"/>
    <d v="2025-12-09T00:00:00"/>
    <s v="Funded"/>
    <s v="0800"/>
    <m/>
    <m/>
    <m/>
    <m/>
    <m/>
    <m/>
    <s v="B. Jung"/>
    <m/>
    <m/>
    <n v="30"/>
    <n v="4"/>
    <n v="0.5"/>
    <m/>
    <m/>
    <m/>
    <n v="10"/>
    <n v="0"/>
    <n v="0"/>
    <n v="0"/>
    <n v="0"/>
    <s v="Keay, Aaron"/>
    <n v="-4"/>
    <n v="0"/>
    <n v="0"/>
    <n v="1"/>
    <n v="0"/>
    <n v="4"/>
    <n v="19"/>
    <m/>
    <s v="N3"/>
  </r>
  <r>
    <m/>
    <x v="12"/>
    <s v="A-493-0331"/>
    <s v="10UG"/>
    <x v="0"/>
    <d v="2025-12-09T00:00:00"/>
    <d v="2025-12-11T00:00:00"/>
    <s v="Funded"/>
    <m/>
    <d v="1899-12-30T12:00:00"/>
    <d v="1899-12-30T09:00:00"/>
    <d v="1899-12-30T20:00:00"/>
    <d v="1899-12-30T18:00:00"/>
    <d v="1899-12-30T07:00:00"/>
    <d v="1899-12-30T02:00:00"/>
    <s v="A. Harris"/>
    <m/>
    <m/>
    <n v="45"/>
    <n v="24"/>
    <n v="3"/>
    <n v="844"/>
    <n v="43"/>
    <n v="0"/>
    <m/>
    <m/>
    <m/>
    <m/>
    <m/>
    <m/>
    <n v="-2"/>
    <n v="1"/>
    <n v="0"/>
    <n v="1"/>
    <n v="0"/>
    <n v="24"/>
    <n v="2"/>
    <n v="1"/>
    <s v="N3"/>
  </r>
  <r>
    <m/>
    <x v="0"/>
    <s v="A-493-0550"/>
    <s v="09K5"/>
    <x v="0"/>
    <d v="2025-12-09T00:00:00"/>
    <d v="2025-12-12T00:00:00"/>
    <s v="Funded"/>
    <m/>
    <d v="1899-12-30T12:00:00"/>
    <d v="1899-12-30T09:00:00"/>
    <d v="1899-12-30T20:00:00"/>
    <d v="1899-12-30T18:00:00"/>
    <d v="1899-12-30T07:00:00"/>
    <d v="1899-12-30T02:00:00"/>
    <s v="N. DeCastro"/>
    <m/>
    <m/>
    <n v="45"/>
    <n v="32"/>
    <n v="4"/>
    <n v="864"/>
    <n v="44"/>
    <n v="0"/>
    <m/>
    <m/>
    <m/>
    <m/>
    <m/>
    <m/>
    <n v="-1"/>
    <n v="1"/>
    <n v="0"/>
    <n v="1"/>
    <n v="0"/>
    <n v="32"/>
    <n v="1"/>
    <n v="1"/>
    <s v="N5"/>
  </r>
  <r>
    <s v="Holiday Breakfast @ 0800"/>
    <x v="44"/>
    <s v="Function"/>
    <s v="Function"/>
    <x v="3"/>
    <d v="2025-12-10T00:00:00"/>
    <d v="2025-12-10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-3"/>
    <n v="0"/>
    <n v="0"/>
    <n v="1"/>
    <n v="0"/>
    <n v="0"/>
    <n v="0"/>
    <n v="1"/>
    <s v="TSD"/>
  </r>
  <r>
    <m/>
    <x v="16"/>
    <s v="A-493-3002"/>
    <s v="31V4"/>
    <x v="0"/>
    <d v="2025-12-14T00:00:00"/>
    <d v="2025-12-14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4"/>
    <n v="0.5"/>
    <n v="0"/>
    <n v="1"/>
    <n v="0"/>
    <n v="37"/>
    <n v="0"/>
    <n v="0"/>
    <n v="0"/>
    <n v="6"/>
    <s v="AC1 Engleking"/>
    <n v="1"/>
    <n v="0"/>
    <n v="0"/>
    <n v="1"/>
    <n v="0"/>
    <n v="4"/>
    <n v="999"/>
    <n v="1"/>
    <s v="N8"/>
  </r>
  <r>
    <m/>
    <x v="18"/>
    <s v="A-493-3006"/>
    <s v="31V8"/>
    <x v="0"/>
    <d v="2025-12-14T00:00:00"/>
    <d v="2025-12-14T00:00:00"/>
    <s v="Funded"/>
    <m/>
    <d v="1899-12-30T23:00:00"/>
    <d v="1899-12-30T20:00:00"/>
    <d v="1899-12-30T07:00:00"/>
    <d v="1899-12-30T05:00:00"/>
    <d v="1899-12-30T18:00:00"/>
    <d v="1899-12-30T13:00:00"/>
    <s v="C. Gum"/>
    <m/>
    <m/>
    <n v="1000"/>
    <n v="0.75"/>
    <n v="0.1"/>
    <m/>
    <n v="1"/>
    <n v="0"/>
    <m/>
    <m/>
    <m/>
    <m/>
    <m/>
    <m/>
    <n v="1"/>
    <n v="1"/>
    <n v="0"/>
    <n v="1"/>
    <n v="0"/>
    <n v="0.75"/>
    <n v="999"/>
    <n v="1"/>
    <s v="N8"/>
  </r>
  <r>
    <s v="Pilot Course "/>
    <x v="43"/>
    <s v="A-4J-0022"/>
    <s v="09ER"/>
    <x v="0"/>
    <d v="2025-12-15T00:00:00"/>
    <d v="2025-12-19T00:00:00"/>
    <s v="Funded"/>
    <m/>
    <d v="1899-12-30T12:00:00"/>
    <d v="1899-12-30T09:00:00"/>
    <d v="1899-12-30T20:00:00"/>
    <d v="1899-12-30T18:00:00"/>
    <d v="1899-12-30T07:00:00"/>
    <d v="1899-12-30T02:00:00"/>
    <s v="K. Seo"/>
    <m/>
    <m/>
    <n v="45"/>
    <n v="16"/>
    <n v="2"/>
    <n v="130"/>
    <n v="24"/>
    <m/>
    <m/>
    <m/>
    <m/>
    <m/>
    <m/>
    <m/>
    <n v="6"/>
    <n v="1"/>
    <n v="0"/>
    <n v="1"/>
    <n v="0"/>
    <n v="16"/>
    <n v="21"/>
    <n v="1"/>
    <s v="N4"/>
  </r>
  <r>
    <m/>
    <x v="22"/>
    <s v="A-493-3011"/>
    <s v="31VD"/>
    <x v="0"/>
    <d v="2025-12-15T00:00:00"/>
    <d v="2025-12-15T00:00:00"/>
    <s v="Funded"/>
    <m/>
    <d v="1899-12-30T23:00:00"/>
    <d v="1899-12-30T20:00:00"/>
    <d v="1899-12-30T07:00:00"/>
    <d v="1899-12-30T05:00:00"/>
    <d v="1899-12-30T18:00:00"/>
    <d v="1899-12-30T13:00:00"/>
    <s v="C. Gum"/>
    <m/>
    <m/>
    <n v="1000"/>
    <n v="2.5"/>
    <n v="0.3"/>
    <n v="0"/>
    <n v="1"/>
    <n v="0"/>
    <m/>
    <m/>
    <m/>
    <m/>
    <m/>
    <m/>
    <n v="2"/>
    <n v="1"/>
    <n v="0"/>
    <n v="1"/>
    <n v="0"/>
    <n v="2.5"/>
    <n v="999"/>
    <n v="1"/>
    <s v="N8"/>
  </r>
  <r>
    <m/>
    <x v="23"/>
    <s v="A-493-3010"/>
    <s v="31VC"/>
    <x v="0"/>
    <d v="2025-12-15T00:00:00"/>
    <d v="2025-12-15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3.5"/>
    <n v="0.4"/>
    <n v="0"/>
    <n v="9"/>
    <n v="0"/>
    <m/>
    <m/>
    <m/>
    <m/>
    <m/>
    <m/>
    <n v="2"/>
    <n v="1"/>
    <n v="0"/>
    <n v="1"/>
    <n v="0"/>
    <n v="3.5"/>
    <n v="991"/>
    <n v="1"/>
    <s v="N8"/>
  </r>
  <r>
    <m/>
    <x v="17"/>
    <s v="A-493-3003"/>
    <s v="31V5"/>
    <x v="0"/>
    <d v="2025-12-15T00:00:00"/>
    <d v="2025-12-15T00:00:00"/>
    <s v="Funded"/>
    <m/>
    <d v="1899-12-30T01:00:00"/>
    <d v="1899-12-30T22:00:00"/>
    <d v="1899-12-30T09:00:00"/>
    <d v="1899-12-30T07:00:00"/>
    <d v="1899-12-30T20:00:00"/>
    <d v="1899-12-30T15:00:00"/>
    <s v="C. Gum"/>
    <m/>
    <m/>
    <n v="1000"/>
    <n v="0.75"/>
    <n v="0.1"/>
    <m/>
    <n v="1"/>
    <n v="0"/>
    <m/>
    <m/>
    <m/>
    <m/>
    <m/>
    <m/>
    <n v="2"/>
    <n v="1"/>
    <n v="0"/>
    <n v="1"/>
    <n v="0"/>
    <n v="0.75"/>
    <n v="999"/>
    <n v="1"/>
    <s v="N8"/>
  </r>
  <r>
    <m/>
    <x v="19"/>
    <s v="A-493-3007"/>
    <s v="31V9"/>
    <x v="0"/>
    <d v="2025-12-15T00:00:00"/>
    <d v="2025-12-15T00:00:00"/>
    <s v="Funded"/>
    <m/>
    <d v="1899-12-30T00:01:00"/>
    <d v="1899-12-30T21:01:00"/>
    <d v="1899-12-30T20:01:00"/>
    <d v="1899-12-30T06:01:00"/>
    <d v="1899-12-30T19:01:00"/>
    <d v="1899-12-30T14:01:00"/>
    <s v="C. Gum"/>
    <m/>
    <m/>
    <n v="1000"/>
    <n v="0.75"/>
    <n v="0.1"/>
    <m/>
    <n v="1"/>
    <n v="0"/>
    <m/>
    <m/>
    <m/>
    <m/>
    <m/>
    <m/>
    <n v="2"/>
    <n v="1"/>
    <n v="0"/>
    <n v="1"/>
    <n v="0"/>
    <n v="0.75"/>
    <n v="999"/>
    <n v="1"/>
    <s v="N8"/>
  </r>
  <r>
    <m/>
    <x v="3"/>
    <s v="A-493-0103"/>
    <s v="12JY"/>
    <x v="10"/>
    <d v="2025-12-15T00:00:00"/>
    <d v="2025-12-19T00:00:00"/>
    <s v="Funded"/>
    <d v="1899-12-30T08:00:00"/>
    <m/>
    <m/>
    <m/>
    <m/>
    <m/>
    <m/>
    <s v="SOH Contractor"/>
    <m/>
    <m/>
    <n v="25"/>
    <n v="40"/>
    <n v="5"/>
    <n v="225"/>
    <n v="24"/>
    <n v="0"/>
    <m/>
    <m/>
    <m/>
    <m/>
    <m/>
    <m/>
    <n v="6"/>
    <n v="1"/>
    <n v="0"/>
    <n v="1"/>
    <n v="0"/>
    <n v="40"/>
    <n v="1"/>
    <n v="1"/>
    <s v="N5"/>
  </r>
  <r>
    <m/>
    <x v="4"/>
    <s v="A-493-0061"/>
    <s v="288E"/>
    <x v="0"/>
    <d v="2025-12-15T00:00:00"/>
    <d v="2025-12-18T00:00:00"/>
    <s v="Funded"/>
    <m/>
    <d v="1899-12-30T19:00:00"/>
    <d v="1899-12-30T16:00:00"/>
    <d v="1899-12-30T03:00:00"/>
    <d v="1899-12-30T01:00:00"/>
    <d v="1899-12-30T14:00:00"/>
    <d v="1899-12-30T09:00:00"/>
    <s v="S. Griffin"/>
    <m/>
    <m/>
    <n v="45"/>
    <n v="30"/>
    <n v="4"/>
    <n v="187"/>
    <n v="33"/>
    <n v="0"/>
    <m/>
    <m/>
    <m/>
    <m/>
    <m/>
    <m/>
    <n v="5"/>
    <n v="1"/>
    <n v="0"/>
    <n v="1"/>
    <n v="0"/>
    <n v="30"/>
    <n v="12"/>
    <n v="1"/>
    <s v="N5"/>
  </r>
  <r>
    <s v="Training at 0900"/>
    <x v="44"/>
    <s v="Function"/>
    <s v="Function"/>
    <x v="0"/>
    <d v="2025-12-16T00:00:00"/>
    <d v="2025-12-16T00:00:00"/>
    <s v="N/A"/>
    <m/>
    <m/>
    <m/>
    <m/>
    <m/>
    <m/>
    <m/>
    <m/>
    <m/>
    <m/>
    <n v="0"/>
    <n v="0"/>
    <n v="0"/>
    <m/>
    <m/>
    <m/>
    <m/>
    <m/>
    <m/>
    <m/>
    <m/>
    <m/>
    <n v="3"/>
    <n v="1"/>
    <n v="1"/>
    <n v="0"/>
    <n v="0"/>
    <e v="#DIV/0!"/>
    <m/>
    <m/>
    <s v="TSD"/>
  </r>
  <r>
    <m/>
    <x v="25"/>
    <s v="A-493-3004"/>
    <s v="31V6"/>
    <x v="0"/>
    <d v="2025-12-16T00:00:00"/>
    <d v="2025-12-16T00:00:00"/>
    <s v="Funded"/>
    <m/>
    <d v="1899-12-30T22:30:00"/>
    <d v="1899-12-30T19:30:00"/>
    <d v="1899-12-30T06:30:00"/>
    <d v="1899-12-30T04:30:00"/>
    <d v="1899-12-30T17:30:00"/>
    <d v="1899-12-30T12:30:00"/>
    <s v="C. Gum"/>
    <m/>
    <m/>
    <n v="1000"/>
    <n v="1.5"/>
    <n v="0.2"/>
    <n v="0"/>
    <n v="1"/>
    <n v="0"/>
    <m/>
    <m/>
    <m/>
    <m/>
    <m/>
    <m/>
    <n v="3"/>
    <n v="1"/>
    <n v="1"/>
    <n v="1"/>
    <n v="0"/>
    <n v="1.5"/>
    <n v="999"/>
    <n v="1"/>
    <s v="N8"/>
  </r>
  <r>
    <m/>
    <x v="26"/>
    <s v="A-493-3001"/>
    <s v="31V3"/>
    <x v="0"/>
    <d v="2025-12-16T00:00:00"/>
    <d v="2025-12-16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2"/>
    <n v="0.25"/>
    <m/>
    <n v="3"/>
    <n v="0"/>
    <m/>
    <m/>
    <m/>
    <m/>
    <m/>
    <m/>
    <n v="3"/>
    <n v="1"/>
    <n v="1"/>
    <n v="1"/>
    <n v="0"/>
    <n v="2"/>
    <n v="997"/>
    <n v="1"/>
    <s v="N8"/>
  </r>
  <r>
    <m/>
    <x v="24"/>
    <s v="A-493-3018"/>
    <s v="31YM"/>
    <x v="0"/>
    <d v="2025-12-17T00:00:00"/>
    <d v="2025-12-17T00:00:00"/>
    <s v="Funded"/>
    <m/>
    <d v="1899-12-30T00:30:00"/>
    <d v="1899-12-30T21:30:00"/>
    <d v="1899-12-30T08:30:00"/>
    <d v="1899-12-30T06:30:00"/>
    <d v="1899-12-30T19:30:00"/>
    <d v="1899-12-30T14:30:00"/>
    <s v="C. Gum"/>
    <m/>
    <m/>
    <n v="1000"/>
    <n v="2.5"/>
    <n v="0.3"/>
    <m/>
    <n v="1"/>
    <n v="0"/>
    <m/>
    <m/>
    <m/>
    <m/>
    <m/>
    <m/>
    <n v="4"/>
    <n v="1"/>
    <n v="1"/>
    <n v="1"/>
    <n v="0"/>
    <n v="2.5"/>
    <n v="999"/>
    <n v="1"/>
    <s v="N8"/>
  </r>
  <r>
    <m/>
    <x v="27"/>
    <s v="A-493-3013"/>
    <s v="31YG"/>
    <x v="0"/>
    <d v="2025-12-17T00:00:00"/>
    <d v="2025-12-17T00:00:00"/>
    <s v="Funded"/>
    <m/>
    <d v="1899-12-30T20:30:00"/>
    <d v="1899-12-30T17:30:00"/>
    <d v="1899-12-30T04:30:00"/>
    <d v="1899-12-30T02:30:00"/>
    <d v="1899-12-30T15:30:00"/>
    <d v="1899-12-30T10:30:00"/>
    <s v="C. Gum"/>
    <m/>
    <m/>
    <n v="1000"/>
    <n v="1"/>
    <n v="0.1"/>
    <m/>
    <n v="1"/>
    <n v="0"/>
    <m/>
    <m/>
    <m/>
    <m/>
    <m/>
    <m/>
    <n v="4"/>
    <n v="1"/>
    <n v="1"/>
    <n v="1"/>
    <n v="0"/>
    <n v="1"/>
    <n v="999"/>
    <n v="1"/>
    <s v="N8"/>
  </r>
  <r>
    <m/>
    <x v="28"/>
    <s v="A-493-3014"/>
    <s v="31Yh"/>
    <x v="0"/>
    <d v="2025-12-17T00:00:00"/>
    <d v="2025-12-17T00:00:00"/>
    <s v="Funded"/>
    <m/>
    <d v="1899-12-30T22:30:00"/>
    <d v="1899-12-30T19:30:00"/>
    <d v="1899-12-30T06:30:00"/>
    <d v="1899-12-30T04:30:00"/>
    <d v="1899-12-30T17:30:00"/>
    <d v="1899-12-30T12:30:00"/>
    <s v="C. Gum"/>
    <m/>
    <m/>
    <n v="1000"/>
    <n v="0.75"/>
    <n v="0.1"/>
    <m/>
    <n v="1"/>
    <n v="0"/>
    <m/>
    <m/>
    <m/>
    <m/>
    <m/>
    <m/>
    <n v="4"/>
    <n v="1"/>
    <n v="1"/>
    <n v="1"/>
    <n v="0"/>
    <n v="0.75"/>
    <n v="999"/>
    <n v="1"/>
    <s v="N8"/>
  </r>
  <r>
    <m/>
    <x v="29"/>
    <s v="A-493-3015"/>
    <s v="31YJ"/>
    <x v="0"/>
    <d v="2025-12-17T00:00:00"/>
    <d v="2025-12-17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1"/>
    <n v="0.1"/>
    <m/>
    <n v="1"/>
    <n v="0"/>
    <m/>
    <m/>
    <m/>
    <m/>
    <m/>
    <m/>
    <n v="4"/>
    <n v="1"/>
    <n v="1"/>
    <n v="1"/>
    <n v="0"/>
    <n v="1"/>
    <n v="999"/>
    <n v="1"/>
    <s v="N8"/>
  </r>
  <r>
    <m/>
    <x v="30"/>
    <s v="A-493-3016"/>
    <s v="31Yk"/>
    <x v="0"/>
    <d v="2025-12-17T00:00:00"/>
    <d v="2025-12-17T00:00:00"/>
    <s v="Funded"/>
    <m/>
    <d v="1899-12-30T23:30:00"/>
    <d v="1899-12-30T20:30:00"/>
    <d v="1899-12-30T07:30:00"/>
    <d v="1899-12-30T05:30:00"/>
    <d v="1899-12-30T18:30:00"/>
    <d v="1899-12-30T13:30:00"/>
    <s v="C. Gum"/>
    <m/>
    <m/>
    <n v="1000"/>
    <n v="1"/>
    <n v="0.1"/>
    <m/>
    <n v="1"/>
    <n v="0"/>
    <m/>
    <m/>
    <m/>
    <m/>
    <m/>
    <m/>
    <n v="4"/>
    <n v="1"/>
    <n v="1"/>
    <n v="1"/>
    <n v="0"/>
    <n v="1"/>
    <n v="999"/>
    <n v="1"/>
    <s v="N8"/>
  </r>
  <r>
    <m/>
    <x v="32"/>
    <s v="A-493-3005"/>
    <s v="31V7"/>
    <x v="0"/>
    <d v="2025-12-18T00:00:00"/>
    <d v="2025-12-18T00:00:00"/>
    <s v="Funded"/>
    <m/>
    <d v="1899-12-30T20:45:00"/>
    <d v="1899-12-30T17:45:00"/>
    <d v="1899-12-30T04:45:00"/>
    <d v="1899-12-30T02:45:00"/>
    <d v="1899-12-30T15:45:00"/>
    <d v="1899-12-30T10:45:00"/>
    <s v="C. Gum"/>
    <m/>
    <m/>
    <n v="1000"/>
    <n v="2"/>
    <n v="0.25"/>
    <m/>
    <n v="1"/>
    <n v="0"/>
    <m/>
    <m/>
    <m/>
    <m/>
    <m/>
    <m/>
    <n v="5"/>
    <n v="1"/>
    <n v="1"/>
    <n v="1"/>
    <n v="0"/>
    <n v="2"/>
    <n v="999"/>
    <n v="1"/>
    <s v="N8"/>
  </r>
  <r>
    <m/>
    <x v="33"/>
    <s v="A-493-3017"/>
    <s v="31YL"/>
    <x v="0"/>
    <d v="2025-12-18T00:00:00"/>
    <d v="2025-12-18T00:00:00"/>
    <s v="Funded"/>
    <m/>
    <d v="1899-12-30T22:30:00"/>
    <d v="1899-12-30T19:30:00"/>
    <d v="1899-12-30T06:30:00"/>
    <d v="1899-12-30T04:30:00"/>
    <d v="1899-12-30T17:30:00"/>
    <d v="1899-12-30T12:30:00"/>
    <s v="C. Gum"/>
    <m/>
    <m/>
    <n v="1000"/>
    <n v="2.5"/>
    <n v="0.3"/>
    <m/>
    <n v="1"/>
    <n v="0"/>
    <m/>
    <m/>
    <m/>
    <m/>
    <m/>
    <m/>
    <n v="5"/>
    <n v="1"/>
    <n v="1"/>
    <n v="1"/>
    <n v="0"/>
    <n v="2.5"/>
    <n v="999"/>
    <n v="1"/>
    <s v="N8"/>
  </r>
  <r>
    <m/>
    <x v="34"/>
    <s v="A-493-3008"/>
    <s v="31VA"/>
    <x v="0"/>
    <d v="2025-12-18T00:00:00"/>
    <d v="2025-12-18T00:00:00"/>
    <s v="Funded"/>
    <m/>
    <d v="1899-12-30T18:00:00"/>
    <d v="1899-12-30T15:00:00"/>
    <d v="1899-12-30T02:00:00"/>
    <d v="1899-12-30T00:00:00"/>
    <d v="1899-12-30T13:00:00"/>
    <d v="1899-12-30T08:00:00"/>
    <s v="C. Gum"/>
    <m/>
    <m/>
    <n v="1000"/>
    <n v="1"/>
    <n v="0.1"/>
    <n v="0"/>
    <n v="2"/>
    <n v="0"/>
    <m/>
    <m/>
    <m/>
    <m/>
    <m/>
    <m/>
    <n v="5"/>
    <n v="1"/>
    <n v="1"/>
    <n v="1"/>
    <n v="0"/>
    <n v="1"/>
    <n v="998"/>
    <n v="1"/>
    <s v="N8"/>
  </r>
  <r>
    <m/>
    <x v="31"/>
    <s v="A-493-3012"/>
    <s v="31YF"/>
    <x v="0"/>
    <d v="2025-12-18T00:00:00"/>
    <d v="2025-12-18T00:00:00"/>
    <s v="Funded"/>
    <m/>
    <d v="1899-12-30T01:00:00"/>
    <d v="1899-12-30T22:00:00"/>
    <d v="1899-12-30T09:00:00"/>
    <d v="1899-12-30T07:00:00"/>
    <d v="1899-12-30T20:00:00"/>
    <d v="1899-12-30T15:00:00"/>
    <s v="C. Gum"/>
    <m/>
    <m/>
    <n v="1000"/>
    <n v="1"/>
    <n v="0.1"/>
    <m/>
    <n v="1"/>
    <n v="0"/>
    <m/>
    <m/>
    <m/>
    <m/>
    <m/>
    <m/>
    <n v="5"/>
    <n v="1"/>
    <n v="1"/>
    <n v="1"/>
    <n v="0"/>
    <n v="1"/>
    <n v="999"/>
    <n v="1"/>
    <s v="N8"/>
  </r>
  <r>
    <m/>
    <x v="35"/>
    <s v="A-493-3009"/>
    <s v="31VB"/>
    <x v="0"/>
    <d v="2025-12-18T00:00:00"/>
    <d v="2025-12-18T00:00:00"/>
    <s v="Funded"/>
    <m/>
    <d v="1899-12-30T19:30:00"/>
    <d v="1899-12-30T16:30:00"/>
    <d v="1899-12-30T03:30:00"/>
    <d v="1899-12-30T01:30:00"/>
    <d v="1899-12-30T16:30:00"/>
    <d v="1899-12-30T09:30:00"/>
    <s v="C. Gum"/>
    <m/>
    <m/>
    <n v="1000"/>
    <n v="1"/>
    <n v="0.1"/>
    <n v="0"/>
    <n v="2"/>
    <n v="0"/>
    <m/>
    <m/>
    <m/>
    <m/>
    <m/>
    <m/>
    <n v="5"/>
    <n v="1"/>
    <n v="1"/>
    <n v="1"/>
    <n v="0"/>
    <n v="1"/>
    <n v="998"/>
    <n v="1"/>
    <s v="N8"/>
  </r>
  <r>
    <m/>
    <x v="11"/>
    <s v="Holiday"/>
    <s v="Holiday"/>
    <x v="5"/>
    <d v="2025-12-25T00:00:00"/>
    <d v="2025-12-25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2"/>
    <n v="0"/>
    <n v="1"/>
    <n v="1"/>
    <n v="0"/>
    <n v="0"/>
    <n v="0"/>
    <n v="1"/>
    <s v="TSD"/>
  </r>
  <r>
    <m/>
    <x v="11"/>
    <s v="Holiday"/>
    <s v="Holiday"/>
    <x v="5"/>
    <d v="2026-01-01T00:00:00"/>
    <d v="2026-01-01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9"/>
    <n v="0"/>
    <n v="1"/>
    <n v="1"/>
    <n v="0"/>
    <n v="0"/>
    <n v="0"/>
    <n v="2"/>
    <s v="TSD"/>
  </r>
  <r>
    <m/>
    <x v="3"/>
    <s v="A-493-0103"/>
    <s v="12JY"/>
    <x v="13"/>
    <d v="2026-01-05T00:00:00"/>
    <d v="2026-01-09T00:00:00"/>
    <s v="Funded"/>
    <d v="1899-12-30T08:00:00"/>
    <m/>
    <m/>
    <m/>
    <m/>
    <m/>
    <m/>
    <s v="SOH Contractor"/>
    <m/>
    <m/>
    <n v="25"/>
    <n v="40"/>
    <n v="5"/>
    <n v="90"/>
    <n v="7"/>
    <n v="0"/>
    <m/>
    <m/>
    <m/>
    <m/>
    <m/>
    <m/>
    <n v="27"/>
    <n v="1"/>
    <n v="1"/>
    <n v="1"/>
    <n v="0"/>
    <n v="40"/>
    <n v="18"/>
    <n v="2"/>
    <s v="N5"/>
  </r>
  <r>
    <m/>
    <x v="15"/>
    <s v="A-493-0012"/>
    <n v="3682"/>
    <x v="14"/>
    <d v="2026-01-05T00:00:00"/>
    <d v="2026-01-09T00:00:00"/>
    <s v="Funded"/>
    <d v="1899-12-30T08:00:00"/>
    <m/>
    <m/>
    <m/>
    <m/>
    <m/>
    <m/>
    <s v="G. Jester"/>
    <m/>
    <m/>
    <n v="40"/>
    <n v="40"/>
    <n v="5"/>
    <n v="45"/>
    <n v="31"/>
    <m/>
    <m/>
    <m/>
    <m/>
    <m/>
    <m/>
    <m/>
    <n v="27"/>
    <n v="1"/>
    <n v="1"/>
    <n v="1"/>
    <n v="0"/>
    <n v="40"/>
    <n v="9"/>
    <n v="2"/>
    <s v="N4"/>
  </r>
  <r>
    <m/>
    <x v="7"/>
    <s v="A-493-0072"/>
    <s v="713U"/>
    <x v="6"/>
    <d v="2026-01-05T00:00:00"/>
    <d v="2026-01-09T00:00:00"/>
    <s v="Funded"/>
    <d v="1899-12-30T08:00:00"/>
    <m/>
    <m/>
    <m/>
    <m/>
    <m/>
    <m/>
    <s v="W. Mitchell"/>
    <m/>
    <s v="Nicole"/>
    <n v="30"/>
    <n v="40"/>
    <n v="5"/>
    <n v="33"/>
    <n v="30"/>
    <n v="0"/>
    <m/>
    <m/>
    <m/>
    <m/>
    <m/>
    <m/>
    <n v="27"/>
    <n v="1"/>
    <n v="1"/>
    <n v="1"/>
    <n v="0"/>
    <n v="40"/>
    <n v="0"/>
    <n v="1"/>
    <s v="N3"/>
  </r>
  <r>
    <m/>
    <x v="8"/>
    <s v="A-493-2098"/>
    <s v="09WW"/>
    <x v="0"/>
    <d v="2026-01-05T00:00:00"/>
    <d v="2026-01-07T00:00:00"/>
    <s v="Funded"/>
    <m/>
    <d v="1899-12-30T12:00:00"/>
    <d v="1899-12-30T09:00:00"/>
    <d v="1899-12-30T20:00:00"/>
    <d v="1899-12-30T18:00:00"/>
    <d v="1899-12-30T07:00:00"/>
    <d v="1899-12-30T02:00:00"/>
    <s v="EMC Stroughn"/>
    <m/>
    <m/>
    <n v="100"/>
    <n v="16"/>
    <n v="3"/>
    <n v="1882"/>
    <n v="85"/>
    <n v="0"/>
    <m/>
    <m/>
    <m/>
    <m/>
    <m/>
    <m/>
    <n v="25"/>
    <n v="1"/>
    <n v="1"/>
    <n v="1"/>
    <n v="0"/>
    <n v="16"/>
    <n v="15"/>
    <n v="2"/>
    <s v="N8"/>
  </r>
  <r>
    <m/>
    <x v="5"/>
    <s v="A-322-2604"/>
    <s v="10ZZ"/>
    <x v="0"/>
    <d v="2026-01-05T00:00:00"/>
    <d v="2026-01-07T00:00:00"/>
    <s v="Funded"/>
    <m/>
    <d v="1899-12-30T08:00:00"/>
    <d v="1899-12-30T05:00:00"/>
    <n v="1600"/>
    <n v="1400"/>
    <d v="1899-12-30T03:00:00"/>
    <n v="2200"/>
    <s v="LSC Kitivi"/>
    <m/>
    <m/>
    <n v="45"/>
    <n v="24"/>
    <n v="3"/>
    <n v="316"/>
    <n v="38"/>
    <n v="0"/>
    <m/>
    <m/>
    <m/>
    <m/>
    <m/>
    <m/>
    <n v="25"/>
    <n v="1"/>
    <n v="1"/>
    <n v="1"/>
    <n v="0"/>
    <n v="24"/>
    <n v="7"/>
    <n v="2"/>
    <s v="N8"/>
  </r>
  <r>
    <m/>
    <x v="6"/>
    <s v="A-493-0078"/>
    <n v="1228"/>
    <x v="0"/>
    <d v="2026-01-06T00:00:00"/>
    <d v="2026-01-09T00:00:00"/>
    <s v="Funded"/>
    <m/>
    <d v="1899-12-30T12:00:00"/>
    <d v="1899-12-30T09:00:00"/>
    <d v="1899-12-30T20:00:00"/>
    <d v="1899-12-30T18:00:00"/>
    <d v="1899-12-30T07:00:00"/>
    <d v="1899-12-30T02:00:00"/>
    <s v="T. White"/>
    <m/>
    <m/>
    <n v="45"/>
    <n v="32"/>
    <n v="4"/>
    <n v="568"/>
    <n v="45"/>
    <n v="2"/>
    <m/>
    <m/>
    <m/>
    <m/>
    <m/>
    <m/>
    <n v="27"/>
    <n v="1"/>
    <n v="1"/>
    <n v="1"/>
    <n v="0"/>
    <n v="32"/>
    <n v="0"/>
    <n v="2"/>
    <s v="N5"/>
  </r>
  <r>
    <m/>
    <x v="3"/>
    <s v="A-493-0103"/>
    <s v="12JY"/>
    <x v="13"/>
    <d v="2026-01-12T00:00:00"/>
    <d v="2026-01-16T00:00:00"/>
    <s v="Funded"/>
    <d v="1899-12-30T08:00:00"/>
    <m/>
    <m/>
    <m/>
    <m/>
    <m/>
    <m/>
    <s v="SOH Contractor"/>
    <m/>
    <m/>
    <n v="25"/>
    <n v="40"/>
    <n v="5"/>
    <n v="90"/>
    <n v="9"/>
    <n v="0"/>
    <m/>
    <m/>
    <m/>
    <m/>
    <m/>
    <m/>
    <n v="34"/>
    <n v="1"/>
    <n v="1"/>
    <n v="1"/>
    <n v="0"/>
    <n v="40"/>
    <n v="16"/>
    <n v="2"/>
    <s v="N5"/>
  </r>
  <r>
    <m/>
    <x v="3"/>
    <s v="A-493-0103"/>
    <s v="12JY"/>
    <x v="15"/>
    <d v="2026-01-12T00:00:00"/>
    <d v="2026-01-16T00:00:00"/>
    <s v="Funded"/>
    <d v="1899-12-30T08:00:00"/>
    <m/>
    <m/>
    <m/>
    <m/>
    <m/>
    <m/>
    <s v="SOH Contractor"/>
    <m/>
    <m/>
    <n v="25"/>
    <n v="40"/>
    <n v="5"/>
    <n v="35"/>
    <n v="14"/>
    <n v="0"/>
    <m/>
    <m/>
    <m/>
    <m/>
    <m/>
    <m/>
    <n v="34"/>
    <n v="1"/>
    <n v="1"/>
    <n v="1"/>
    <n v="0"/>
    <n v="40"/>
    <n v="11"/>
    <n v="2"/>
    <s v="N5"/>
  </r>
  <r>
    <m/>
    <x v="43"/>
    <s v="A-4J-0022"/>
    <s v="09ER"/>
    <x v="0"/>
    <d v="2026-01-12T00:00:00"/>
    <d v="2026-01-16T00:00:00"/>
    <s v="Funded"/>
    <m/>
    <d v="1899-12-30T12:00:00"/>
    <d v="1899-12-30T09:00:00"/>
    <d v="1899-12-30T20:00:00"/>
    <d v="1899-12-30T18:00:00"/>
    <d v="1899-12-30T07:00:00"/>
    <d v="1899-12-30T02:00:00"/>
    <s v="K. Seo"/>
    <m/>
    <m/>
    <n v="45"/>
    <n v="16"/>
    <n v="2"/>
    <n v="130"/>
    <n v="10"/>
    <m/>
    <m/>
    <m/>
    <m/>
    <m/>
    <m/>
    <m/>
    <n v="34"/>
    <n v="1"/>
    <n v="1"/>
    <n v="1"/>
    <n v="0"/>
    <n v="16"/>
    <n v="35"/>
    <n v="2"/>
    <s v="N4"/>
  </r>
  <r>
    <m/>
    <x v="37"/>
    <s v="A-493-0665"/>
    <s v="10KW"/>
    <x v="0"/>
    <d v="2026-01-12T00:00:00"/>
    <d v="2026-01-14T00:00:00"/>
    <s v="Funded"/>
    <m/>
    <d v="1899-12-30T08:00:00"/>
    <d v="1899-12-30T05:00:00"/>
    <n v="1600"/>
    <n v="1400"/>
    <d v="1899-12-30T03:00:00"/>
    <n v="2200"/>
    <s v="LSC Kitivi"/>
    <m/>
    <m/>
    <n v="45"/>
    <n v="24"/>
    <n v="3"/>
    <n v="140"/>
    <n v="16"/>
    <n v="0"/>
    <m/>
    <m/>
    <m/>
    <m/>
    <m/>
    <m/>
    <n v="32"/>
    <n v="1"/>
    <n v="1"/>
    <n v="1"/>
    <n v="0"/>
    <n v="24"/>
    <n v="29"/>
    <n v="2"/>
    <s v="N8"/>
  </r>
  <r>
    <m/>
    <x v="14"/>
    <s v="A-493-0030"/>
    <s v="286X"/>
    <x v="16"/>
    <d v="2026-01-12T00:00:00"/>
    <d v="2026-01-16T00:00:00"/>
    <s v="Funded"/>
    <d v="1899-12-30T08:00:00"/>
    <m/>
    <m/>
    <m/>
    <m/>
    <m/>
    <m/>
    <s v="OH Contractor"/>
    <m/>
    <m/>
    <n v="25"/>
    <n v="40"/>
    <n v="5"/>
    <n v="43"/>
    <n v="15"/>
    <n v="0"/>
    <m/>
    <m/>
    <m/>
    <m/>
    <m/>
    <m/>
    <n v="34"/>
    <n v="1"/>
    <n v="1"/>
    <n v="1"/>
    <n v="0"/>
    <n v="40"/>
    <n v="10"/>
    <n v="2"/>
    <s v="N3"/>
  </r>
  <r>
    <m/>
    <x v="15"/>
    <s v="A-493-0012"/>
    <n v="3682"/>
    <x v="17"/>
    <d v="2026-01-12T00:00:00"/>
    <d v="2026-01-16T00:00:00"/>
    <s v="Funded"/>
    <d v="1899-12-30T08:00:00"/>
    <m/>
    <m/>
    <m/>
    <m/>
    <m/>
    <m/>
    <s v="R. Hartel"/>
    <m/>
    <m/>
    <n v="40"/>
    <n v="40"/>
    <n v="5"/>
    <n v="42"/>
    <n v="25"/>
    <m/>
    <m/>
    <m/>
    <m/>
    <m/>
    <m/>
    <m/>
    <n v="34"/>
    <n v="1"/>
    <n v="1"/>
    <n v="1"/>
    <n v="0"/>
    <n v="40"/>
    <n v="15"/>
    <n v="2"/>
    <s v="N4"/>
  </r>
  <r>
    <m/>
    <x v="48"/>
    <s v="A-493-0077"/>
    <s v="0381"/>
    <x v="18"/>
    <d v="2026-01-12T00:00:00"/>
    <d v="2026-01-14T00:00:00"/>
    <s v="Funded"/>
    <d v="1899-12-30T08:00:00"/>
    <m/>
    <m/>
    <m/>
    <m/>
    <m/>
    <m/>
    <s v="ENV Contractor"/>
    <m/>
    <m/>
    <n v="25"/>
    <n v="24"/>
    <n v="3"/>
    <n v="59"/>
    <n v="25"/>
    <m/>
    <m/>
    <m/>
    <m/>
    <m/>
    <m/>
    <m/>
    <n v="32"/>
    <n v="1"/>
    <n v="1"/>
    <n v="1"/>
    <n v="0"/>
    <n v="24"/>
    <n v="0"/>
    <n v="2"/>
    <s v="N4"/>
  </r>
  <r>
    <s v="Pilot Course "/>
    <x v="42"/>
    <s v="A-493-0085"/>
    <n v="3555"/>
    <x v="0"/>
    <d v="2026-01-12T00:00:00"/>
    <d v="2026-01-15T00:00:00"/>
    <s v="Funded"/>
    <m/>
    <d v="1899-12-30T12:00:00"/>
    <d v="1899-12-30T09:00:00"/>
    <d v="1899-12-30T20:00:00"/>
    <d v="1899-12-30T18:00:00"/>
    <d v="1899-12-30T07:00:00"/>
    <d v="1899-12-30T02:00:00"/>
    <s v="B. Jung"/>
    <m/>
    <m/>
    <n v="45"/>
    <n v="32"/>
    <n v="4"/>
    <n v="688"/>
    <n v="14"/>
    <n v="0"/>
    <m/>
    <m/>
    <m/>
    <m/>
    <m/>
    <m/>
    <n v="33"/>
    <n v="1"/>
    <n v="1"/>
    <n v="1"/>
    <n v="0"/>
    <n v="32"/>
    <n v="31"/>
    <n v="2"/>
    <s v="N3"/>
  </r>
  <r>
    <m/>
    <x v="2"/>
    <s v="A-493-2501"/>
    <s v="05ZE"/>
    <x v="14"/>
    <d v="2026-01-12T00:00:00"/>
    <d v="2026-01-12T00:00:00"/>
    <s v="Funded"/>
    <d v="1899-12-30T08:00:00"/>
    <m/>
    <m/>
    <m/>
    <m/>
    <m/>
    <m/>
    <s v="ENV Contractor"/>
    <m/>
    <m/>
    <n v="30"/>
    <n v="8"/>
    <n v="1"/>
    <n v="47"/>
    <n v="0"/>
    <m/>
    <m/>
    <m/>
    <m/>
    <m/>
    <m/>
    <m/>
    <n v="30"/>
    <n v="1"/>
    <n v="1"/>
    <n v="1"/>
    <n v="0"/>
    <n v="8"/>
    <n v="30"/>
    <n v="2"/>
    <s v="N4"/>
  </r>
  <r>
    <m/>
    <x v="38"/>
    <s v="A-570-0100"/>
    <s v="18B7"/>
    <x v="0"/>
    <d v="2026-01-12T00:00:00"/>
    <d v="2026-01-13T00:00:00"/>
    <s v="Funded"/>
    <m/>
    <d v="1899-12-30T08:00:00"/>
    <d v="1899-12-30T05:00:00"/>
    <n v="1600"/>
    <n v="1400"/>
    <d v="1899-12-30T03:00:00"/>
    <n v="2200"/>
    <s v="LS1 Scoggins"/>
    <m/>
    <m/>
    <n v="45"/>
    <n v="16"/>
    <n v="2"/>
    <n v="326"/>
    <n v="18"/>
    <n v="0"/>
    <m/>
    <m/>
    <m/>
    <m/>
    <m/>
    <m/>
    <n v="31"/>
    <n v="1"/>
    <n v="1"/>
    <n v="1"/>
    <n v="0"/>
    <n v="16"/>
    <n v="27"/>
    <n v="2"/>
    <s v="N8"/>
  </r>
  <r>
    <m/>
    <x v="7"/>
    <s v="A-493-0072"/>
    <s v="713U"/>
    <x v="16"/>
    <d v="2026-01-12T00:00:00"/>
    <d v="2026-01-16T00:00:00"/>
    <s v="Funded"/>
    <d v="1899-12-30T08:00:00"/>
    <m/>
    <m/>
    <m/>
    <m/>
    <m/>
    <m/>
    <s v="W. Mitchell"/>
    <m/>
    <s v="T. White"/>
    <n v="30"/>
    <n v="40"/>
    <n v="5"/>
    <n v="56"/>
    <n v="28"/>
    <n v="0"/>
    <m/>
    <m/>
    <m/>
    <m/>
    <m/>
    <m/>
    <n v="34"/>
    <n v="1"/>
    <n v="1"/>
    <n v="1"/>
    <n v="0"/>
    <n v="40"/>
    <n v="2"/>
    <n v="2"/>
    <s v="N3"/>
  </r>
  <r>
    <m/>
    <x v="16"/>
    <s v="A-493-3002"/>
    <s v="31V4"/>
    <x v="0"/>
    <d v="2026-01-12T00:00:00"/>
    <d v="2026-01-12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4"/>
    <n v="0.5"/>
    <m/>
    <n v="1"/>
    <n v="0"/>
    <m/>
    <m/>
    <m/>
    <m/>
    <m/>
    <m/>
    <n v="30"/>
    <n v="1"/>
    <n v="1"/>
    <n v="1"/>
    <n v="0"/>
    <n v="4"/>
    <n v="999"/>
    <n v="2"/>
    <s v="N8"/>
  </r>
  <r>
    <m/>
    <x v="17"/>
    <s v="A-493-3003"/>
    <s v="31V5"/>
    <x v="0"/>
    <d v="2026-01-12T00:00:00"/>
    <d v="2026-01-12T00:00:00"/>
    <s v="Funded"/>
    <m/>
    <d v="1899-12-30T15:00:00"/>
    <d v="1899-12-30T12:00:00"/>
    <d v="1899-12-30T23:00:00"/>
    <d v="1899-12-30T21:00:00"/>
    <d v="1899-12-30T10:00:00"/>
    <d v="1899-12-30T05:00:00"/>
    <s v="C. Gum"/>
    <m/>
    <m/>
    <n v="1000"/>
    <n v="0.75"/>
    <n v="0.1"/>
    <m/>
    <n v="1"/>
    <n v="0"/>
    <m/>
    <m/>
    <m/>
    <m/>
    <m/>
    <m/>
    <n v="30"/>
    <n v="1"/>
    <n v="1"/>
    <n v="1"/>
    <n v="0"/>
    <n v="0.75"/>
    <n v="999"/>
    <n v="2"/>
    <s v="N8"/>
  </r>
  <r>
    <m/>
    <x v="18"/>
    <s v="A-493-3006"/>
    <s v="31V8"/>
    <x v="0"/>
    <d v="2026-01-12T00:00:00"/>
    <d v="2026-01-12T00:00:00"/>
    <s v="Funded"/>
    <m/>
    <d v="1899-12-30T13:00:00"/>
    <d v="1899-12-30T10:00:00"/>
    <d v="1899-12-30T21:00:00"/>
    <d v="1899-12-30T19:00:00"/>
    <d v="1899-12-30T08:00:00"/>
    <d v="1899-12-30T03:00:00"/>
    <s v="C. Gum"/>
    <m/>
    <m/>
    <n v="1000"/>
    <n v="0.75"/>
    <n v="0.1"/>
    <m/>
    <n v="1"/>
    <n v="0"/>
    <m/>
    <m/>
    <m/>
    <m/>
    <m/>
    <m/>
    <n v="30"/>
    <n v="1"/>
    <n v="1"/>
    <n v="1"/>
    <n v="0"/>
    <n v="0.75"/>
    <n v="999"/>
    <n v="2"/>
    <s v="N8"/>
  </r>
  <r>
    <m/>
    <x v="19"/>
    <s v="A-493-3007"/>
    <s v="31V9"/>
    <x v="0"/>
    <d v="2026-01-12T00:00:00"/>
    <d v="2026-01-12T00:00:00"/>
    <s v="Funded"/>
    <m/>
    <d v="1899-12-30T14:00:00"/>
    <d v="1899-12-30T11:00:00"/>
    <d v="1899-12-30T22:00:00"/>
    <d v="1899-12-30T20:00:00"/>
    <d v="1899-12-30T09:00:00"/>
    <d v="1899-12-30T04:00:00"/>
    <s v="C. Gum"/>
    <m/>
    <m/>
    <n v="1000"/>
    <n v="0.75"/>
    <n v="0.1"/>
    <m/>
    <n v="1"/>
    <n v="0"/>
    <m/>
    <m/>
    <m/>
    <m/>
    <m/>
    <m/>
    <n v="30"/>
    <n v="1"/>
    <n v="1"/>
    <n v="1"/>
    <n v="0"/>
    <n v="0.75"/>
    <n v="999"/>
    <n v="2"/>
    <s v="N8"/>
  </r>
  <r>
    <s v="Pilot Course "/>
    <x v="8"/>
    <s v="A-493-2098"/>
    <s v="09WW"/>
    <x v="0"/>
    <d v="2026-01-12T00:00:00"/>
    <d v="2026-01-14T00:00:00"/>
    <s v="Funded"/>
    <m/>
    <d v="1899-12-30T08:00:00"/>
    <d v="1899-12-30T05:00:00"/>
    <n v="1600"/>
    <n v="1400"/>
    <d v="1899-12-30T03:00:00"/>
    <n v="2200"/>
    <s v="LT Bozenski"/>
    <m/>
    <m/>
    <n v="100"/>
    <n v="16"/>
    <n v="3"/>
    <m/>
    <n v="77"/>
    <n v="0"/>
    <m/>
    <m/>
    <m/>
    <m/>
    <m/>
    <m/>
    <n v="32"/>
    <n v="1"/>
    <n v="1"/>
    <n v="1"/>
    <n v="0"/>
    <n v="16"/>
    <n v="23"/>
    <n v="2"/>
    <s v="N8"/>
  </r>
  <r>
    <m/>
    <x v="41"/>
    <s v="F-4J-0023"/>
    <s v="11A2"/>
    <x v="0"/>
    <d v="2026-01-12T00:00:00"/>
    <d v="2026-01-13T00:00:00"/>
    <s v="Funded"/>
    <m/>
    <d v="1899-12-30T08:00:00"/>
    <d v="1899-12-30T05:00:00"/>
    <n v="1600"/>
    <n v="1400"/>
    <d v="1899-12-30T03:00:00"/>
    <n v="2200"/>
    <s v="LTJG Bozenski"/>
    <m/>
    <m/>
    <n v="45"/>
    <n v="16"/>
    <n v="2"/>
    <n v="28"/>
    <n v="6"/>
    <n v="0"/>
    <m/>
    <m/>
    <m/>
    <m/>
    <m/>
    <m/>
    <n v="31"/>
    <n v="1"/>
    <n v="1"/>
    <n v="1"/>
    <n v="0"/>
    <n v="16"/>
    <n v="39"/>
    <n v="2"/>
    <s v="N8"/>
  </r>
  <r>
    <m/>
    <x v="0"/>
    <s v="A-493-0550"/>
    <s v="09K5"/>
    <x v="0"/>
    <d v="2026-01-12T00:00:00"/>
    <d v="2026-01-15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43"/>
    <n v="0"/>
    <m/>
    <m/>
    <m/>
    <m/>
    <m/>
    <m/>
    <n v="33"/>
    <n v="1"/>
    <n v="1"/>
    <n v="1"/>
    <n v="0"/>
    <n v="32"/>
    <n v="2"/>
    <n v="2"/>
    <s v="N5"/>
  </r>
  <r>
    <m/>
    <x v="6"/>
    <s v="A-493-0078"/>
    <n v="1228"/>
    <x v="0"/>
    <d v="2026-01-12T00:00:00"/>
    <d v="2026-01-15T00:00:00"/>
    <s v="Funded"/>
    <m/>
    <d v="1899-12-30T12:00:00"/>
    <d v="1899-12-30T09:00:00"/>
    <d v="1899-12-30T20:00:00"/>
    <d v="1899-12-30T18:00:00"/>
    <d v="1899-12-30T07:00:00"/>
    <d v="1899-12-30T02:00:00"/>
    <s v="T. White"/>
    <m/>
    <m/>
    <n v="45"/>
    <n v="32"/>
    <n v="4"/>
    <n v="0"/>
    <n v="11"/>
    <n v="0"/>
    <m/>
    <m/>
    <m/>
    <m/>
    <m/>
    <m/>
    <n v="33"/>
    <n v="1"/>
    <n v="1"/>
    <n v="1"/>
    <n v="0"/>
    <n v="32"/>
    <n v="34"/>
    <n v="2"/>
    <s v="N5"/>
  </r>
  <r>
    <m/>
    <x v="48"/>
    <s v="A-493-0077"/>
    <s v="0381"/>
    <x v="19"/>
    <d v="2026-01-13T00:00:00"/>
    <d v="2026-01-15T00:00:00"/>
    <s v="Funded"/>
    <d v="1899-12-30T08:00:00"/>
    <m/>
    <m/>
    <m/>
    <m/>
    <m/>
    <m/>
    <s v="ENV Contractor"/>
    <m/>
    <m/>
    <n v="25"/>
    <n v="24"/>
    <n v="3"/>
    <n v="28"/>
    <n v="6"/>
    <m/>
    <m/>
    <m/>
    <m/>
    <m/>
    <m/>
    <m/>
    <n v="33"/>
    <n v="1"/>
    <n v="1"/>
    <n v="1"/>
    <n v="0"/>
    <n v="24"/>
    <n v="19"/>
    <n v="2"/>
    <s v="N4"/>
  </r>
  <r>
    <m/>
    <x v="22"/>
    <s v="A-493-3011"/>
    <s v="31VD"/>
    <x v="0"/>
    <d v="2026-01-13T00:00:00"/>
    <d v="2026-01-13T00:00:00"/>
    <s v="Funded"/>
    <m/>
    <d v="1899-12-30T13:00:00"/>
    <d v="1899-12-30T10:00:00"/>
    <d v="1899-12-30T21:00:00"/>
    <d v="1899-12-30T19:00:00"/>
    <d v="1899-12-30T08:00:00"/>
    <d v="1899-12-30T03:00:00"/>
    <s v="C. Gum"/>
    <m/>
    <m/>
    <n v="1000"/>
    <n v="2.5"/>
    <n v="0.3"/>
    <m/>
    <n v="1"/>
    <n v="0"/>
    <m/>
    <m/>
    <m/>
    <m/>
    <m/>
    <m/>
    <n v="31"/>
    <n v="1"/>
    <n v="1"/>
    <n v="1"/>
    <n v="0"/>
    <n v="2.5"/>
    <n v="999"/>
    <n v="2"/>
    <s v="N8"/>
  </r>
  <r>
    <m/>
    <x v="23"/>
    <s v="A-493-3010"/>
    <s v="31VC"/>
    <x v="0"/>
    <d v="2026-01-13T00:00:00"/>
    <d v="2026-01-13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3.5"/>
    <n v="0.4"/>
    <m/>
    <n v="1"/>
    <n v="0"/>
    <m/>
    <m/>
    <m/>
    <m/>
    <m/>
    <m/>
    <n v="31"/>
    <n v="1"/>
    <n v="1"/>
    <n v="1"/>
    <n v="0"/>
    <n v="3.5"/>
    <n v="999"/>
    <n v="2"/>
    <s v="N8"/>
  </r>
  <r>
    <m/>
    <x v="1"/>
    <s v="A-493-0099"/>
    <s v="12JW"/>
    <x v="0"/>
    <d v="2026-01-13T00:00:00"/>
    <d v="2026-01-15T00:00:00"/>
    <s v="Funded"/>
    <m/>
    <d v="1899-12-30T12:00:00"/>
    <d v="1899-12-30T09:00:00"/>
    <d v="1899-12-30T20:00:00"/>
    <d v="1899-12-30T18:00:00"/>
    <d v="1899-12-30T07:00:00"/>
    <d v="1899-12-30T02:00:00"/>
    <s v="V. Kentish"/>
    <m/>
    <m/>
    <n v="45"/>
    <n v="24"/>
    <n v="3"/>
    <n v="1041"/>
    <n v="45"/>
    <n v="0"/>
    <m/>
    <m/>
    <m/>
    <m/>
    <m/>
    <m/>
    <n v="33"/>
    <n v="1"/>
    <n v="1"/>
    <n v="1"/>
    <n v="0"/>
    <n v="24"/>
    <n v="0"/>
    <n v="2"/>
    <s v="N5"/>
  </r>
  <r>
    <m/>
    <x v="2"/>
    <s v="A-493-2501"/>
    <s v="05ZE"/>
    <x v="20"/>
    <d v="2026-01-14T00:00:00"/>
    <d v="2026-01-14T00:00:00"/>
    <s v="Funded"/>
    <d v="1899-12-30T08:00:00"/>
    <m/>
    <m/>
    <m/>
    <m/>
    <m/>
    <m/>
    <s v="ENV Contractor"/>
    <m/>
    <m/>
    <n v="30"/>
    <n v="8"/>
    <n v="1"/>
    <n v="29"/>
    <n v="0"/>
    <m/>
    <m/>
    <m/>
    <m/>
    <m/>
    <m/>
    <m/>
    <n v="32"/>
    <n v="1"/>
    <n v="1"/>
    <n v="1"/>
    <n v="0"/>
    <n v="8"/>
    <n v="30"/>
    <n v="2"/>
    <s v="N4"/>
  </r>
  <r>
    <m/>
    <x v="24"/>
    <s v="A-493-3018"/>
    <s v="31YM"/>
    <x v="0"/>
    <d v="2026-01-14T00:00:00"/>
    <d v="2026-01-14T00:00:00"/>
    <s v="Funded"/>
    <m/>
    <d v="1899-12-30T14:30:00"/>
    <d v="1899-12-30T11:30:00"/>
    <d v="1899-12-30T22:30:00"/>
    <d v="1899-12-30T20:30:00"/>
    <d v="1899-12-30T09:30:00"/>
    <d v="1899-12-30T04:30:00"/>
    <s v="C. Gum"/>
    <m/>
    <m/>
    <n v="1000"/>
    <n v="2.5"/>
    <n v="0.3"/>
    <m/>
    <n v="1"/>
    <n v="0"/>
    <m/>
    <m/>
    <m/>
    <m/>
    <m/>
    <m/>
    <n v="32"/>
    <n v="1"/>
    <n v="1"/>
    <n v="1"/>
    <n v="0"/>
    <n v="2.5"/>
    <n v="999"/>
    <n v="2"/>
    <s v="N8"/>
  </r>
  <r>
    <m/>
    <x v="25"/>
    <s v="A-493-3004"/>
    <s v="31V6"/>
    <x v="0"/>
    <d v="2026-01-14T00:00:00"/>
    <d v="2026-01-14T00:00:00"/>
    <s v="Funded"/>
    <m/>
    <d v="1899-12-30T12:30:00"/>
    <d v="1899-12-30T09:30:00"/>
    <d v="1899-12-30T20:30:00"/>
    <d v="1899-12-30T18:30:00"/>
    <d v="1899-12-30T19:30:00"/>
    <d v="1899-12-30T02:30:00"/>
    <s v="C. Gum"/>
    <m/>
    <m/>
    <n v="1000"/>
    <n v="1.5"/>
    <n v="0.2"/>
    <m/>
    <n v="1"/>
    <n v="0"/>
    <m/>
    <m/>
    <m/>
    <m/>
    <m/>
    <m/>
    <n v="32"/>
    <n v="1"/>
    <n v="1"/>
    <n v="1"/>
    <n v="0"/>
    <n v="1.5"/>
    <n v="999"/>
    <n v="2"/>
    <s v="N8"/>
  </r>
  <r>
    <m/>
    <x v="26"/>
    <s v="A-493-3001"/>
    <s v="31V3"/>
    <x v="0"/>
    <d v="2026-01-14T00:00:00"/>
    <d v="2026-01-14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2"/>
    <n v="0.25"/>
    <m/>
    <n v="1"/>
    <n v="0"/>
    <m/>
    <m/>
    <m/>
    <m/>
    <m/>
    <m/>
    <n v="32"/>
    <n v="1"/>
    <n v="1"/>
    <n v="1"/>
    <n v="0"/>
    <n v="2"/>
    <n v="999"/>
    <n v="2"/>
    <s v="N8"/>
  </r>
  <r>
    <m/>
    <x v="2"/>
    <s v="A-493-2501"/>
    <s v="05ZE"/>
    <x v="17"/>
    <d v="2026-01-15T00:00:00"/>
    <d v="2026-01-15T00:00:00"/>
    <s v="Funded"/>
    <d v="1899-12-30T08:00:00"/>
    <m/>
    <m/>
    <m/>
    <m/>
    <m/>
    <m/>
    <s v="ENV Contractor"/>
    <m/>
    <m/>
    <n v="30"/>
    <n v="8"/>
    <n v="1"/>
    <n v="40"/>
    <n v="0"/>
    <m/>
    <m/>
    <m/>
    <m/>
    <m/>
    <m/>
    <m/>
    <n v="33"/>
    <n v="1"/>
    <n v="1"/>
    <n v="1"/>
    <n v="0"/>
    <n v="8"/>
    <n v="30"/>
    <n v="2"/>
    <s v="N4"/>
  </r>
  <r>
    <m/>
    <x v="27"/>
    <s v="A-493-3013"/>
    <s v="31YG"/>
    <x v="0"/>
    <d v="2026-01-15T00:00:00"/>
    <d v="2026-01-15T00:00:00"/>
    <s v="Funded"/>
    <m/>
    <d v="1899-12-30T10:30:00"/>
    <d v="1899-12-30T07:30:00"/>
    <d v="1899-12-30T18:30:00"/>
    <d v="1899-12-30T16:30:00"/>
    <d v="1899-12-30T05:30:00"/>
    <d v="1899-12-30T00:30:00"/>
    <s v="C. Gum"/>
    <m/>
    <m/>
    <n v="1000"/>
    <n v="1"/>
    <n v="0.1"/>
    <m/>
    <n v="1"/>
    <n v="0"/>
    <m/>
    <m/>
    <m/>
    <m/>
    <m/>
    <m/>
    <n v="33"/>
    <n v="1"/>
    <n v="1"/>
    <n v="1"/>
    <n v="0"/>
    <n v="1"/>
    <n v="999"/>
    <n v="2"/>
    <s v="N8"/>
  </r>
  <r>
    <m/>
    <x v="28"/>
    <s v="A-493-3014"/>
    <s v="31Yh"/>
    <x v="0"/>
    <d v="2026-01-15T00:00:00"/>
    <d v="2026-01-15T00:00:00"/>
    <s v="Funded"/>
    <m/>
    <d v="1899-12-30T14:30:00"/>
    <d v="1899-12-30T11:30:00"/>
    <d v="1899-12-30T22:30:00"/>
    <d v="1899-12-30T20:30:00"/>
    <d v="1899-12-30T09:30:00"/>
    <d v="1899-12-30T04:30:00"/>
    <s v="C. Gum"/>
    <m/>
    <m/>
    <n v="1000"/>
    <n v="0.75"/>
    <n v="0.1"/>
    <m/>
    <n v="1"/>
    <n v="0"/>
    <m/>
    <m/>
    <m/>
    <m/>
    <m/>
    <m/>
    <n v="33"/>
    <n v="1"/>
    <n v="1"/>
    <n v="1"/>
    <n v="0"/>
    <n v="0.75"/>
    <n v="999"/>
    <n v="2"/>
    <s v="N8"/>
  </r>
  <r>
    <m/>
    <x v="29"/>
    <s v="A-493-3015"/>
    <s v="31YJ"/>
    <x v="0"/>
    <d v="2026-01-15T00:00:00"/>
    <d v="2026-01-15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1"/>
    <n v="0.1"/>
    <m/>
    <n v="1"/>
    <n v="0"/>
    <m/>
    <m/>
    <m/>
    <m/>
    <m/>
    <m/>
    <n v="33"/>
    <n v="1"/>
    <n v="1"/>
    <n v="1"/>
    <n v="0"/>
    <n v="1"/>
    <n v="999"/>
    <n v="2"/>
    <s v="N8"/>
  </r>
  <r>
    <m/>
    <x v="30"/>
    <s v="A-493-3016"/>
    <s v="31Yk"/>
    <x v="0"/>
    <d v="2026-01-15T00:00:00"/>
    <d v="2026-01-15T00:00:00"/>
    <s v="Funded"/>
    <m/>
    <d v="1899-12-30T12:30:00"/>
    <d v="1899-12-30T09:30:00"/>
    <d v="1899-12-30T20:30:00"/>
    <d v="1899-12-30T18:30:00"/>
    <d v="1899-12-30T19:30:00"/>
    <d v="1899-12-30T02:30:00"/>
    <s v="C. Gum"/>
    <m/>
    <m/>
    <n v="1000"/>
    <n v="1"/>
    <n v="0.1"/>
    <m/>
    <n v="1"/>
    <n v="0"/>
    <m/>
    <m/>
    <m/>
    <m/>
    <m/>
    <m/>
    <n v="33"/>
    <n v="1"/>
    <n v="1"/>
    <n v="1"/>
    <n v="0"/>
    <n v="1"/>
    <n v="999"/>
    <n v="2"/>
    <s v="N8"/>
  </r>
  <r>
    <m/>
    <x v="10"/>
    <s v="A-493-0083"/>
    <s v="339E"/>
    <x v="19"/>
    <d v="2026-01-16T00:00:00"/>
    <d v="2026-01-16T00:00:00"/>
    <s v="Funded"/>
    <d v="1899-12-30T08:00:00"/>
    <m/>
    <m/>
    <m/>
    <m/>
    <m/>
    <m/>
    <s v="ENV Contractor"/>
    <m/>
    <m/>
    <n v="30"/>
    <n v="8"/>
    <n v="1"/>
    <n v="34"/>
    <n v="26"/>
    <m/>
    <m/>
    <m/>
    <m/>
    <m/>
    <m/>
    <m/>
    <n v="34"/>
    <n v="1"/>
    <n v="1"/>
    <n v="1"/>
    <n v="0"/>
    <n v="8"/>
    <n v="4"/>
    <n v="2"/>
    <s v="N4"/>
  </r>
  <r>
    <m/>
    <x v="32"/>
    <s v="A-493-3005"/>
    <s v="31V7"/>
    <x v="0"/>
    <d v="2026-01-16T00:00:00"/>
    <d v="2026-01-16T00:00:00"/>
    <s v="Funded"/>
    <m/>
    <d v="1899-12-30T11:45:00"/>
    <d v="1899-12-30T08:45:00"/>
    <d v="1899-12-30T19:45:00"/>
    <d v="1899-12-30T17:45:00"/>
    <d v="1899-12-30T06:45:00"/>
    <d v="1899-12-30T01:45:00"/>
    <s v="C. Gum"/>
    <m/>
    <m/>
    <n v="1000"/>
    <n v="2"/>
    <n v="0.25"/>
    <m/>
    <n v="1"/>
    <n v="0"/>
    <m/>
    <m/>
    <m/>
    <m/>
    <m/>
    <m/>
    <n v="34"/>
    <n v="1"/>
    <n v="1"/>
    <n v="1"/>
    <n v="0"/>
    <n v="2"/>
    <n v="999"/>
    <n v="2"/>
    <s v="N8"/>
  </r>
  <r>
    <m/>
    <x v="33"/>
    <s v="A-493-3017"/>
    <s v="31YL"/>
    <x v="0"/>
    <d v="2026-01-16T00:00:00"/>
    <d v="2026-01-16T00:00:00"/>
    <s v="Funded"/>
    <m/>
    <d v="1899-12-30T12:45:00"/>
    <d v="1899-12-30T09:45:00"/>
    <d v="1899-12-30T20:45:00"/>
    <d v="1899-12-30T18:45:00"/>
    <d v="1899-12-30T07:45:00"/>
    <d v="1899-12-30T02:45:00"/>
    <s v="C. Gum"/>
    <m/>
    <m/>
    <n v="1000"/>
    <n v="2.5"/>
    <n v="0.3"/>
    <m/>
    <n v="1"/>
    <n v="0"/>
    <m/>
    <m/>
    <m/>
    <m/>
    <m/>
    <m/>
    <n v="34"/>
    <n v="1"/>
    <n v="1"/>
    <n v="1"/>
    <n v="0"/>
    <n v="2.5"/>
    <n v="999"/>
    <n v="2"/>
    <s v="N8"/>
  </r>
  <r>
    <m/>
    <x v="34"/>
    <s v="A-493-3008"/>
    <s v="31VA"/>
    <x v="0"/>
    <d v="2026-01-16T00:00:00"/>
    <d v="2026-01-16T00:00:00"/>
    <s v="Funded"/>
    <m/>
    <d v="1899-12-30T09:00:00"/>
    <d v="1899-12-30T06:00:00"/>
    <d v="1899-12-30T17:00:00"/>
    <d v="1899-12-30T15:00:00"/>
    <d v="1899-12-30T04:00:00"/>
    <d v="1899-12-30T23:00:00"/>
    <s v="C. Gum"/>
    <m/>
    <m/>
    <n v="1000"/>
    <n v="1"/>
    <n v="0.1"/>
    <m/>
    <n v="1"/>
    <n v="0"/>
    <m/>
    <m/>
    <m/>
    <m/>
    <m/>
    <m/>
    <n v="34"/>
    <n v="1"/>
    <n v="1"/>
    <n v="1"/>
    <n v="0"/>
    <n v="1"/>
    <n v="999"/>
    <n v="2"/>
    <s v="N8"/>
  </r>
  <r>
    <m/>
    <x v="31"/>
    <s v="A-493-3012"/>
    <s v="31YF"/>
    <x v="0"/>
    <d v="2026-01-16T00:00:00"/>
    <d v="2026-01-16T00:00:00"/>
    <s v="Funded"/>
    <m/>
    <d v="1899-12-30T08:00:00"/>
    <d v="1899-12-30T05:00:00"/>
    <d v="1899-12-30T16:00:00"/>
    <d v="1899-12-30T14:00:00"/>
    <d v="1899-12-30T03:00:00"/>
    <d v="1899-12-30T22:00:00"/>
    <s v="C. Gum"/>
    <m/>
    <m/>
    <n v="1000"/>
    <n v="1"/>
    <n v="0.1"/>
    <m/>
    <n v="1"/>
    <n v="0"/>
    <m/>
    <m/>
    <m/>
    <m/>
    <m/>
    <m/>
    <n v="34"/>
    <n v="1"/>
    <n v="1"/>
    <n v="1"/>
    <n v="0"/>
    <n v="1"/>
    <n v="999"/>
    <n v="2"/>
    <s v="N8"/>
  </r>
  <r>
    <m/>
    <x v="35"/>
    <s v="A-493-3009"/>
    <s v="31VB"/>
    <x v="0"/>
    <d v="2026-01-16T00:00:00"/>
    <d v="2026-01-16T00:00:00"/>
    <s v="Funded"/>
    <m/>
    <d v="1899-12-30T10:30:00"/>
    <d v="1899-12-30T07:30:00"/>
    <d v="1899-12-30T18:30:00"/>
    <d v="1899-12-30T16:30:00"/>
    <d v="1899-12-30T05:30:00"/>
    <d v="1899-12-30T00:30:00"/>
    <s v="C. Gum"/>
    <m/>
    <m/>
    <n v="1000"/>
    <n v="1"/>
    <n v="0.1"/>
    <m/>
    <n v="1"/>
    <n v="0"/>
    <m/>
    <m/>
    <m/>
    <m/>
    <m/>
    <m/>
    <n v="34"/>
    <n v="1"/>
    <n v="1"/>
    <n v="1"/>
    <n v="0"/>
    <n v="1"/>
    <n v="999"/>
    <n v="2"/>
    <s v="N8"/>
  </r>
  <r>
    <s v="MLK Day"/>
    <x v="11"/>
    <s v="Holiday"/>
    <s v="Holiday"/>
    <x v="5"/>
    <d v="2026-01-19T00:00:00"/>
    <d v="2026-01-19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37"/>
    <n v="0"/>
    <n v="1"/>
    <n v="1"/>
    <n v="0"/>
    <n v="0"/>
    <n v="0"/>
    <n v="2"/>
    <s v="TSD"/>
  </r>
  <r>
    <s v="POC: william.l.jesse3.mil@us.navy.mil"/>
    <x v="49"/>
    <s v="Reserved"/>
    <s v="Reserved "/>
    <x v="4"/>
    <d v="2026-01-20T00:00:00"/>
    <d v="2026-02-06T00:00:00"/>
    <s v="N/A"/>
    <m/>
    <m/>
    <m/>
    <m/>
    <m/>
    <m/>
    <m/>
    <m/>
    <m/>
    <m/>
    <n v="0"/>
    <n v="0"/>
    <n v="0"/>
    <n v="0"/>
    <n v="0"/>
    <n v="0"/>
    <n v="0"/>
    <n v="0"/>
    <n v="0"/>
    <n v="0"/>
    <n v="0"/>
    <s v="Carter, Amanda"/>
    <n v="55"/>
    <n v="0"/>
    <n v="1"/>
    <n v="0"/>
    <n v="0"/>
    <e v="#DIV/0!"/>
    <m/>
    <m/>
    <s v="TSD"/>
  </r>
  <r>
    <s v="NUWC Autec"/>
    <x v="50"/>
    <s v="A-493-0013"/>
    <n v="3683"/>
    <x v="21"/>
    <d v="2026-01-20T00:00:00"/>
    <d v="2026-01-22T00:00:00"/>
    <s v="Funded"/>
    <d v="1899-12-30T08:00:00"/>
    <m/>
    <m/>
    <m/>
    <m/>
    <m/>
    <m/>
    <s v="G. Jester"/>
    <m/>
    <m/>
    <n v="40"/>
    <n v="24"/>
    <n v="3"/>
    <n v="20"/>
    <n v="18"/>
    <m/>
    <m/>
    <m/>
    <m/>
    <m/>
    <m/>
    <m/>
    <n v="40"/>
    <n v="1"/>
    <n v="1"/>
    <n v="1"/>
    <n v="0"/>
    <n v="24"/>
    <n v="22"/>
    <n v="2"/>
    <s v="N4"/>
  </r>
  <r>
    <m/>
    <x v="12"/>
    <s v="A-493-0331"/>
    <s v="10UG"/>
    <x v="0"/>
    <d v="2026-01-20T00:00:00"/>
    <d v="2026-01-22T00:00:00"/>
    <s v="Funded"/>
    <m/>
    <d v="1899-12-30T08:00:00"/>
    <d v="1899-12-30T05:00:00"/>
    <n v="1600"/>
    <n v="1400"/>
    <d v="1899-12-30T03:00:00"/>
    <n v="2200"/>
    <s v="A. Hardy"/>
    <m/>
    <m/>
    <n v="45"/>
    <n v="24"/>
    <n v="3"/>
    <n v="470"/>
    <n v="45"/>
    <n v="5"/>
    <m/>
    <m/>
    <m/>
    <m/>
    <m/>
    <m/>
    <n v="40"/>
    <n v="1"/>
    <n v="1"/>
    <n v="1"/>
    <n v="0"/>
    <n v="24"/>
    <n v="0"/>
    <n v="2"/>
    <s v="N3"/>
  </r>
  <r>
    <m/>
    <x v="40"/>
    <s v="A-493-0335"/>
    <s v="09ND"/>
    <x v="0"/>
    <d v="2026-01-20T00:00:00"/>
    <d v="2026-01-23T00:00:00"/>
    <s v="Funded"/>
    <m/>
    <d v="1899-12-30T08:00:00"/>
    <d v="1899-12-30T05:00:00"/>
    <n v="1600"/>
    <n v="1400"/>
    <d v="1899-12-30T03:00:00"/>
    <n v="2200"/>
    <s v="A. Harris"/>
    <m/>
    <m/>
    <n v="45"/>
    <n v="32"/>
    <n v="4"/>
    <n v="301"/>
    <n v="16"/>
    <n v="0"/>
    <m/>
    <m/>
    <m/>
    <m/>
    <m/>
    <m/>
    <n v="41"/>
    <n v="1"/>
    <n v="1"/>
    <n v="1"/>
    <n v="0"/>
    <n v="32"/>
    <n v="29"/>
    <n v="2"/>
    <s v="N3"/>
  </r>
  <r>
    <m/>
    <x v="6"/>
    <s v="A-493-0078"/>
    <n v="1228"/>
    <x v="0"/>
    <d v="2026-01-20T00:00:00"/>
    <d v="2026-01-23T00:00:00"/>
    <s v="Funded"/>
    <m/>
    <d v="1899-12-30T08:00:00"/>
    <d v="1899-12-30T05:00:00"/>
    <n v="1600"/>
    <n v="1400"/>
    <d v="1899-12-30T03:00:00"/>
    <n v="2200"/>
    <s v="T. White"/>
    <m/>
    <m/>
    <n v="45"/>
    <n v="32"/>
    <n v="4"/>
    <n v="454"/>
    <n v="29"/>
    <n v="0"/>
    <m/>
    <m/>
    <m/>
    <m/>
    <m/>
    <m/>
    <n v="41"/>
    <n v="1"/>
    <n v="1"/>
    <n v="1"/>
    <n v="0"/>
    <n v="32"/>
    <n v="16"/>
    <n v="2"/>
    <s v="N5"/>
  </r>
  <r>
    <m/>
    <x v="51"/>
    <s v="A-493-0092"/>
    <n v="5891"/>
    <x v="6"/>
    <d v="2026-01-21T00:00:00"/>
    <d v="2026-01-23T00:00:00"/>
    <s v="Funded"/>
    <d v="1899-12-30T08:00:00"/>
    <m/>
    <m/>
    <m/>
    <m/>
    <m/>
    <m/>
    <s v="B. Jung"/>
    <m/>
    <m/>
    <n v="25"/>
    <n v="24"/>
    <n v="3"/>
    <n v="42"/>
    <n v="4"/>
    <n v="0"/>
    <m/>
    <m/>
    <m/>
    <m/>
    <m/>
    <m/>
    <n v="41"/>
    <n v="1"/>
    <n v="1"/>
    <n v="1"/>
    <n v="0"/>
    <n v="24"/>
    <n v="21"/>
    <n v="1"/>
    <s v="N3"/>
  </r>
  <r>
    <m/>
    <x v="3"/>
    <s v="A-493-0103"/>
    <s v="12JY"/>
    <x v="8"/>
    <d v="2026-01-26T00:00:00"/>
    <d v="2026-01-30T00:00:00"/>
    <s v="Funded"/>
    <d v="1899-12-30T08:00:00"/>
    <m/>
    <m/>
    <m/>
    <m/>
    <m/>
    <m/>
    <s v="SOH Contractor"/>
    <m/>
    <m/>
    <n v="25"/>
    <n v="40"/>
    <n v="5"/>
    <n v="516"/>
    <n v="25"/>
    <n v="1"/>
    <m/>
    <m/>
    <m/>
    <m/>
    <m/>
    <m/>
    <n v="48"/>
    <n v="1"/>
    <n v="1"/>
    <n v="1"/>
    <n v="0"/>
    <n v="40"/>
    <n v="0"/>
    <n v="2"/>
    <s v="N5"/>
  </r>
  <r>
    <m/>
    <x v="3"/>
    <s v="A-493-0103"/>
    <s v="12JY"/>
    <x v="10"/>
    <d v="2026-01-26T00:00:00"/>
    <d v="2026-01-30T00:00:00"/>
    <s v="Funded"/>
    <d v="1899-12-30T08:00:00"/>
    <m/>
    <m/>
    <m/>
    <m/>
    <m/>
    <m/>
    <s v="SOH Contractor"/>
    <m/>
    <m/>
    <n v="25"/>
    <n v="40"/>
    <n v="5"/>
    <n v="225"/>
    <n v="13"/>
    <n v="0"/>
    <m/>
    <m/>
    <m/>
    <m/>
    <m/>
    <m/>
    <n v="48"/>
    <n v="1"/>
    <n v="1"/>
    <n v="1"/>
    <n v="0"/>
    <n v="40"/>
    <n v="12"/>
    <n v="2"/>
    <s v="N5"/>
  </r>
  <r>
    <m/>
    <x v="4"/>
    <s v="A-493-0061"/>
    <s v="288E"/>
    <x v="0"/>
    <d v="2026-01-26T00:00:00"/>
    <d v="2026-01-29T00:00:00"/>
    <s v="Funded"/>
    <m/>
    <d v="1899-12-30T08:00:00"/>
    <d v="1899-12-30T05:00:00"/>
    <n v="1600"/>
    <n v="1400"/>
    <d v="1899-12-30T03:00:00"/>
    <n v="2200"/>
    <s v="S. Griffin"/>
    <m/>
    <m/>
    <n v="45"/>
    <n v="30"/>
    <n v="4"/>
    <n v="366"/>
    <n v="18"/>
    <n v="0"/>
    <m/>
    <m/>
    <m/>
    <m/>
    <m/>
    <m/>
    <n v="47"/>
    <n v="1"/>
    <n v="1"/>
    <n v="1"/>
    <n v="0"/>
    <n v="30"/>
    <n v="27"/>
    <n v="2"/>
    <s v="N5"/>
  </r>
  <r>
    <m/>
    <x v="38"/>
    <s v="A-570-0100"/>
    <s v="18B7"/>
    <x v="0"/>
    <d v="2026-01-26T00:00:00"/>
    <d v="2026-01-27T00:00:00"/>
    <s v="Funded"/>
    <m/>
    <d v="1899-12-30T19:00:00"/>
    <d v="1899-12-30T16:00:00"/>
    <d v="1899-12-30T03:00:00"/>
    <d v="1899-12-30T01:00:00"/>
    <d v="1899-12-30T14:00:00"/>
    <d v="1899-12-30T09:00:00"/>
    <s v="LS1 Scoggins"/>
    <m/>
    <m/>
    <n v="45"/>
    <n v="16"/>
    <n v="2"/>
    <n v="126"/>
    <n v="5"/>
    <n v="0"/>
    <m/>
    <m/>
    <m/>
    <m/>
    <m/>
    <m/>
    <n v="45"/>
    <n v="1"/>
    <n v="1"/>
    <n v="1"/>
    <n v="0"/>
    <n v="16"/>
    <n v="40"/>
    <n v="2"/>
    <s v="N8"/>
  </r>
  <r>
    <m/>
    <x v="7"/>
    <s v="A-493-0072"/>
    <s v="713U"/>
    <x v="8"/>
    <d v="2026-01-26T00:00:00"/>
    <d v="2026-01-30T00:00:00"/>
    <s v="Funded"/>
    <d v="1899-12-30T08:00:00"/>
    <m/>
    <m/>
    <m/>
    <m/>
    <m/>
    <m/>
    <s v="K. Seo"/>
    <m/>
    <s v="T. White"/>
    <n v="30"/>
    <n v="40"/>
    <n v="5"/>
    <n v="265"/>
    <n v="30"/>
    <n v="5"/>
    <m/>
    <m/>
    <m/>
    <m/>
    <m/>
    <m/>
    <n v="48"/>
    <n v="1"/>
    <n v="1"/>
    <n v="1"/>
    <n v="0"/>
    <n v="40"/>
    <n v="0"/>
    <n v="1"/>
    <s v="N3"/>
  </r>
  <r>
    <m/>
    <x v="7"/>
    <s v="A-493-0072"/>
    <s v="713U"/>
    <x v="14"/>
    <d v="2026-01-26T00:00:00"/>
    <d v="2026-01-30T00:00:00"/>
    <s v="Funded"/>
    <d v="1899-12-30T08:00:00"/>
    <m/>
    <m/>
    <m/>
    <m/>
    <m/>
    <m/>
    <s v="B. Jung"/>
    <s v="A. Hardy"/>
    <m/>
    <n v="30"/>
    <n v="40"/>
    <n v="5"/>
    <n v="99"/>
    <n v="10"/>
    <n v="0"/>
    <m/>
    <m/>
    <m/>
    <m/>
    <m/>
    <m/>
    <n v="48"/>
    <n v="1"/>
    <n v="1"/>
    <n v="1"/>
    <n v="1"/>
    <n v="20"/>
    <n v="20"/>
    <n v="2"/>
    <s v="N3"/>
  </r>
  <r>
    <m/>
    <x v="8"/>
    <s v="A-493-2098"/>
    <s v="09WW"/>
    <x v="0"/>
    <d v="2026-01-26T00:00:00"/>
    <d v="2026-01-28T00:00:00"/>
    <s v="Funded"/>
    <m/>
    <d v="1899-12-30T12:00:00"/>
    <d v="1899-12-30T09:00:00"/>
    <d v="1899-12-30T20:00:00"/>
    <d v="1899-12-30T18:00:00"/>
    <d v="1899-12-30T07:00:00"/>
    <d v="1899-12-30T02:00:00"/>
    <s v="EMC Stroughn"/>
    <m/>
    <m/>
    <n v="100"/>
    <n v="16"/>
    <n v="3"/>
    <n v="1882"/>
    <n v="40"/>
    <n v="0"/>
    <m/>
    <m/>
    <m/>
    <m/>
    <m/>
    <m/>
    <n v="46"/>
    <n v="1"/>
    <n v="1"/>
    <n v="1"/>
    <n v="0"/>
    <n v="16"/>
    <n v="60"/>
    <n v="2"/>
    <s v="N8"/>
  </r>
  <r>
    <m/>
    <x v="5"/>
    <s v="A-322-2604"/>
    <s v="10ZZ"/>
    <x v="0"/>
    <d v="2026-01-26T00:00:00"/>
    <d v="2026-01-28T00:00:00"/>
    <s v="Funded"/>
    <m/>
    <d v="1899-12-30T19:00:00"/>
    <d v="1899-12-30T16:00:00"/>
    <d v="1899-12-30T03:00:00"/>
    <d v="1899-12-30T01:00:00"/>
    <d v="1899-12-30T14:00:00"/>
    <d v="1899-12-30T09:00:00"/>
    <s v="LSC Kitivi"/>
    <m/>
    <m/>
    <n v="45"/>
    <n v="24"/>
    <n v="3"/>
    <n v="174"/>
    <n v="25"/>
    <n v="0"/>
    <m/>
    <m/>
    <m/>
    <m/>
    <m/>
    <m/>
    <n v="46"/>
    <n v="1"/>
    <n v="1"/>
    <n v="1"/>
    <n v="0"/>
    <n v="24"/>
    <n v="20"/>
    <n v="2"/>
    <s v="N8"/>
  </r>
  <r>
    <m/>
    <x v="1"/>
    <s v="A-493-0099"/>
    <s v="12JW"/>
    <x v="0"/>
    <d v="2026-01-27T00:00:00"/>
    <d v="2026-01-29T00:00:00"/>
    <s v="Funded"/>
    <m/>
    <d v="1899-12-30T12:00:00"/>
    <d v="1899-12-30T09:00:00"/>
    <d v="1899-12-30T20:00:00"/>
    <d v="1899-12-30T18:00:00"/>
    <d v="1899-12-30T07:00:00"/>
    <d v="1899-12-30T02:00:00"/>
    <s v="V. Kentish"/>
    <m/>
    <m/>
    <n v="45"/>
    <n v="24"/>
    <n v="3"/>
    <n v="934"/>
    <n v="15"/>
    <n v="0"/>
    <m/>
    <m/>
    <m/>
    <m/>
    <m/>
    <m/>
    <n v="47"/>
    <n v="1"/>
    <n v="1"/>
    <n v="1"/>
    <n v="0"/>
    <n v="24"/>
    <n v="30"/>
    <n v="2"/>
    <s v="N5"/>
  </r>
  <r>
    <m/>
    <x v="3"/>
    <s v="A-493-0103"/>
    <s v="12JY"/>
    <x v="16"/>
    <d v="2026-02-02T00:00:00"/>
    <d v="2026-02-06T00:00:00"/>
    <s v="Funded"/>
    <d v="1899-12-30T08:00:00"/>
    <m/>
    <m/>
    <m/>
    <m/>
    <m/>
    <m/>
    <s v="SOH Contractor"/>
    <m/>
    <m/>
    <n v="25"/>
    <n v="40"/>
    <n v="5"/>
    <n v="116"/>
    <n v="12"/>
    <n v="0"/>
    <m/>
    <m/>
    <m/>
    <m/>
    <m/>
    <m/>
    <n v="55"/>
    <n v="1"/>
    <n v="1"/>
    <n v="1"/>
    <n v="0"/>
    <n v="40"/>
    <n v="13"/>
    <n v="2"/>
    <s v="N5"/>
  </r>
  <r>
    <m/>
    <x v="3"/>
    <s v="A-493-0103"/>
    <s v="12JY"/>
    <x v="8"/>
    <d v="2026-02-02T00:00:00"/>
    <d v="2026-02-06T00:00:00"/>
    <s v="Funded"/>
    <d v="1899-12-30T08:00:00"/>
    <m/>
    <m/>
    <m/>
    <m/>
    <m/>
    <m/>
    <s v="SOH Contractor"/>
    <m/>
    <m/>
    <n v="25"/>
    <n v="40"/>
    <n v="5"/>
    <n v="516"/>
    <n v="16"/>
    <n v="0"/>
    <m/>
    <m/>
    <m/>
    <m/>
    <m/>
    <m/>
    <n v="55"/>
    <n v="1"/>
    <n v="1"/>
    <n v="1"/>
    <n v="0"/>
    <n v="40"/>
    <n v="9"/>
    <n v="2"/>
    <s v="N5"/>
  </r>
  <r>
    <m/>
    <x v="38"/>
    <s v="A-570-0100"/>
    <s v="18B7"/>
    <x v="0"/>
    <d v="2026-02-02T00:00:00"/>
    <d v="2026-02-03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16"/>
    <n v="2"/>
    <n v="663"/>
    <n v="3"/>
    <n v="0"/>
    <m/>
    <m/>
    <m/>
    <m/>
    <m/>
    <m/>
    <n v="52"/>
    <n v="1"/>
    <n v="1"/>
    <n v="1"/>
    <n v="0"/>
    <n v="16"/>
    <n v="42"/>
    <n v="2"/>
    <s v="N8"/>
  </r>
  <r>
    <m/>
    <x v="0"/>
    <s v="A-493-0550"/>
    <s v="09K5"/>
    <x v="0"/>
    <d v="2026-02-02T00:00:00"/>
    <d v="2026-02-05T00:00:00"/>
    <s v="Funded"/>
    <m/>
    <d v="1899-12-30T12:00:00"/>
    <d v="1899-12-30T09:00:00"/>
    <d v="1899-12-30T20:00:00"/>
    <d v="1899-12-30T18:00:00"/>
    <d v="1899-12-30T07:00:00"/>
    <d v="1899-12-30T02:00:00"/>
    <s v="N. DeCastro"/>
    <m/>
    <m/>
    <n v="45"/>
    <n v="32"/>
    <n v="4"/>
    <n v="864"/>
    <n v="26"/>
    <n v="0"/>
    <m/>
    <m/>
    <m/>
    <m/>
    <m/>
    <m/>
    <n v="54"/>
    <n v="1"/>
    <n v="1"/>
    <n v="1"/>
    <n v="0"/>
    <n v="32"/>
    <n v="19"/>
    <n v="2"/>
    <s v="N5"/>
  </r>
  <r>
    <m/>
    <x v="48"/>
    <s v="A-493-0077"/>
    <s v="0381"/>
    <x v="22"/>
    <d v="2026-02-03T00:00:00"/>
    <d v="2026-02-05T00:00:00"/>
    <s v="Funded"/>
    <d v="1899-12-30T08:00:00"/>
    <m/>
    <m/>
    <m/>
    <m/>
    <m/>
    <m/>
    <s v="ENV Contractor"/>
    <m/>
    <m/>
    <n v="25"/>
    <n v="24"/>
    <n v="3"/>
    <n v="52"/>
    <n v="0"/>
    <m/>
    <m/>
    <m/>
    <m/>
    <m/>
    <m/>
    <m/>
    <n v="54"/>
    <n v="1"/>
    <n v="1"/>
    <n v="1"/>
    <n v="0"/>
    <n v="24"/>
    <n v="25"/>
    <n v="2"/>
    <s v="N4"/>
  </r>
  <r>
    <m/>
    <x v="1"/>
    <s v="A-493-0099"/>
    <s v="12JW"/>
    <x v="0"/>
    <d v="2026-02-04T00:00:00"/>
    <d v="2026-02-06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406"/>
    <n v="7"/>
    <n v="0"/>
    <m/>
    <m/>
    <m/>
    <m/>
    <m/>
    <m/>
    <n v="55"/>
    <n v="1"/>
    <n v="1"/>
    <n v="1"/>
    <n v="0"/>
    <n v="24"/>
    <n v="38"/>
    <n v="2"/>
    <s v="N5"/>
  </r>
  <r>
    <m/>
    <x v="10"/>
    <s v="A-493-0083"/>
    <s v="339E"/>
    <x v="22"/>
    <d v="2026-02-06T00:00:00"/>
    <d v="2026-02-06T00:00:00"/>
    <s v="Funded"/>
    <d v="1899-12-30T08:00:00"/>
    <m/>
    <m/>
    <m/>
    <m/>
    <m/>
    <m/>
    <s v="ENV Contractor"/>
    <m/>
    <m/>
    <n v="30"/>
    <n v="8"/>
    <n v="1"/>
    <n v="36"/>
    <n v="5"/>
    <m/>
    <m/>
    <m/>
    <m/>
    <m/>
    <m/>
    <m/>
    <n v="55"/>
    <n v="1"/>
    <n v="1"/>
    <n v="1"/>
    <n v="0"/>
    <n v="8"/>
    <n v="25"/>
    <n v="2"/>
    <s v="N4"/>
  </r>
  <r>
    <m/>
    <x v="3"/>
    <s v="A-493-0103"/>
    <s v="12JY"/>
    <x v="16"/>
    <d v="2026-02-09T00:00:00"/>
    <d v="2026-02-13T00:00:00"/>
    <s v="Funded"/>
    <d v="1899-12-30T08:00:00"/>
    <m/>
    <m/>
    <m/>
    <m/>
    <m/>
    <m/>
    <s v="SOH Contractor"/>
    <m/>
    <m/>
    <n v="25"/>
    <n v="40"/>
    <n v="5"/>
    <n v="116"/>
    <n v="5"/>
    <n v="0"/>
    <m/>
    <m/>
    <m/>
    <m/>
    <m/>
    <m/>
    <n v="62"/>
    <n v="1"/>
    <n v="1"/>
    <n v="1"/>
    <n v="0"/>
    <n v="40"/>
    <n v="20"/>
    <n v="2"/>
    <s v="N5"/>
  </r>
  <r>
    <m/>
    <x v="45"/>
    <s v="A-493-0070"/>
    <s v="450V"/>
    <x v="0"/>
    <d v="2026-02-09T00:00:00"/>
    <d v="2026-02-10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30"/>
    <n v="8"/>
    <n v="1"/>
    <n v="0"/>
    <n v="9"/>
    <n v="0"/>
    <m/>
    <m/>
    <m/>
    <m/>
    <m/>
    <m/>
    <n v="59"/>
    <n v="1"/>
    <n v="1"/>
    <n v="1"/>
    <n v="0"/>
    <n v="8"/>
    <n v="21"/>
    <n v="2"/>
    <s v="N3"/>
  </r>
  <r>
    <s v="NSF Diego Garcia"/>
    <x v="15"/>
    <s v="A-493-0012"/>
    <n v="3682"/>
    <x v="23"/>
    <d v="2026-02-09T00:00:00"/>
    <d v="2026-02-13T00:00:00"/>
    <s v="Funded"/>
    <d v="1899-12-30T08:00:00"/>
    <m/>
    <m/>
    <m/>
    <m/>
    <m/>
    <m/>
    <s v="W. Bailey"/>
    <m/>
    <m/>
    <n v="40"/>
    <n v="40"/>
    <n v="5"/>
    <n v="52"/>
    <n v="0"/>
    <m/>
    <m/>
    <m/>
    <m/>
    <m/>
    <m/>
    <m/>
    <n v="62"/>
    <n v="1"/>
    <n v="1"/>
    <n v="1"/>
    <n v="0"/>
    <n v="40"/>
    <n v="40"/>
    <n v="2"/>
    <s v="N4"/>
  </r>
  <r>
    <m/>
    <x v="4"/>
    <s v="A-493-0061"/>
    <s v="288E"/>
    <x v="0"/>
    <d v="2026-02-09T00:00:00"/>
    <d v="2026-02-12T00:00:00"/>
    <s v="Funded"/>
    <m/>
    <d v="1899-12-30T08:00:00"/>
    <d v="1899-12-30T05:00:00"/>
    <n v="1600"/>
    <n v="1400"/>
    <d v="1899-12-30T03:00:00"/>
    <n v="2200"/>
    <s v="S. Griffin"/>
    <m/>
    <m/>
    <n v="45"/>
    <n v="30"/>
    <n v="4"/>
    <n v="366"/>
    <n v="14"/>
    <n v="0"/>
    <m/>
    <m/>
    <m/>
    <m/>
    <m/>
    <m/>
    <n v="61"/>
    <n v="1"/>
    <n v="1"/>
    <n v="1"/>
    <n v="0"/>
    <n v="30"/>
    <n v="31"/>
    <n v="2"/>
    <s v="N5"/>
  </r>
  <r>
    <m/>
    <x v="48"/>
    <s v="A-493-0077"/>
    <s v="0381"/>
    <x v="14"/>
    <d v="2026-02-09T00:00:00"/>
    <d v="2026-02-11T00:00:00"/>
    <s v="Funded"/>
    <d v="1899-12-30T08:00:00"/>
    <m/>
    <m/>
    <m/>
    <m/>
    <m/>
    <m/>
    <s v="ENV Contractor"/>
    <m/>
    <m/>
    <n v="25"/>
    <n v="24"/>
    <n v="3"/>
    <n v="60"/>
    <n v="4"/>
    <m/>
    <m/>
    <m/>
    <m/>
    <m/>
    <m/>
    <m/>
    <n v="60"/>
    <n v="1"/>
    <n v="1"/>
    <n v="1"/>
    <n v="0"/>
    <n v="24"/>
    <n v="21"/>
    <n v="2"/>
    <s v="N4"/>
  </r>
  <r>
    <m/>
    <x v="48"/>
    <s v="A-493-0077"/>
    <s v="0381"/>
    <x v="24"/>
    <d v="2026-02-09T00:00:00"/>
    <d v="2026-02-11T00:00:00"/>
    <s v="Funded"/>
    <d v="1899-12-30T08:00:00"/>
    <m/>
    <m/>
    <m/>
    <m/>
    <m/>
    <m/>
    <s v="ENV Contractor"/>
    <m/>
    <m/>
    <n v="25"/>
    <n v="24"/>
    <n v="3"/>
    <n v="25"/>
    <n v="0"/>
    <m/>
    <m/>
    <m/>
    <m/>
    <m/>
    <m/>
    <m/>
    <n v="60"/>
    <n v="1"/>
    <n v="1"/>
    <n v="1"/>
    <n v="0"/>
    <n v="24"/>
    <n v="25"/>
    <n v="2"/>
    <s v="N4"/>
  </r>
  <r>
    <m/>
    <x v="5"/>
    <s v="A-322-2604"/>
    <s v="10ZZ"/>
    <x v="0"/>
    <d v="2026-02-09T00:00:00"/>
    <d v="2026-02-11T00:00:00"/>
    <s v="Funded"/>
    <m/>
    <d v="1899-12-30T12:00:00"/>
    <d v="1899-12-30T09:00:00"/>
    <d v="1899-12-30T20:00:00"/>
    <d v="1899-12-30T18:00:00"/>
    <d v="1899-12-30T07:00:00"/>
    <d v="1899-12-30T02:00:00"/>
    <s v="LSC Kitivi"/>
    <m/>
    <m/>
    <n v="45"/>
    <n v="24"/>
    <n v="3"/>
    <n v="621"/>
    <n v="16"/>
    <n v="0"/>
    <m/>
    <m/>
    <m/>
    <m/>
    <m/>
    <m/>
    <n v="60"/>
    <n v="1"/>
    <n v="1"/>
    <n v="1"/>
    <n v="0"/>
    <n v="24"/>
    <n v="29"/>
    <n v="2"/>
    <s v="N8"/>
  </r>
  <r>
    <m/>
    <x v="0"/>
    <s v="A-493-0550"/>
    <s v="09K5"/>
    <x v="0"/>
    <d v="2026-02-09T00:00:00"/>
    <d v="2026-02-12T00:00:00"/>
    <s v="Funded"/>
    <m/>
    <d v="1899-12-30T19:00:00"/>
    <d v="1899-12-30T16:00:00"/>
    <d v="1899-12-30T03:00:00"/>
    <d v="1899-12-30T01:00:00"/>
    <d v="1899-12-30T14:00:00"/>
    <d v="1899-12-30T09:00:00"/>
    <s v="N. DeCastro"/>
    <m/>
    <m/>
    <n v="45"/>
    <n v="32"/>
    <n v="4"/>
    <n v="180"/>
    <n v="11"/>
    <n v="0"/>
    <m/>
    <m/>
    <m/>
    <m/>
    <m/>
    <m/>
    <n v="61"/>
    <n v="1"/>
    <n v="1"/>
    <n v="1"/>
    <n v="0"/>
    <n v="32"/>
    <n v="34"/>
    <n v="2"/>
    <s v="N5"/>
  </r>
  <r>
    <m/>
    <x v="12"/>
    <s v="A-493-0331"/>
    <s v="10UG"/>
    <x v="0"/>
    <d v="2026-02-10T00:00:00"/>
    <d v="2026-02-12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24"/>
    <n v="3"/>
    <n v="844"/>
    <n v="39"/>
    <n v="0"/>
    <m/>
    <m/>
    <m/>
    <m/>
    <m/>
    <m/>
    <n v="61"/>
    <n v="1"/>
    <n v="1"/>
    <n v="1"/>
    <n v="0"/>
    <n v="24"/>
    <n v="6"/>
    <n v="2"/>
    <s v="N3"/>
  </r>
  <r>
    <m/>
    <x v="46"/>
    <s v="A-493-0015"/>
    <n v="3879"/>
    <x v="0"/>
    <d v="2026-02-11T00:00:00"/>
    <d v="2026-02-11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30"/>
    <n v="4"/>
    <n v="0.5"/>
    <n v="0"/>
    <n v="17"/>
    <n v="0"/>
    <m/>
    <m/>
    <m/>
    <m/>
    <m/>
    <m/>
    <n v="60"/>
    <n v="1"/>
    <n v="1"/>
    <n v="1"/>
    <n v="0"/>
    <n v="4"/>
    <n v="13"/>
    <n v="2"/>
    <s v="N3"/>
  </r>
  <r>
    <m/>
    <x v="47"/>
    <s v="A-493-0020"/>
    <n v="3888"/>
    <x v="0"/>
    <d v="2026-02-12T00:00:00"/>
    <d v="2026-02-12T00:00:00"/>
    <s v="Funded"/>
    <m/>
    <d v="1899-12-30T19:00:00"/>
    <d v="1899-12-30T16:00:00"/>
    <d v="1899-12-30T03:00:00"/>
    <d v="1899-12-30T01:00:00"/>
    <d v="1899-12-30T14:00:00"/>
    <d v="1899-12-30T09:00:00"/>
    <s v="B. Jung"/>
    <m/>
    <m/>
    <n v="30"/>
    <n v="4"/>
    <n v="0.5"/>
    <n v="0"/>
    <n v="10"/>
    <n v="0"/>
    <m/>
    <m/>
    <m/>
    <m/>
    <m/>
    <m/>
    <n v="61"/>
    <n v="1"/>
    <n v="1"/>
    <n v="1"/>
    <n v="0"/>
    <n v="4"/>
    <n v="20"/>
    <n v="2"/>
    <s v="N3"/>
  </r>
  <r>
    <m/>
    <x v="10"/>
    <s v="A-493-0083"/>
    <s v="339E"/>
    <x v="14"/>
    <d v="2026-02-12T00:00:00"/>
    <d v="2026-02-12T00:00:00"/>
    <s v="Funded"/>
    <d v="1899-12-30T08:00:00"/>
    <m/>
    <m/>
    <m/>
    <m/>
    <m/>
    <m/>
    <s v="ENV Contractor"/>
    <m/>
    <m/>
    <n v="30"/>
    <n v="8"/>
    <n v="1"/>
    <n v="59"/>
    <n v="0"/>
    <m/>
    <m/>
    <m/>
    <m/>
    <m/>
    <m/>
    <m/>
    <n v="61"/>
    <n v="1"/>
    <n v="1"/>
    <n v="1"/>
    <n v="0"/>
    <n v="8"/>
    <n v="30"/>
    <n v="2"/>
    <s v="N4"/>
  </r>
  <r>
    <s v="Diego Garcia (Virtual)"/>
    <x v="2"/>
    <s v="A-493-2501"/>
    <s v="05ZE"/>
    <x v="23"/>
    <d v="2026-02-13T00:00:00"/>
    <d v="2026-02-13T00:00:00"/>
    <s v="Funded"/>
    <d v="1899-12-30T08:00:00"/>
    <m/>
    <m/>
    <m/>
    <m/>
    <m/>
    <m/>
    <s v="ENV Contractor"/>
    <m/>
    <m/>
    <n v="30"/>
    <n v="8"/>
    <n v="1"/>
    <n v="51"/>
    <n v="0"/>
    <m/>
    <m/>
    <m/>
    <m/>
    <m/>
    <m/>
    <m/>
    <n v="62"/>
    <n v="1"/>
    <n v="1"/>
    <n v="1"/>
    <n v="0"/>
    <n v="8"/>
    <n v="30"/>
    <n v="2"/>
    <s v="N4"/>
  </r>
  <r>
    <m/>
    <x v="3"/>
    <s v="A-493-0103"/>
    <s v="12JY"/>
    <x v="10"/>
    <d v="2026-02-16T00:00:00"/>
    <d v="2026-02-20T00:00:00"/>
    <s v="Funded"/>
    <d v="1899-12-30T08:00:00"/>
    <m/>
    <m/>
    <m/>
    <m/>
    <m/>
    <m/>
    <s v="SOH Contractor"/>
    <m/>
    <m/>
    <n v="25"/>
    <n v="40"/>
    <n v="5"/>
    <n v="225"/>
    <n v="1"/>
    <n v="0"/>
    <m/>
    <m/>
    <m/>
    <m/>
    <m/>
    <m/>
    <n v="69"/>
    <n v="1"/>
    <n v="1"/>
    <n v="1"/>
    <n v="0"/>
    <n v="40"/>
    <n v="24"/>
    <n v="2"/>
    <s v="N5"/>
  </r>
  <r>
    <s v="Washington's Birthday"/>
    <x v="11"/>
    <s v="Holiday"/>
    <s v="Holiday"/>
    <x v="5"/>
    <d v="2026-02-16T00:00:00"/>
    <d v="2026-02-16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65"/>
    <n v="0"/>
    <n v="1"/>
    <n v="1"/>
    <n v="0"/>
    <n v="0"/>
    <m/>
    <n v="2"/>
    <s v="TSD"/>
  </r>
  <r>
    <m/>
    <x v="12"/>
    <s v="A-493-0331"/>
    <s v="10UG"/>
    <x v="0"/>
    <d v="2026-02-17T00:00:00"/>
    <d v="2026-02-19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24"/>
    <n v="3"/>
    <n v="844"/>
    <n v="15"/>
    <n v="0"/>
    <m/>
    <m/>
    <m/>
    <m/>
    <m/>
    <m/>
    <n v="68"/>
    <n v="1"/>
    <n v="1"/>
    <n v="1"/>
    <n v="0"/>
    <n v="24"/>
    <n v="30"/>
    <n v="2"/>
    <s v="N3"/>
  </r>
  <r>
    <m/>
    <x v="48"/>
    <s v="A-493-0077"/>
    <s v="0381"/>
    <x v="25"/>
    <d v="2026-02-18T00:00:00"/>
    <d v="2026-02-20T00:00:00"/>
    <s v="Funded"/>
    <d v="1899-12-30T08:00:00"/>
    <m/>
    <m/>
    <m/>
    <m/>
    <m/>
    <m/>
    <s v="ENV Contractor"/>
    <m/>
    <m/>
    <n v="25"/>
    <n v="24"/>
    <n v="3"/>
    <n v="31"/>
    <n v="3"/>
    <m/>
    <m/>
    <m/>
    <m/>
    <m/>
    <m/>
    <m/>
    <n v="69"/>
    <n v="1"/>
    <n v="1"/>
    <n v="1"/>
    <n v="0"/>
    <n v="24"/>
    <n v="22"/>
    <n v="2"/>
    <s v="N4"/>
  </r>
  <r>
    <m/>
    <x v="48"/>
    <s v="A-493-0077"/>
    <s v="0381"/>
    <x v="26"/>
    <d v="2026-02-18T00:00:00"/>
    <d v="2026-02-20T00:00:00"/>
    <s v="Funded"/>
    <d v="1899-12-30T08:00:00"/>
    <m/>
    <m/>
    <m/>
    <m/>
    <m/>
    <m/>
    <s v="ENV Contractor"/>
    <m/>
    <m/>
    <n v="25"/>
    <n v="24"/>
    <n v="3"/>
    <n v="34"/>
    <n v="2"/>
    <m/>
    <m/>
    <m/>
    <m/>
    <m/>
    <m/>
    <m/>
    <n v="69"/>
    <n v="1"/>
    <n v="1"/>
    <n v="1"/>
    <n v="0"/>
    <n v="24"/>
    <n v="23"/>
    <n v="2"/>
    <s v="N4"/>
  </r>
  <r>
    <m/>
    <x v="51"/>
    <s v="A-493-0092"/>
    <n v="5891"/>
    <x v="27"/>
    <d v="2026-02-18T00:00:00"/>
    <d v="2026-02-20T00:00:00"/>
    <s v="Funded"/>
    <d v="1899-12-30T08:00:00"/>
    <m/>
    <m/>
    <m/>
    <m/>
    <m/>
    <m/>
    <s v="W. Mitchell"/>
    <m/>
    <s v="EMC Stroughn"/>
    <n v="25"/>
    <n v="24"/>
    <n v="3"/>
    <n v="51"/>
    <n v="14"/>
    <n v="0"/>
    <m/>
    <m/>
    <m/>
    <m/>
    <m/>
    <m/>
    <n v="69"/>
    <n v="1"/>
    <n v="1"/>
    <n v="1"/>
    <n v="0"/>
    <n v="24"/>
    <n v="11"/>
    <n v="2"/>
    <s v="N3"/>
  </r>
  <r>
    <m/>
    <x v="8"/>
    <s v="A-493-2098"/>
    <s v="09WW"/>
    <x v="0"/>
    <d v="2026-02-18T00:00:00"/>
    <d v="2026-02-20T00:00:00"/>
    <s v="Funded"/>
    <m/>
    <d v="1899-12-30T19:00:00"/>
    <d v="1899-12-30T16:00:00"/>
    <d v="1899-12-30T02:00:00"/>
    <d v="1899-12-30T00:00:00"/>
    <d v="1899-12-30T13:00:00"/>
    <d v="1899-12-30T08:00:00"/>
    <s v="EMC Stroughn"/>
    <m/>
    <m/>
    <n v="100"/>
    <n v="16"/>
    <n v="3"/>
    <m/>
    <n v="37"/>
    <n v="0"/>
    <m/>
    <m/>
    <m/>
    <m/>
    <m/>
    <m/>
    <n v="69"/>
    <n v="1"/>
    <n v="1"/>
    <n v="1"/>
    <n v="0"/>
    <n v="16"/>
    <n v="63"/>
    <n v="2"/>
    <s v="N8"/>
  </r>
  <r>
    <m/>
    <x v="1"/>
    <s v="A-493-0099"/>
    <s v="12JW"/>
    <x v="0"/>
    <d v="2026-02-18T00:00:00"/>
    <d v="2026-02-20T00:00:00"/>
    <s v="Funded"/>
    <m/>
    <d v="1899-12-30T08:00:00"/>
    <d v="1899-12-30T05:00:00"/>
    <n v="1600"/>
    <n v="1400"/>
    <d v="1899-12-30T03:00:00"/>
    <n v="2200"/>
    <s v="V. Kentish"/>
    <m/>
    <m/>
    <n v="45"/>
    <n v="24"/>
    <n v="3"/>
    <n v="334"/>
    <n v="7"/>
    <n v="0"/>
    <m/>
    <m/>
    <m/>
    <m/>
    <m/>
    <m/>
    <n v="69"/>
    <n v="1"/>
    <n v="1"/>
    <n v="1"/>
    <n v="0"/>
    <n v="24"/>
    <n v="38"/>
    <n v="2"/>
    <s v="N5"/>
  </r>
  <r>
    <m/>
    <x v="10"/>
    <s v="A-493-0083"/>
    <s v="339E"/>
    <x v="23"/>
    <d v="2026-02-20T00:00:00"/>
    <d v="2026-02-20T00:00:00"/>
    <s v="Funded"/>
    <d v="1899-12-30T08:00:00"/>
    <m/>
    <m/>
    <m/>
    <m/>
    <m/>
    <m/>
    <s v="ENV Contractor"/>
    <m/>
    <m/>
    <n v="30"/>
    <n v="8"/>
    <n v="1"/>
    <n v="92"/>
    <n v="0"/>
    <m/>
    <m/>
    <m/>
    <m/>
    <m/>
    <m/>
    <m/>
    <n v="69"/>
    <n v="1"/>
    <n v="1"/>
    <n v="1"/>
    <n v="0"/>
    <n v="8"/>
    <n v="30"/>
    <n v="2"/>
    <s v="N4"/>
  </r>
  <r>
    <m/>
    <x v="43"/>
    <s v="A-4J-0022"/>
    <s v="09ER"/>
    <x v="0"/>
    <d v="2026-02-23T00:00:00"/>
    <d v="2026-02-27T00:00:00"/>
    <s v="Funded"/>
    <m/>
    <d v="1899-12-30T12:00:00"/>
    <d v="1899-12-30T09:00:00"/>
    <d v="1899-12-30T20:00:00"/>
    <d v="1899-12-30T18:00:00"/>
    <d v="1899-12-30T07:00:00"/>
    <d v="1899-12-30T02:00:00"/>
    <s v="A. Hardy"/>
    <m/>
    <m/>
    <n v="45"/>
    <n v="16"/>
    <n v="2"/>
    <n v="130"/>
    <n v="11"/>
    <m/>
    <m/>
    <m/>
    <m/>
    <m/>
    <m/>
    <m/>
    <n v="76"/>
    <n v="1"/>
    <n v="1"/>
    <n v="1"/>
    <n v="0"/>
    <n v="16"/>
    <n v="34"/>
    <n v="2"/>
    <s v="N4"/>
  </r>
  <r>
    <m/>
    <x v="37"/>
    <s v="A-493-0665"/>
    <s v="10KW"/>
    <x v="0"/>
    <d v="2026-02-23T00:00:00"/>
    <d v="2026-02-25T00:00:00"/>
    <s v="Funded"/>
    <m/>
    <d v="1899-12-30T19:00:00"/>
    <d v="1899-12-30T16:00:00"/>
    <d v="1899-12-30T03:00:00"/>
    <d v="1899-12-30T01:00:00"/>
    <d v="1899-12-30T14:00:00"/>
    <d v="1899-12-30T09:00:00"/>
    <s v="LSC Kitivi"/>
    <m/>
    <m/>
    <n v="45"/>
    <n v="24"/>
    <n v="3"/>
    <n v="82"/>
    <n v="10"/>
    <n v="0"/>
    <m/>
    <m/>
    <m/>
    <m/>
    <m/>
    <m/>
    <n v="74"/>
    <n v="1"/>
    <n v="1"/>
    <n v="1"/>
    <n v="0"/>
    <n v="24"/>
    <n v="35"/>
    <n v="2"/>
    <s v="N8"/>
  </r>
  <r>
    <s v="NBVC Port Hueneme"/>
    <x v="15"/>
    <s v="A-493-0012"/>
    <n v="3682"/>
    <x v="10"/>
    <d v="2026-02-23T00:00:00"/>
    <d v="2026-02-27T00:00:00"/>
    <s v="Funded"/>
    <d v="1899-12-30T08:00:00"/>
    <m/>
    <m/>
    <m/>
    <m/>
    <m/>
    <m/>
    <s v="R. Hartel"/>
    <m/>
    <m/>
    <n v="40"/>
    <n v="40"/>
    <n v="5"/>
    <n v="10"/>
    <n v="3"/>
    <m/>
    <m/>
    <m/>
    <m/>
    <m/>
    <m/>
    <m/>
    <n v="76"/>
    <n v="1"/>
    <n v="1"/>
    <n v="1"/>
    <n v="0"/>
    <n v="40"/>
    <n v="37"/>
    <n v="2"/>
    <s v="N4"/>
  </r>
  <r>
    <m/>
    <x v="4"/>
    <s v="A-493-0061"/>
    <s v="288E"/>
    <x v="0"/>
    <d v="2026-02-23T00:00:00"/>
    <d v="2026-02-26T00:00:00"/>
    <s v="Funded"/>
    <m/>
    <d v="1899-12-30T12:00:00"/>
    <d v="1899-12-30T09:00:00"/>
    <d v="1899-12-30T20:00:00"/>
    <d v="1899-12-30T18:00:00"/>
    <d v="1899-12-30T07:00:00"/>
    <d v="1899-12-30T02:00:00"/>
    <s v="S. Griffin"/>
    <m/>
    <m/>
    <n v="45"/>
    <n v="30"/>
    <n v="4"/>
    <n v="620"/>
    <n v="10"/>
    <n v="0"/>
    <m/>
    <m/>
    <m/>
    <m/>
    <m/>
    <m/>
    <n v="75"/>
    <n v="1"/>
    <n v="1"/>
    <n v="1"/>
    <n v="0"/>
    <n v="30"/>
    <n v="35"/>
    <n v="2"/>
    <s v="N5"/>
  </r>
  <r>
    <m/>
    <x v="48"/>
    <s v="A-493-0077"/>
    <s v="0381"/>
    <x v="13"/>
    <d v="2026-02-23T00:00:00"/>
    <d v="2026-02-25T00:00:00"/>
    <s v="Funded"/>
    <d v="1899-12-30T08:00:00"/>
    <m/>
    <m/>
    <m/>
    <m/>
    <m/>
    <m/>
    <s v="ENV Contractor"/>
    <m/>
    <m/>
    <n v="25"/>
    <n v="24"/>
    <n v="3"/>
    <n v="63"/>
    <n v="2"/>
    <m/>
    <m/>
    <m/>
    <m/>
    <m/>
    <m/>
    <m/>
    <n v="74"/>
    <n v="1"/>
    <n v="1"/>
    <n v="1"/>
    <n v="0"/>
    <n v="24"/>
    <n v="23"/>
    <n v="2"/>
    <s v="N4"/>
  </r>
  <r>
    <m/>
    <x v="48"/>
    <s v="A-493-0077"/>
    <s v="0381"/>
    <x v="23"/>
    <d v="2026-02-23T00:00:00"/>
    <d v="2026-02-25T00:00:00"/>
    <s v="Funded"/>
    <d v="1899-12-30T08:00:00"/>
    <m/>
    <m/>
    <m/>
    <m/>
    <m/>
    <m/>
    <s v="ENV Contractor"/>
    <m/>
    <m/>
    <n v="25"/>
    <n v="24"/>
    <n v="3"/>
    <n v="53"/>
    <n v="0"/>
    <m/>
    <m/>
    <m/>
    <m/>
    <m/>
    <m/>
    <m/>
    <n v="74"/>
    <n v="1"/>
    <n v="1"/>
    <n v="1"/>
    <n v="0"/>
    <n v="24"/>
    <n v="25"/>
    <n v="2"/>
    <s v="N4"/>
  </r>
  <r>
    <m/>
    <x v="42"/>
    <s v="A-493-0085"/>
    <n v="3555"/>
    <x v="0"/>
    <d v="2026-02-23T00:00:00"/>
    <d v="2026-02-26T00:00:00"/>
    <s v="Funded"/>
    <m/>
    <d v="1899-12-30T19:00:00"/>
    <d v="1899-12-30T16:00:00"/>
    <d v="1899-12-30T03:00:00"/>
    <d v="1899-12-30T01:00:00"/>
    <d v="1899-12-30T14:00:00"/>
    <d v="1899-12-30T09:00:00"/>
    <s v="TBD"/>
    <m/>
    <m/>
    <n v="45"/>
    <n v="32"/>
    <n v="4"/>
    <n v="166"/>
    <n v="6"/>
    <n v="0"/>
    <m/>
    <m/>
    <m/>
    <m/>
    <m/>
    <m/>
    <n v="75"/>
    <n v="1"/>
    <n v="1"/>
    <n v="1"/>
    <n v="0"/>
    <n v="32"/>
    <n v="39"/>
    <n v="2"/>
    <s v="N3"/>
  </r>
  <r>
    <m/>
    <x v="38"/>
    <s v="A-570-0100"/>
    <s v="18B7"/>
    <x v="0"/>
    <d v="2026-02-23T00:00:00"/>
    <d v="2026-02-24T00:00:00"/>
    <s v="Funded"/>
    <m/>
    <d v="1899-12-30T12:00:00"/>
    <d v="1899-12-30T09:00:00"/>
    <d v="1899-12-30T20:00:00"/>
    <d v="1899-12-30T18:00:00"/>
    <d v="1899-12-30T07:00:00"/>
    <d v="1899-12-30T02:00:00"/>
    <s v="LS1 Scoggins"/>
    <m/>
    <m/>
    <n v="45"/>
    <n v="16"/>
    <n v="2"/>
    <n v="663"/>
    <n v="1"/>
    <n v="0"/>
    <m/>
    <m/>
    <m/>
    <m/>
    <m/>
    <m/>
    <n v="73"/>
    <n v="1"/>
    <n v="1"/>
    <n v="1"/>
    <n v="0"/>
    <n v="16"/>
    <n v="44"/>
    <n v="2"/>
    <s v="N8"/>
  </r>
  <r>
    <m/>
    <x v="7"/>
    <s v="A-493-0072"/>
    <s v="713U"/>
    <x v="27"/>
    <d v="2026-02-23T00:00:00"/>
    <d v="2026-02-27T00:00:00"/>
    <s v="Funded"/>
    <d v="1899-12-30T08:00:00"/>
    <m/>
    <m/>
    <m/>
    <m/>
    <m/>
    <m/>
    <s v="W. Mitchell"/>
    <m/>
    <s v="EMC Stroughn"/>
    <n v="30"/>
    <n v="40"/>
    <n v="5"/>
    <n v="78"/>
    <n v="15"/>
    <n v="0"/>
    <m/>
    <m/>
    <m/>
    <m/>
    <m/>
    <m/>
    <n v="76"/>
    <n v="1"/>
    <n v="1"/>
    <n v="1"/>
    <n v="0"/>
    <n v="40"/>
    <n v="15"/>
    <n v="2"/>
    <s v="N3"/>
  </r>
  <r>
    <m/>
    <x v="16"/>
    <s v="A-493-3002"/>
    <s v="31V4"/>
    <x v="0"/>
    <d v="2026-02-23T00:00:00"/>
    <d v="2026-02-23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4"/>
    <n v="0.5"/>
    <m/>
    <n v="1"/>
    <n v="0"/>
    <m/>
    <m/>
    <m/>
    <m/>
    <m/>
    <m/>
    <n v="72"/>
    <n v="1"/>
    <n v="1"/>
    <n v="1"/>
    <n v="0"/>
    <n v="4"/>
    <n v="999"/>
    <n v="2"/>
    <s v="N8"/>
  </r>
  <r>
    <m/>
    <x v="17"/>
    <s v="A-493-3003"/>
    <s v="31V5"/>
    <x v="0"/>
    <d v="2026-02-23T00:00:00"/>
    <d v="2026-02-23T00:00:00"/>
    <s v="Funded"/>
    <m/>
    <d v="1899-12-30T15:00:00"/>
    <d v="1899-12-30T12:00:00"/>
    <d v="1899-12-30T23:00:00"/>
    <d v="1899-12-30T21:00:00"/>
    <d v="1899-12-30T10:00:00"/>
    <d v="1899-12-30T05:00:00"/>
    <s v="C. Gum"/>
    <m/>
    <m/>
    <n v="1000"/>
    <n v="0.75"/>
    <n v="0.1"/>
    <m/>
    <n v="1"/>
    <n v="0"/>
    <m/>
    <m/>
    <m/>
    <m/>
    <m/>
    <m/>
    <n v="72"/>
    <n v="1"/>
    <n v="1"/>
    <n v="1"/>
    <n v="0"/>
    <n v="0.75"/>
    <n v="999"/>
    <n v="2"/>
    <s v="N8"/>
  </r>
  <r>
    <m/>
    <x v="18"/>
    <s v="A-493-3006"/>
    <s v="31V8"/>
    <x v="0"/>
    <d v="2026-02-23T00:00:00"/>
    <d v="2026-02-23T00:00:00"/>
    <s v="Funded"/>
    <m/>
    <d v="1899-12-30T18:00:00"/>
    <d v="1899-12-30T15:00:00"/>
    <d v="1899-12-30T02:00:00"/>
    <d v="1899-12-30T00:01:00"/>
    <d v="1899-12-30T13:00:00"/>
    <d v="1899-12-30T08:00:00"/>
    <s v="C. Gum"/>
    <m/>
    <m/>
    <n v="1000"/>
    <n v="0.75"/>
    <n v="0.1"/>
    <m/>
    <n v="1"/>
    <n v="0"/>
    <m/>
    <m/>
    <m/>
    <m/>
    <m/>
    <m/>
    <n v="72"/>
    <n v="1"/>
    <n v="1"/>
    <n v="1"/>
    <n v="0"/>
    <n v="0.75"/>
    <n v="999"/>
    <n v="2"/>
    <s v="N8"/>
  </r>
  <r>
    <m/>
    <x v="19"/>
    <s v="A-493-3007"/>
    <s v="31V9"/>
    <x v="0"/>
    <d v="2026-02-23T00:00:00"/>
    <d v="2026-02-23T00:00:00"/>
    <s v="Funded"/>
    <m/>
    <d v="1899-12-30T19:00:00"/>
    <d v="1899-12-30T16:00:00"/>
    <d v="1899-12-30T03:00:00"/>
    <d v="1899-12-30T01:00:00"/>
    <d v="1899-12-30T14:00:00"/>
    <d v="1899-12-30T09:00:00"/>
    <s v="C. Gum"/>
    <m/>
    <m/>
    <n v="1000"/>
    <n v="0.75"/>
    <n v="0.1"/>
    <m/>
    <n v="1"/>
    <n v="0"/>
    <m/>
    <m/>
    <m/>
    <m/>
    <m/>
    <m/>
    <n v="72"/>
    <n v="1"/>
    <n v="1"/>
    <n v="1"/>
    <n v="0"/>
    <n v="0.75"/>
    <n v="999"/>
    <n v="2"/>
    <s v="N8"/>
  </r>
  <r>
    <m/>
    <x v="0"/>
    <s v="A-493-0550"/>
    <s v="09K5"/>
    <x v="0"/>
    <d v="2026-02-23T00:00:00"/>
    <d v="2026-02-26T00:00:00"/>
    <s v="Funded"/>
    <m/>
    <d v="1899-12-30T08:00:00"/>
    <d v="1899-12-30T05:00:00"/>
    <n v="1600"/>
    <n v="1400"/>
    <d v="1899-12-30T03:00:00"/>
    <n v="2200"/>
    <s v="N. DeCastro"/>
    <m/>
    <m/>
    <n v="45"/>
    <n v="32"/>
    <n v="4"/>
    <n v="455"/>
    <n v="5"/>
    <n v="0"/>
    <m/>
    <m/>
    <m/>
    <m/>
    <m/>
    <m/>
    <n v="75"/>
    <n v="1"/>
    <n v="1"/>
    <n v="1"/>
    <n v="0"/>
    <n v="32"/>
    <n v="40"/>
    <n v="2"/>
    <s v="N5"/>
  </r>
  <r>
    <m/>
    <x v="6"/>
    <s v="A-493-0078"/>
    <n v="1228"/>
    <x v="0"/>
    <d v="2026-02-23T00:00:00"/>
    <d v="2026-02-26T00:00:00"/>
    <s v="Funded"/>
    <m/>
    <d v="1899-12-30T12:00:00"/>
    <d v="1899-12-30T09:00:00"/>
    <d v="1899-12-30T20:00:00"/>
    <d v="1899-12-30T18:00:00"/>
    <d v="1899-12-30T07:00:00"/>
    <d v="1899-12-30T02:00:00"/>
    <s v="T. White"/>
    <m/>
    <m/>
    <n v="45"/>
    <n v="32"/>
    <n v="4"/>
    <n v="568"/>
    <n v="16"/>
    <n v="0"/>
    <m/>
    <m/>
    <m/>
    <m/>
    <m/>
    <m/>
    <n v="75"/>
    <n v="1"/>
    <n v="1"/>
    <n v="1"/>
    <n v="0"/>
    <n v="32"/>
    <n v="29"/>
    <n v="2"/>
    <s v="N5"/>
  </r>
  <r>
    <m/>
    <x v="21"/>
    <s v="A-4J-0019"/>
    <s v="28SL/285M"/>
    <x v="9"/>
    <d v="2026-02-23T00:00:00"/>
    <d v="2026-02-27T00:00:00"/>
    <s v="Funded"/>
    <d v="1899-12-30T07:30:00"/>
    <m/>
    <m/>
    <m/>
    <m/>
    <m/>
    <m/>
    <s v="J. Wilson"/>
    <s v="M. Bailey"/>
    <m/>
    <n v="20"/>
    <n v="40"/>
    <n v="5"/>
    <n v="148"/>
    <n v="20"/>
    <n v="30"/>
    <m/>
    <m/>
    <m/>
    <m/>
    <m/>
    <m/>
    <n v="76"/>
    <n v="1"/>
    <n v="1"/>
    <n v="1"/>
    <n v="1"/>
    <n v="20"/>
    <n v="0"/>
    <n v="2"/>
    <s v="N8"/>
  </r>
  <r>
    <m/>
    <x v="22"/>
    <s v="A-493-3011"/>
    <s v="31VD"/>
    <x v="0"/>
    <d v="2026-02-24T00:00:00"/>
    <d v="2026-02-24T00:00:00"/>
    <s v="Funded"/>
    <m/>
    <d v="1899-12-30T18:00:00"/>
    <d v="1899-12-30T15:00:00"/>
    <d v="1899-12-30T02:00:00"/>
    <d v="1899-12-30T00:01:00"/>
    <d v="1899-12-30T13:00:00"/>
    <d v="1899-12-30T08:00:00"/>
    <s v="C. Gum"/>
    <m/>
    <m/>
    <n v="1000"/>
    <n v="2.5"/>
    <n v="0.3"/>
    <m/>
    <n v="1"/>
    <n v="0"/>
    <m/>
    <m/>
    <m/>
    <m/>
    <m/>
    <m/>
    <n v="73"/>
    <n v="1"/>
    <n v="1"/>
    <n v="1"/>
    <n v="0"/>
    <n v="2.5"/>
    <n v="999"/>
    <n v="2"/>
    <s v="N8"/>
  </r>
  <r>
    <m/>
    <x v="23"/>
    <s v="A-493-3010"/>
    <s v="31VC"/>
    <x v="0"/>
    <d v="2026-02-24T00:00:00"/>
    <d v="2026-02-24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3.5"/>
    <n v="0.4"/>
    <m/>
    <n v="1"/>
    <n v="0"/>
    <m/>
    <m/>
    <m/>
    <m/>
    <m/>
    <m/>
    <n v="73"/>
    <n v="1"/>
    <n v="1"/>
    <n v="1"/>
    <n v="0"/>
    <n v="3.5"/>
    <n v="999"/>
    <n v="2"/>
    <s v="N8"/>
  </r>
  <r>
    <m/>
    <x v="24"/>
    <s v="A-493-3018"/>
    <s v="31YM"/>
    <x v="0"/>
    <d v="2026-02-25T00:00:00"/>
    <d v="2026-02-25T00:00:00"/>
    <s v="Funded"/>
    <m/>
    <d v="1899-12-30T17:30:00"/>
    <d v="1899-12-30T14:30:00"/>
    <d v="1899-12-30T01:30:00"/>
    <d v="1899-12-30T23:30:00"/>
    <d v="1899-12-30T12:30:00"/>
    <d v="1899-12-30T07:30:00"/>
    <s v="C. Gum"/>
    <m/>
    <m/>
    <n v="1000"/>
    <n v="2.5"/>
    <n v="0.3"/>
    <m/>
    <n v="1"/>
    <n v="0"/>
    <m/>
    <m/>
    <m/>
    <m/>
    <m/>
    <m/>
    <n v="74"/>
    <n v="1"/>
    <n v="1"/>
    <n v="1"/>
    <n v="0"/>
    <n v="2.5"/>
    <n v="999"/>
    <n v="2"/>
    <s v="N8"/>
  </r>
  <r>
    <m/>
    <x v="25"/>
    <s v="A-493-3004"/>
    <s v="31V6"/>
    <x v="0"/>
    <d v="2026-02-25T00:00:00"/>
    <d v="2026-02-25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1.5"/>
    <n v="0.2"/>
    <m/>
    <n v="1"/>
    <n v="0"/>
    <m/>
    <m/>
    <m/>
    <m/>
    <m/>
    <m/>
    <n v="74"/>
    <n v="1"/>
    <n v="1"/>
    <n v="1"/>
    <n v="0"/>
    <n v="1.5"/>
    <n v="999"/>
    <n v="2"/>
    <s v="N8"/>
  </r>
  <r>
    <m/>
    <x v="26"/>
    <s v="A-493-3001"/>
    <s v="31V3"/>
    <x v="0"/>
    <d v="2026-02-25T00:00:00"/>
    <d v="2026-02-25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2"/>
    <n v="0.25"/>
    <m/>
    <n v="1"/>
    <n v="0"/>
    <m/>
    <m/>
    <m/>
    <m/>
    <m/>
    <m/>
    <n v="74"/>
    <n v="1"/>
    <n v="1"/>
    <n v="1"/>
    <n v="0"/>
    <n v="2"/>
    <n v="999"/>
    <n v="2"/>
    <s v="N8"/>
  </r>
  <r>
    <m/>
    <x v="10"/>
    <s v="A-493-0083"/>
    <s v="339E"/>
    <x v="13"/>
    <d v="2026-02-26T00:00:00"/>
    <d v="2026-02-26T00:00:00"/>
    <s v="Funded"/>
    <d v="1899-12-30T08:00:00"/>
    <m/>
    <m/>
    <m/>
    <m/>
    <m/>
    <m/>
    <s v="ENV Contractor"/>
    <m/>
    <m/>
    <n v="30"/>
    <n v="8"/>
    <n v="1"/>
    <n v="54"/>
    <n v="8"/>
    <m/>
    <m/>
    <m/>
    <m/>
    <m/>
    <m/>
    <m/>
    <n v="75"/>
    <n v="1"/>
    <n v="1"/>
    <n v="1"/>
    <n v="0"/>
    <n v="8"/>
    <n v="22"/>
    <n v="2"/>
    <s v="N4"/>
  </r>
  <r>
    <m/>
    <x v="27"/>
    <s v="A-493-3013"/>
    <s v="31YG"/>
    <x v="0"/>
    <d v="2026-02-26T00:00:00"/>
    <d v="2026-02-26T00:00:00"/>
    <s v="Funded"/>
    <m/>
    <d v="1899-12-30T13:30:00"/>
    <d v="1899-12-30T10:30:00"/>
    <d v="1899-12-30T21:30:00"/>
    <d v="1899-12-30T19:30:00"/>
    <d v="1899-12-30T08:30:00"/>
    <d v="1899-12-30T03:30:00"/>
    <s v="C. Gum"/>
    <m/>
    <m/>
    <n v="1000"/>
    <n v="1"/>
    <n v="0.1"/>
    <m/>
    <n v="1"/>
    <n v="0"/>
    <m/>
    <m/>
    <m/>
    <m/>
    <m/>
    <m/>
    <n v="75"/>
    <n v="1"/>
    <n v="1"/>
    <n v="1"/>
    <n v="0"/>
    <n v="1"/>
    <n v="999"/>
    <n v="2"/>
    <s v="N8"/>
  </r>
  <r>
    <m/>
    <x v="28"/>
    <s v="A-493-3014"/>
    <s v="31Yh"/>
    <x v="0"/>
    <d v="2026-02-26T00:00:00"/>
    <d v="2026-02-26T00:00:00"/>
    <s v="Funded"/>
    <m/>
    <d v="1899-12-30T17:30:00"/>
    <d v="1899-12-30T14:30:00"/>
    <d v="1899-12-30T01:30:00"/>
    <d v="1899-12-30T23:30:00"/>
    <d v="1899-12-30T12:30:00"/>
    <d v="1899-12-30T07:30:00"/>
    <s v="C. Gum"/>
    <m/>
    <m/>
    <n v="1000"/>
    <n v="0.75"/>
    <n v="0.1"/>
    <m/>
    <n v="1"/>
    <n v="0"/>
    <m/>
    <m/>
    <m/>
    <m/>
    <m/>
    <m/>
    <n v="75"/>
    <n v="1"/>
    <n v="1"/>
    <n v="1"/>
    <n v="0"/>
    <n v="0.75"/>
    <n v="999"/>
    <n v="2"/>
    <s v="N8"/>
  </r>
  <r>
    <m/>
    <x v="29"/>
    <s v="A-493-3015"/>
    <s v="31YJ"/>
    <x v="0"/>
    <d v="2026-02-26T00:00:00"/>
    <d v="2026-02-26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1"/>
    <n v="0"/>
    <m/>
    <m/>
    <m/>
    <m/>
    <m/>
    <m/>
    <n v="75"/>
    <n v="1"/>
    <n v="1"/>
    <n v="1"/>
    <n v="0"/>
    <n v="1"/>
    <n v="999"/>
    <n v="2"/>
    <s v="N8"/>
  </r>
  <r>
    <m/>
    <x v="30"/>
    <s v="A-493-3016"/>
    <s v="31Yk"/>
    <x v="0"/>
    <d v="2026-02-26T00:00:00"/>
    <d v="2026-02-26T00:00:00"/>
    <s v="Funded"/>
    <m/>
    <d v="1899-12-30T15:30:00"/>
    <d v="1899-12-30T12:30:00"/>
    <d v="1899-12-30T23:30:00"/>
    <d v="1899-12-30T21:30:00"/>
    <d v="1899-12-30T10:30:00"/>
    <d v="1899-12-30T05:30:00"/>
    <s v="C. Gum"/>
    <m/>
    <m/>
    <n v="1000"/>
    <n v="1"/>
    <n v="0.1"/>
    <m/>
    <n v="1"/>
    <n v="0"/>
    <m/>
    <m/>
    <m/>
    <m/>
    <m/>
    <m/>
    <n v="75"/>
    <n v="1"/>
    <n v="1"/>
    <n v="1"/>
    <n v="0"/>
    <n v="1"/>
    <n v="999"/>
    <n v="2"/>
    <s v="N8"/>
  </r>
  <r>
    <m/>
    <x v="10"/>
    <s v="A-493-0083"/>
    <s v="339E"/>
    <x v="28"/>
    <d v="2026-02-27T00:00:00"/>
    <d v="2026-02-27T00:00:00"/>
    <s v="Funded"/>
    <d v="1899-12-30T08:00:00"/>
    <m/>
    <m/>
    <m/>
    <m/>
    <m/>
    <m/>
    <s v="ENV Contractor"/>
    <m/>
    <m/>
    <n v="30"/>
    <n v="8"/>
    <n v="1"/>
    <n v="35"/>
    <n v="3"/>
    <m/>
    <m/>
    <m/>
    <m/>
    <m/>
    <m/>
    <m/>
    <n v="76"/>
    <n v="1"/>
    <n v="1"/>
    <n v="1"/>
    <n v="0"/>
    <n v="8"/>
    <n v="27"/>
    <n v="2"/>
    <s v="N4"/>
  </r>
  <r>
    <m/>
    <x v="32"/>
    <s v="A-493-3005"/>
    <s v="31V7"/>
    <x v="0"/>
    <d v="2026-02-27T00:00:00"/>
    <d v="2026-02-27T00:00:00"/>
    <s v="Funded"/>
    <m/>
    <d v="1899-12-30T14:45:00"/>
    <d v="1899-12-30T11:45:00"/>
    <d v="1899-12-30T22:45:00"/>
    <d v="1899-12-30T20:45:00"/>
    <d v="1899-12-30T09:45:00"/>
    <d v="1899-12-30T04:45:00"/>
    <s v="C. Gum"/>
    <m/>
    <m/>
    <n v="1000"/>
    <n v="2"/>
    <n v="0.25"/>
    <m/>
    <n v="1"/>
    <n v="0"/>
    <m/>
    <m/>
    <m/>
    <m/>
    <m/>
    <m/>
    <n v="76"/>
    <n v="1"/>
    <n v="1"/>
    <n v="1"/>
    <n v="0"/>
    <n v="2"/>
    <n v="999"/>
    <n v="2"/>
    <s v="N8"/>
  </r>
  <r>
    <m/>
    <x v="33"/>
    <s v="A-493-3017"/>
    <s v="31YL"/>
    <x v="0"/>
    <d v="2026-02-27T00:00:00"/>
    <d v="2026-02-27T00:00:00"/>
    <s v="Funded"/>
    <m/>
    <d v="1899-12-30T16:45:00"/>
    <d v="1899-12-30T13:45:00"/>
    <d v="1899-12-30T00:45:00"/>
    <d v="1899-12-30T22:45:00"/>
    <d v="1899-12-30T11:45:00"/>
    <d v="1899-12-30T06:45:00"/>
    <s v="C. Gum"/>
    <m/>
    <m/>
    <n v="1000"/>
    <n v="2.5"/>
    <n v="0.3"/>
    <m/>
    <n v="1"/>
    <n v="0"/>
    <m/>
    <m/>
    <m/>
    <m/>
    <m/>
    <m/>
    <n v="76"/>
    <n v="1"/>
    <n v="1"/>
    <n v="1"/>
    <n v="0"/>
    <n v="2.5"/>
    <n v="999"/>
    <n v="2"/>
    <s v="N8"/>
  </r>
  <r>
    <m/>
    <x v="34"/>
    <s v="A-493-3008"/>
    <s v="31VA"/>
    <x v="0"/>
    <d v="2026-02-27T00:00:00"/>
    <d v="2026-02-27T00:00:00"/>
    <s v="Funded"/>
    <m/>
    <d v="1899-12-30T12:30:00"/>
    <d v="1899-12-30T09:30:00"/>
    <d v="1899-12-30T20:30:00"/>
    <d v="1899-12-30T18:30:00"/>
    <d v="1899-12-30T07:30:00"/>
    <d v="1899-12-30T02:30:00"/>
    <s v="C. Gum"/>
    <m/>
    <m/>
    <n v="1000"/>
    <n v="1"/>
    <n v="0.1"/>
    <m/>
    <n v="1"/>
    <n v="0"/>
    <m/>
    <m/>
    <m/>
    <m/>
    <m/>
    <m/>
    <n v="76"/>
    <n v="1"/>
    <n v="1"/>
    <n v="1"/>
    <n v="0"/>
    <n v="1"/>
    <n v="999"/>
    <n v="2"/>
    <s v="N8"/>
  </r>
  <r>
    <m/>
    <x v="31"/>
    <s v="A-493-3012"/>
    <s v="31YF"/>
    <x v="0"/>
    <d v="2026-02-27T00:00:00"/>
    <d v="2026-02-27T00:00:00"/>
    <s v="Funded"/>
    <m/>
    <d v="1899-12-30T11:00:00"/>
    <d v="1899-12-30T08:00:00"/>
    <d v="1899-12-30T19:00:00"/>
    <d v="1899-12-30T17:00:00"/>
    <d v="1899-12-30T06:00:00"/>
    <d v="1899-12-30T01:00:00"/>
    <s v="C. Gum"/>
    <m/>
    <m/>
    <n v="1000"/>
    <n v="1"/>
    <n v="0.1"/>
    <m/>
    <n v="1"/>
    <n v="0"/>
    <m/>
    <m/>
    <m/>
    <m/>
    <m/>
    <m/>
    <n v="76"/>
    <n v="1"/>
    <n v="1"/>
    <n v="1"/>
    <n v="0"/>
    <n v="1"/>
    <n v="999"/>
    <n v="2"/>
    <s v="N8"/>
  </r>
  <r>
    <m/>
    <x v="35"/>
    <s v="A-493-3009"/>
    <s v="31VB"/>
    <x v="0"/>
    <d v="2026-02-27T00:00:00"/>
    <d v="2026-02-27T00:00:00"/>
    <s v="Funded"/>
    <m/>
    <d v="1899-12-30T13:45:00"/>
    <d v="1899-12-30T10:45:00"/>
    <d v="1899-12-30T21:45:00"/>
    <d v="1899-12-30T19:45:00"/>
    <d v="1899-12-30T08:45:00"/>
    <d v="1899-12-30T03:45:00"/>
    <s v="C. Gum"/>
    <m/>
    <m/>
    <n v="1000"/>
    <n v="1"/>
    <n v="0.1"/>
    <m/>
    <n v="1"/>
    <n v="0"/>
    <m/>
    <m/>
    <m/>
    <m/>
    <m/>
    <m/>
    <n v="76"/>
    <n v="1"/>
    <n v="1"/>
    <n v="1"/>
    <n v="0"/>
    <n v="1"/>
    <n v="999"/>
    <n v="2"/>
    <s v="N8"/>
  </r>
  <r>
    <m/>
    <x v="13"/>
    <s v="A-493-0069"/>
    <s v="450U"/>
    <x v="14"/>
    <d v="2026-03-02T00:00:00"/>
    <d v="2026-03-06T00:00:00"/>
    <s v="Funded"/>
    <d v="1899-12-30T08:00:00"/>
    <m/>
    <m/>
    <m/>
    <m/>
    <m/>
    <m/>
    <s v="B. Jung"/>
    <s v="A. Harris"/>
    <m/>
    <n v="25"/>
    <n v="40"/>
    <n v="5"/>
    <n v="27"/>
    <n v="1"/>
    <n v="0"/>
    <m/>
    <m/>
    <m/>
    <m/>
    <m/>
    <m/>
    <n v="83"/>
    <n v="1"/>
    <n v="1"/>
    <n v="1"/>
    <n v="1"/>
    <n v="20"/>
    <n v="24"/>
    <n v="2"/>
    <s v="N3"/>
  </r>
  <r>
    <m/>
    <x v="48"/>
    <s v="A-493-0077"/>
    <s v="0381"/>
    <x v="29"/>
    <d v="2026-03-02T00:00:00"/>
    <d v="2026-03-04T00:00:00"/>
    <s v="Funded"/>
    <d v="1899-12-30T08:00:00"/>
    <m/>
    <m/>
    <m/>
    <m/>
    <m/>
    <m/>
    <s v="ENV Contractor"/>
    <m/>
    <m/>
    <n v="25"/>
    <n v="24"/>
    <n v="3"/>
    <n v="35"/>
    <n v="0"/>
    <m/>
    <m/>
    <m/>
    <m/>
    <m/>
    <m/>
    <m/>
    <n v="81"/>
    <n v="1"/>
    <n v="1"/>
    <n v="1"/>
    <n v="0"/>
    <n v="24"/>
    <n v="25"/>
    <n v="2"/>
    <s v="N4"/>
  </r>
  <r>
    <m/>
    <x v="7"/>
    <s v="A-493-0072"/>
    <s v="713U"/>
    <x v="17"/>
    <d v="2026-03-02T00:00:00"/>
    <d v="2026-03-06T00:00:00"/>
    <s v="Funded"/>
    <d v="1899-12-30T08:00:00"/>
    <m/>
    <m/>
    <m/>
    <m/>
    <m/>
    <m/>
    <s v="W. Mitchell"/>
    <m/>
    <s v="EMC Stroughn"/>
    <n v="30"/>
    <n v="40"/>
    <n v="5"/>
    <n v="36"/>
    <n v="4"/>
    <n v="0"/>
    <m/>
    <m/>
    <m/>
    <m/>
    <m/>
    <m/>
    <n v="83"/>
    <n v="1"/>
    <n v="1"/>
    <n v="1"/>
    <n v="0"/>
    <n v="40"/>
    <n v="26"/>
    <n v="2"/>
    <s v="N3"/>
  </r>
  <r>
    <m/>
    <x v="5"/>
    <s v="A-322-2604"/>
    <s v="10ZZ"/>
    <x v="0"/>
    <d v="2026-03-02T00:00:00"/>
    <d v="2026-03-04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63"/>
    <n v="3"/>
    <n v="0"/>
    <m/>
    <m/>
    <m/>
    <m/>
    <m/>
    <m/>
    <n v="81"/>
    <n v="1"/>
    <n v="1"/>
    <n v="1"/>
    <n v="0"/>
    <n v="24"/>
    <n v="42"/>
    <n v="2"/>
    <s v="N8"/>
  </r>
  <r>
    <m/>
    <x v="1"/>
    <s v="A-493-0099"/>
    <s v="12JW"/>
    <x v="0"/>
    <d v="2026-03-03T00:00:00"/>
    <d v="2026-03-05T00:00:00"/>
    <s v="Funded"/>
    <m/>
    <d v="1899-12-30T12:00:00"/>
    <d v="1899-12-30T09:00:00"/>
    <d v="1899-12-30T20:00:00"/>
    <d v="1899-12-30T18:00:00"/>
    <d v="1899-12-30T07:00:00"/>
    <d v="1899-12-30T02:00:00"/>
    <s v="V. Kentish"/>
    <m/>
    <m/>
    <n v="45"/>
    <n v="24"/>
    <n v="3"/>
    <n v="934"/>
    <n v="7"/>
    <n v="0"/>
    <m/>
    <m/>
    <m/>
    <m/>
    <m/>
    <m/>
    <n v="82"/>
    <n v="1"/>
    <n v="1"/>
    <n v="1"/>
    <n v="0"/>
    <n v="24"/>
    <n v="38"/>
    <n v="2"/>
    <s v="N5"/>
  </r>
  <r>
    <m/>
    <x v="10"/>
    <s v="A-493-0083"/>
    <s v="339E"/>
    <x v="29"/>
    <d v="2026-03-05T00:00:00"/>
    <d v="2026-03-05T00:00:00"/>
    <s v="Funded"/>
    <d v="1899-12-30T08:00:00"/>
    <m/>
    <m/>
    <m/>
    <m/>
    <m/>
    <m/>
    <s v="ENV Contractor"/>
    <m/>
    <m/>
    <n v="30"/>
    <n v="8"/>
    <n v="1"/>
    <n v="60"/>
    <n v="0"/>
    <m/>
    <m/>
    <m/>
    <m/>
    <m/>
    <m/>
    <m/>
    <n v="82"/>
    <n v="1"/>
    <n v="1"/>
    <n v="1"/>
    <n v="0"/>
    <n v="8"/>
    <n v="30"/>
    <n v="2"/>
    <s v="N4"/>
  </r>
  <r>
    <m/>
    <x v="3"/>
    <s v="A-493-0103"/>
    <s v="12JY"/>
    <x v="30"/>
    <d v="2026-03-09T00:00:00"/>
    <d v="2026-03-13T00:00:00"/>
    <s v="Funded"/>
    <d v="1899-12-30T08:00:00"/>
    <m/>
    <m/>
    <m/>
    <m/>
    <m/>
    <m/>
    <s v="SOH Contractor"/>
    <m/>
    <m/>
    <n v="25"/>
    <n v="40"/>
    <n v="5"/>
    <n v="52"/>
    <n v="6"/>
    <n v="0"/>
    <m/>
    <m/>
    <m/>
    <m/>
    <m/>
    <m/>
    <n v="90"/>
    <n v="1"/>
    <n v="1"/>
    <n v="1"/>
    <n v="0"/>
    <n v="40"/>
    <n v="19"/>
    <n v="2"/>
    <s v="N5"/>
  </r>
  <r>
    <m/>
    <x v="36"/>
    <s v="A-493-0014"/>
    <n v="3878"/>
    <x v="14"/>
    <d v="2026-03-09T00:00:00"/>
    <d v="2026-03-11T00:00:00"/>
    <s v="Funded"/>
    <d v="1899-12-30T08:00:00"/>
    <m/>
    <m/>
    <m/>
    <m/>
    <m/>
    <m/>
    <s v="B. Jung"/>
    <s v="A. Harris"/>
    <m/>
    <n v="25"/>
    <n v="24"/>
    <n v="3"/>
    <n v="35"/>
    <n v="3"/>
    <n v="0"/>
    <m/>
    <m/>
    <m/>
    <m/>
    <m/>
    <m/>
    <n v="88"/>
    <n v="1"/>
    <n v="1"/>
    <n v="1"/>
    <n v="1"/>
    <n v="12"/>
    <n v="22"/>
    <n v="2"/>
    <s v="N3"/>
  </r>
  <r>
    <m/>
    <x v="52"/>
    <s v="A-760-2166"/>
    <s v="438J"/>
    <x v="17"/>
    <d v="2026-03-09T00:00:00"/>
    <d v="2026-03-10T00:00:00"/>
    <s v="Funded"/>
    <d v="1899-12-30T08:00:00"/>
    <m/>
    <m/>
    <m/>
    <m/>
    <m/>
    <m/>
    <s v="W. Mitchell"/>
    <m/>
    <s v="EMC Stroughn"/>
    <n v="25"/>
    <n v="16"/>
    <n v="2"/>
    <m/>
    <n v="8"/>
    <n v="0"/>
    <m/>
    <m/>
    <m/>
    <m/>
    <m/>
    <m/>
    <n v="87"/>
    <n v="1"/>
    <n v="1"/>
    <n v="1"/>
    <n v="0"/>
    <n v="16"/>
    <n v="17"/>
    <n v="2"/>
    <s v="N3"/>
  </r>
  <r>
    <s v="CFA Sasebo"/>
    <x v="15"/>
    <s v="A-493-0012"/>
    <n v="3682"/>
    <x v="22"/>
    <d v="2026-03-09T00:00:00"/>
    <d v="2026-03-13T00:00:00"/>
    <s v="Funded"/>
    <d v="1899-12-30T08:00:00"/>
    <m/>
    <m/>
    <m/>
    <m/>
    <m/>
    <m/>
    <s v="R. Hartel"/>
    <m/>
    <m/>
    <n v="40"/>
    <n v="40"/>
    <n v="5"/>
    <n v="51"/>
    <n v="1"/>
    <m/>
    <m/>
    <m/>
    <m/>
    <m/>
    <m/>
    <m/>
    <n v="90"/>
    <n v="1"/>
    <n v="1"/>
    <n v="1"/>
    <n v="0"/>
    <n v="40"/>
    <n v="39"/>
    <n v="2"/>
    <s v="N4"/>
  </r>
  <r>
    <s v="Naval Station Mayport"/>
    <x v="15"/>
    <s v="A-493-0012"/>
    <n v="3682"/>
    <x v="6"/>
    <d v="2026-03-09T00:00:00"/>
    <d v="2026-03-13T00:00:00"/>
    <s v="Funded"/>
    <d v="1899-12-30T08:00:00"/>
    <m/>
    <m/>
    <m/>
    <m/>
    <m/>
    <m/>
    <s v="W. Bailey"/>
    <m/>
    <m/>
    <n v="40"/>
    <n v="40"/>
    <n v="5"/>
    <n v="30"/>
    <n v="0"/>
    <m/>
    <m/>
    <m/>
    <m/>
    <m/>
    <m/>
    <m/>
    <n v="90"/>
    <n v="1"/>
    <n v="1"/>
    <n v="1"/>
    <n v="0"/>
    <n v="40"/>
    <n v="40"/>
    <n v="2"/>
    <s v="N4"/>
  </r>
  <r>
    <m/>
    <x v="4"/>
    <s v="A-493-0061"/>
    <s v="288E"/>
    <x v="0"/>
    <d v="2026-03-09T00:00:00"/>
    <d v="2026-03-12T00:00:00"/>
    <s v="Funded"/>
    <m/>
    <d v="1899-12-30T19:00:00"/>
    <d v="1899-12-30T16:00:00"/>
    <d v="1899-12-30T02:00:00"/>
    <d v="1899-12-30T00:00:00"/>
    <d v="1899-12-30T13:00:00"/>
    <d v="1899-12-30T08:00:00"/>
    <s v="S. Griffin"/>
    <m/>
    <m/>
    <n v="45"/>
    <n v="30"/>
    <n v="4"/>
    <n v="187"/>
    <n v="8"/>
    <n v="0"/>
    <m/>
    <m/>
    <m/>
    <m/>
    <m/>
    <m/>
    <n v="89"/>
    <n v="1"/>
    <n v="1"/>
    <n v="1"/>
    <n v="0"/>
    <n v="30"/>
    <n v="37"/>
    <n v="2"/>
    <s v="N5"/>
  </r>
  <r>
    <m/>
    <x v="38"/>
    <s v="A-570-0100"/>
    <s v="18B7"/>
    <x v="0"/>
    <d v="2026-03-09T00:00:00"/>
    <d v="2026-03-10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21"/>
    <n v="4"/>
    <n v="0"/>
    <m/>
    <m/>
    <m/>
    <m/>
    <m/>
    <m/>
    <n v="87"/>
    <n v="1"/>
    <n v="1"/>
    <n v="1"/>
    <n v="0"/>
    <n v="16"/>
    <n v="41"/>
    <n v="2"/>
    <s v="N8"/>
  </r>
  <r>
    <m/>
    <x v="0"/>
    <s v="A-493-0550"/>
    <s v="09K5"/>
    <x v="0"/>
    <d v="2026-03-09T00:00:00"/>
    <d v="2026-03-12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n v="5"/>
    <n v="0"/>
    <m/>
    <m/>
    <m/>
    <m/>
    <m/>
    <m/>
    <n v="89"/>
    <n v="1"/>
    <n v="1"/>
    <n v="1"/>
    <n v="0"/>
    <n v="32"/>
    <n v="40"/>
    <n v="2"/>
    <s v="N5"/>
  </r>
  <r>
    <m/>
    <x v="6"/>
    <s v="A-493-0078"/>
    <n v="1228"/>
    <x v="0"/>
    <d v="2026-03-09T00:00:00"/>
    <d v="2026-03-12T00:00:00"/>
    <s v="Funded"/>
    <m/>
    <d v="1899-12-30T19:00:00"/>
    <d v="1899-12-30T16:00:00"/>
    <d v="1899-12-30T02:00:00"/>
    <d v="1899-12-30T00:00:00"/>
    <d v="1899-12-30T13:00:00"/>
    <d v="1899-12-30T08:00:00"/>
    <s v="T. White"/>
    <m/>
    <m/>
    <n v="45"/>
    <n v="32"/>
    <n v="4"/>
    <n v="181"/>
    <n v="7"/>
    <n v="0"/>
    <m/>
    <m/>
    <m/>
    <m/>
    <m/>
    <m/>
    <n v="89"/>
    <n v="1"/>
    <n v="1"/>
    <n v="1"/>
    <n v="0"/>
    <n v="32"/>
    <n v="38"/>
    <n v="2"/>
    <s v="N5"/>
  </r>
  <r>
    <m/>
    <x v="48"/>
    <s v="A-493-0077"/>
    <s v="0381"/>
    <x v="31"/>
    <d v="2026-03-10T00:00:00"/>
    <d v="2026-03-12T00:00:00"/>
    <s v="Funded"/>
    <d v="1899-12-30T08:00:00"/>
    <m/>
    <m/>
    <m/>
    <m/>
    <m/>
    <m/>
    <s v="ENV Contractor"/>
    <m/>
    <m/>
    <n v="25"/>
    <n v="24"/>
    <n v="3"/>
    <n v="28"/>
    <n v="0"/>
    <m/>
    <m/>
    <m/>
    <m/>
    <m/>
    <m/>
    <m/>
    <n v="89"/>
    <n v="1"/>
    <n v="1"/>
    <n v="1"/>
    <n v="0"/>
    <n v="24"/>
    <n v="25"/>
    <n v="2"/>
    <s v="N4"/>
  </r>
  <r>
    <m/>
    <x v="12"/>
    <s v="A-493-0331"/>
    <s v="10UG"/>
    <x v="0"/>
    <d v="2026-03-10T00:00:00"/>
    <d v="2026-03-12T00:00:00"/>
    <s v="Funded"/>
    <m/>
    <d v="1899-12-30T12:00:00"/>
    <d v="1899-12-30T09:00:00"/>
    <d v="1899-12-30T19:00:00"/>
    <d v="1899-12-30T18:00:00"/>
    <d v="1899-12-30T06:00:00"/>
    <d v="1899-12-30T01:00:00"/>
    <s v="A. Harris"/>
    <m/>
    <m/>
    <n v="45"/>
    <n v="24"/>
    <n v="3"/>
    <n v="844"/>
    <n v="5"/>
    <n v="0"/>
    <m/>
    <m/>
    <m/>
    <m/>
    <m/>
    <m/>
    <n v="89"/>
    <n v="1"/>
    <n v="1"/>
    <n v="1"/>
    <n v="0"/>
    <n v="24"/>
    <n v="40"/>
    <n v="2"/>
    <s v="N3"/>
  </r>
  <r>
    <m/>
    <x v="39"/>
    <s v="A-493-0019"/>
    <n v="3882"/>
    <x v="14"/>
    <d v="2026-03-12T00:00:00"/>
    <d v="2026-03-13T00:00:00"/>
    <s v="Funded"/>
    <d v="1899-12-30T08:00:00"/>
    <m/>
    <m/>
    <m/>
    <m/>
    <m/>
    <m/>
    <s v="B. Jung"/>
    <s v="A. Harris"/>
    <m/>
    <n v="25"/>
    <n v="16"/>
    <n v="2"/>
    <n v="9"/>
    <n v="2"/>
    <n v="0"/>
    <m/>
    <m/>
    <m/>
    <m/>
    <m/>
    <m/>
    <n v="90"/>
    <n v="1"/>
    <n v="1"/>
    <n v="1"/>
    <n v="1"/>
    <n v="8"/>
    <n v="23"/>
    <n v="2"/>
    <s v="N3"/>
  </r>
  <r>
    <m/>
    <x v="10"/>
    <s v="A-493-0083"/>
    <s v="339E"/>
    <x v="31"/>
    <d v="2026-03-13T00:00:00"/>
    <d v="2026-03-13T00:00:00"/>
    <s v="Funded"/>
    <d v="1899-12-30T08:00:00"/>
    <m/>
    <m/>
    <m/>
    <m/>
    <m/>
    <m/>
    <s v="ENV Contractor"/>
    <m/>
    <m/>
    <n v="30"/>
    <n v="8"/>
    <n v="1"/>
    <n v="30"/>
    <n v="8"/>
    <m/>
    <m/>
    <m/>
    <m/>
    <m/>
    <m/>
    <m/>
    <n v="90"/>
    <n v="1"/>
    <n v="1"/>
    <n v="1"/>
    <n v="0"/>
    <n v="8"/>
    <n v="22"/>
    <n v="2"/>
    <s v="N4"/>
  </r>
  <r>
    <m/>
    <x v="3"/>
    <s v="A-493-0103"/>
    <s v="12JY"/>
    <x v="30"/>
    <d v="2026-03-16T00:00:00"/>
    <d v="2026-03-20T00:00:00"/>
    <s v="Funded"/>
    <d v="1899-12-30T08:00:00"/>
    <m/>
    <m/>
    <m/>
    <m/>
    <m/>
    <m/>
    <s v="SOH Contractor"/>
    <m/>
    <m/>
    <n v="25"/>
    <n v="40"/>
    <n v="5"/>
    <n v="52"/>
    <n v="4"/>
    <n v="0"/>
    <m/>
    <m/>
    <m/>
    <m/>
    <m/>
    <m/>
    <n v="97"/>
    <n v="1"/>
    <n v="1"/>
    <n v="1"/>
    <n v="0"/>
    <n v="40"/>
    <n v="21"/>
    <n v="2"/>
    <s v="N5"/>
  </r>
  <r>
    <m/>
    <x v="43"/>
    <s v="A-4J-0022"/>
    <s v="09ER"/>
    <x v="0"/>
    <d v="2026-03-16T00:00:00"/>
    <d v="2026-03-20T00:00:00"/>
    <s v="Funded"/>
    <m/>
    <d v="1899-12-30T19:00:00"/>
    <d v="1899-12-30T16:00:00"/>
    <d v="1899-12-30T02:00:00"/>
    <d v="1899-12-30T00:00:00"/>
    <d v="1899-12-30T13:00:00"/>
    <d v="1899-12-30T08:00:00"/>
    <s v="K. Seo"/>
    <m/>
    <m/>
    <n v="45"/>
    <n v="16"/>
    <n v="2"/>
    <n v="63"/>
    <n v="5"/>
    <m/>
    <m/>
    <m/>
    <m/>
    <m/>
    <m/>
    <m/>
    <n v="97"/>
    <n v="1"/>
    <n v="1"/>
    <n v="1"/>
    <n v="0"/>
    <n v="16"/>
    <n v="40"/>
    <n v="2"/>
    <s v="N4"/>
  </r>
  <r>
    <m/>
    <x v="45"/>
    <s v="A-493-0070"/>
    <s v="450V"/>
    <x v="14"/>
    <d v="2026-03-16T00:00:00"/>
    <d v="2026-03-16T00:00:00"/>
    <s v="Funded"/>
    <d v="1899-12-30T08:00:00"/>
    <m/>
    <m/>
    <m/>
    <m/>
    <m/>
    <m/>
    <s v="B. Jung"/>
    <s v="A. Harris"/>
    <m/>
    <n v="30"/>
    <n v="8"/>
    <n v="1"/>
    <n v="13"/>
    <n v="0"/>
    <n v="0"/>
    <m/>
    <m/>
    <m/>
    <m/>
    <m/>
    <m/>
    <n v="93"/>
    <n v="1"/>
    <n v="1"/>
    <n v="1"/>
    <n v="1"/>
    <n v="4"/>
    <n v="30"/>
    <n v="2"/>
    <s v="N3"/>
  </r>
  <r>
    <s v="DFSP Sasebo"/>
    <x v="50"/>
    <s v="A-493-0013"/>
    <n v="3683"/>
    <x v="22"/>
    <d v="2026-03-16T00:00:00"/>
    <d v="2026-03-18T00:00:00"/>
    <s v="Funded"/>
    <d v="1899-12-30T08:00:00"/>
    <m/>
    <m/>
    <m/>
    <m/>
    <m/>
    <m/>
    <s v="R. Hartel"/>
    <m/>
    <m/>
    <n v="40"/>
    <n v="24"/>
    <n v="3"/>
    <n v="72"/>
    <n v="0"/>
    <m/>
    <m/>
    <m/>
    <m/>
    <m/>
    <m/>
    <m/>
    <n v="95"/>
    <n v="1"/>
    <n v="1"/>
    <n v="1"/>
    <n v="0"/>
    <n v="24"/>
    <n v="40"/>
    <n v="2"/>
    <s v="N4"/>
  </r>
  <r>
    <m/>
    <x v="48"/>
    <s v="A-493-0077"/>
    <s v="0381"/>
    <x v="32"/>
    <d v="2026-03-16T00:00:00"/>
    <d v="2026-03-18T00:00:00"/>
    <s v="Funded"/>
    <d v="1899-12-30T08:00:00"/>
    <m/>
    <m/>
    <m/>
    <m/>
    <m/>
    <m/>
    <s v="ENV Contractor"/>
    <m/>
    <m/>
    <n v="25"/>
    <n v="24"/>
    <n v="3"/>
    <n v="28"/>
    <n v="0"/>
    <m/>
    <m/>
    <m/>
    <m/>
    <m/>
    <m/>
    <m/>
    <n v="95"/>
    <n v="1"/>
    <n v="1"/>
    <n v="1"/>
    <n v="0"/>
    <n v="24"/>
    <n v="25"/>
    <n v="2"/>
    <s v="N4"/>
  </r>
  <r>
    <m/>
    <x v="53"/>
    <s v="A-493-2017"/>
    <s v="12x3"/>
    <x v="17"/>
    <d v="2026-03-16T00:00:00"/>
    <d v="2026-03-20T00:00:00"/>
    <s v="Funded"/>
    <d v="1899-12-30T08:00:00"/>
    <m/>
    <m/>
    <m/>
    <m/>
    <m/>
    <m/>
    <s v="ENV Contractor"/>
    <m/>
    <m/>
    <n v="25"/>
    <n v="40"/>
    <n v="5"/>
    <n v="36"/>
    <n v="3"/>
    <m/>
    <m/>
    <m/>
    <m/>
    <m/>
    <m/>
    <m/>
    <n v="97"/>
    <n v="1"/>
    <n v="1"/>
    <n v="1"/>
    <n v="0"/>
    <n v="40"/>
    <n v="22"/>
    <n v="2"/>
    <s v="N4"/>
  </r>
  <r>
    <m/>
    <x v="5"/>
    <s v="A-322-2604"/>
    <s v="10ZZ"/>
    <x v="0"/>
    <d v="2026-03-16T00:00:00"/>
    <d v="2026-03-18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63"/>
    <n v="5"/>
    <n v="0"/>
    <m/>
    <m/>
    <m/>
    <m/>
    <m/>
    <m/>
    <n v="95"/>
    <n v="1"/>
    <n v="1"/>
    <n v="1"/>
    <n v="0"/>
    <n v="24"/>
    <n v="40"/>
    <n v="2"/>
    <s v="N8"/>
  </r>
  <r>
    <m/>
    <x v="1"/>
    <s v="A-493-0099"/>
    <s v="12JW"/>
    <x v="0"/>
    <d v="2026-03-17T00:00:00"/>
    <d v="2026-03-19T00:00:00"/>
    <s v="Funded"/>
    <m/>
    <d v="1899-12-30T19:00:00"/>
    <d v="1899-12-30T16:00:00"/>
    <d v="1899-12-30T02:00:00"/>
    <d v="1899-12-30T00:00:00"/>
    <d v="1899-12-30T13:00:00"/>
    <d v="1899-12-30T08:00:00"/>
    <s v="V. Kentish"/>
    <m/>
    <m/>
    <n v="45"/>
    <n v="24"/>
    <n v="3"/>
    <n v="224"/>
    <n v="9"/>
    <n v="0"/>
    <m/>
    <m/>
    <m/>
    <m/>
    <m/>
    <m/>
    <n v="96"/>
    <n v="1"/>
    <n v="1"/>
    <n v="1"/>
    <n v="0"/>
    <n v="24"/>
    <n v="36"/>
    <n v="2"/>
    <s v="N5"/>
  </r>
  <r>
    <m/>
    <x v="46"/>
    <s v="A-493-0015"/>
    <n v="3879"/>
    <x v="14"/>
    <d v="2026-03-17T00:00:00"/>
    <d v="2026-03-17T00:00:00"/>
    <s v="Funded"/>
    <d v="1899-12-30T08:00:00"/>
    <m/>
    <m/>
    <m/>
    <m/>
    <m/>
    <m/>
    <s v="B. Jung"/>
    <s v="A. Harris"/>
    <m/>
    <n v="30"/>
    <n v="4"/>
    <n v="0.5"/>
    <n v="33"/>
    <n v="0"/>
    <n v="0"/>
    <m/>
    <m/>
    <m/>
    <m/>
    <m/>
    <m/>
    <n v="94"/>
    <n v="1"/>
    <n v="1"/>
    <n v="1"/>
    <n v="1"/>
    <n v="2"/>
    <n v="30"/>
    <n v="2"/>
    <s v="N3"/>
  </r>
  <r>
    <m/>
    <x v="47"/>
    <s v="A-493-0020"/>
    <n v="3888"/>
    <x v="14"/>
    <d v="2026-03-17T00:00:00"/>
    <d v="2026-03-17T00:00:00"/>
    <s v="Funded"/>
    <d v="1903-07-23T12:00:00"/>
    <m/>
    <m/>
    <m/>
    <m/>
    <m/>
    <m/>
    <s v="B. Jung"/>
    <s v="A. Harris"/>
    <m/>
    <n v="30"/>
    <n v="4"/>
    <n v="0.5"/>
    <n v="36"/>
    <n v="0"/>
    <n v="0"/>
    <m/>
    <m/>
    <m/>
    <m/>
    <m/>
    <m/>
    <n v="94"/>
    <n v="1"/>
    <n v="1"/>
    <n v="1"/>
    <n v="1"/>
    <n v="2"/>
    <n v="30"/>
    <n v="2"/>
    <s v="N3"/>
  </r>
  <r>
    <m/>
    <x v="48"/>
    <s v="A-493-0077"/>
    <s v="0381"/>
    <x v="33"/>
    <d v="2026-03-17T00:00:00"/>
    <d v="2026-03-19T00:00:00"/>
    <s v="Funded"/>
    <d v="1899-12-30T08:00:00"/>
    <m/>
    <m/>
    <m/>
    <m/>
    <m/>
    <m/>
    <s v="ENV Contractor"/>
    <m/>
    <m/>
    <n v="25"/>
    <n v="24"/>
    <n v="3"/>
    <n v="49"/>
    <n v="0"/>
    <m/>
    <m/>
    <m/>
    <m/>
    <m/>
    <m/>
    <m/>
    <n v="96"/>
    <n v="1"/>
    <n v="1"/>
    <n v="1"/>
    <n v="0"/>
    <n v="24"/>
    <n v="25"/>
    <n v="2"/>
    <s v="N4"/>
  </r>
  <r>
    <m/>
    <x v="52"/>
    <s v="A-760-2166"/>
    <s v="438J"/>
    <x v="14"/>
    <d v="2026-03-18T00:00:00"/>
    <d v="2026-03-19T00:00:00"/>
    <s v="Funded"/>
    <d v="1899-12-30T08:00:00"/>
    <m/>
    <m/>
    <m/>
    <m/>
    <m/>
    <m/>
    <s v="B. Jung"/>
    <s v="A. Harris"/>
    <m/>
    <n v="25"/>
    <n v="16"/>
    <n v="2"/>
    <n v="12"/>
    <n v="0"/>
    <n v="0"/>
    <m/>
    <m/>
    <m/>
    <m/>
    <m/>
    <m/>
    <n v="96"/>
    <n v="1"/>
    <n v="1"/>
    <n v="1"/>
    <n v="1"/>
    <n v="8"/>
    <n v="25"/>
    <n v="2"/>
    <s v="N3"/>
  </r>
  <r>
    <m/>
    <x v="10"/>
    <s v="A-493-0083"/>
    <s v="339E"/>
    <x v="32"/>
    <d v="2026-03-19T00:00:00"/>
    <d v="2026-03-19T00:00:00"/>
    <s v="Funded"/>
    <d v="1899-12-30T08:00:00"/>
    <m/>
    <m/>
    <m/>
    <m/>
    <m/>
    <m/>
    <s v="ENV Contractor"/>
    <m/>
    <m/>
    <n v="30"/>
    <n v="8"/>
    <n v="1"/>
    <n v="30"/>
    <n v="0"/>
    <m/>
    <m/>
    <m/>
    <m/>
    <m/>
    <m/>
    <m/>
    <n v="96"/>
    <n v="1"/>
    <n v="1"/>
    <n v="1"/>
    <n v="0"/>
    <n v="8"/>
    <n v="30"/>
    <n v="2"/>
    <s v="N4"/>
  </r>
  <r>
    <m/>
    <x v="10"/>
    <s v="A-493-0083"/>
    <s v="339E"/>
    <x v="33"/>
    <d v="2026-03-20T00:00:00"/>
    <d v="2026-03-20T00:00:00"/>
    <s v="Funded"/>
    <d v="1899-12-30T08:00:00"/>
    <m/>
    <m/>
    <m/>
    <m/>
    <m/>
    <m/>
    <s v="ENV Contractor"/>
    <m/>
    <m/>
    <n v="30"/>
    <n v="8"/>
    <n v="1"/>
    <n v="30"/>
    <n v="0"/>
    <m/>
    <m/>
    <m/>
    <m/>
    <m/>
    <m/>
    <m/>
    <n v="97"/>
    <n v="1"/>
    <n v="1"/>
    <n v="1"/>
    <n v="0"/>
    <n v="8"/>
    <n v="30"/>
    <n v="2"/>
    <s v="N4"/>
  </r>
  <r>
    <m/>
    <x v="16"/>
    <s v="A-493-3002"/>
    <s v="31V4"/>
    <x v="0"/>
    <d v="2026-03-22T00:00:00"/>
    <d v="2026-03-22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4"/>
    <n v="0.5"/>
    <m/>
    <n v="1"/>
    <n v="0"/>
    <m/>
    <m/>
    <m/>
    <m/>
    <m/>
    <m/>
    <n v="99"/>
    <n v="1"/>
    <n v="1"/>
    <n v="1"/>
    <n v="0"/>
    <n v="4"/>
    <n v="999"/>
    <n v="2"/>
    <s v="N8"/>
  </r>
  <r>
    <m/>
    <x v="3"/>
    <s v="A-493-0103"/>
    <s v="12JY"/>
    <x v="8"/>
    <d v="2026-03-23T00:00:00"/>
    <d v="2026-03-26T00:00:00"/>
    <s v="Funded"/>
    <d v="1899-12-30T08:00:00"/>
    <m/>
    <m/>
    <m/>
    <m/>
    <m/>
    <m/>
    <s v="SOH Contractor"/>
    <m/>
    <m/>
    <n v="25"/>
    <n v="40"/>
    <n v="5"/>
    <n v="516"/>
    <n v="9"/>
    <n v="0"/>
    <m/>
    <m/>
    <m/>
    <m/>
    <m/>
    <m/>
    <n v="103"/>
    <n v="1"/>
    <n v="1"/>
    <n v="1"/>
    <n v="0"/>
    <n v="40"/>
    <n v="16"/>
    <n v="2"/>
    <s v="N5"/>
  </r>
  <r>
    <s v="Naval Station Guantanamo Bay"/>
    <x v="15"/>
    <s v="A-493-0012"/>
    <n v="3682"/>
    <x v="34"/>
    <d v="2026-03-23T00:00:00"/>
    <d v="2026-03-27T00:00:00"/>
    <s v="Funded"/>
    <d v="1899-12-30T08:00:00"/>
    <m/>
    <m/>
    <m/>
    <m/>
    <m/>
    <m/>
    <s v="G. Jester"/>
    <m/>
    <m/>
    <n v="40"/>
    <n v="40"/>
    <n v="5"/>
    <n v="30"/>
    <n v="0"/>
    <m/>
    <m/>
    <m/>
    <m/>
    <m/>
    <m/>
    <m/>
    <n v="104"/>
    <n v="1"/>
    <n v="1"/>
    <n v="1"/>
    <n v="0"/>
    <n v="40"/>
    <n v="40"/>
    <n v="2"/>
    <s v="N4"/>
  </r>
  <r>
    <m/>
    <x v="4"/>
    <s v="A-493-0061"/>
    <s v="288E"/>
    <x v="0"/>
    <d v="2026-03-23T00:00:00"/>
    <d v="2026-03-26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n v="4"/>
    <n v="0"/>
    <m/>
    <m/>
    <m/>
    <m/>
    <m/>
    <m/>
    <n v="103"/>
    <n v="1"/>
    <n v="1"/>
    <n v="1"/>
    <n v="0"/>
    <n v="30"/>
    <n v="41"/>
    <n v="2"/>
    <s v="N5"/>
  </r>
  <r>
    <m/>
    <x v="48"/>
    <s v="A-493-0077"/>
    <s v="0381"/>
    <x v="16"/>
    <d v="2026-03-23T00:00:00"/>
    <d v="2026-03-25T00:00:00"/>
    <s v="Funded"/>
    <d v="1899-12-30T08:00:00"/>
    <m/>
    <m/>
    <m/>
    <m/>
    <m/>
    <m/>
    <s v="ENV Contractor"/>
    <m/>
    <m/>
    <n v="25"/>
    <n v="24"/>
    <n v="3"/>
    <n v="17"/>
    <n v="1"/>
    <m/>
    <m/>
    <m/>
    <m/>
    <m/>
    <m/>
    <m/>
    <n v="102"/>
    <n v="1"/>
    <n v="1"/>
    <n v="1"/>
    <n v="0"/>
    <n v="24"/>
    <n v="24"/>
    <n v="2"/>
    <s v="N4"/>
  </r>
  <r>
    <m/>
    <x v="48"/>
    <s v="A-493-0077"/>
    <s v="0381"/>
    <x v="35"/>
    <d v="2026-03-23T00:00:00"/>
    <d v="2026-03-25T00:00:00"/>
    <s v="Funded"/>
    <d v="1899-12-30T08:00:00"/>
    <m/>
    <m/>
    <m/>
    <m/>
    <m/>
    <m/>
    <s v="ENV Contractor"/>
    <m/>
    <m/>
    <n v="25"/>
    <n v="24"/>
    <n v="3"/>
    <n v="24"/>
    <n v="1"/>
    <m/>
    <m/>
    <m/>
    <m/>
    <m/>
    <m/>
    <m/>
    <n v="102"/>
    <n v="1"/>
    <n v="1"/>
    <n v="1"/>
    <n v="0"/>
    <n v="24"/>
    <n v="24"/>
    <n v="2"/>
    <s v="N4"/>
  </r>
  <r>
    <m/>
    <x v="40"/>
    <s v="A-493-0335"/>
    <s v="09ND"/>
    <x v="0"/>
    <d v="2026-03-23T00:00:00"/>
    <d v="2026-03-26T00:00:00"/>
    <s v="Funded"/>
    <m/>
    <d v="1899-12-30T12:00:00"/>
    <d v="1899-12-30T09:00:00"/>
    <d v="1899-12-30T19:00:00"/>
    <d v="1899-12-30T18:00:00"/>
    <d v="1899-12-30T06:00:00"/>
    <d v="1899-12-30T01:00:00"/>
    <s v="W. Mitchell"/>
    <m/>
    <m/>
    <n v="45"/>
    <n v="32"/>
    <n v="4"/>
    <n v="537"/>
    <n v="1"/>
    <n v="0"/>
    <m/>
    <m/>
    <m/>
    <m/>
    <m/>
    <m/>
    <n v="103"/>
    <n v="1"/>
    <n v="1"/>
    <n v="1"/>
    <n v="0"/>
    <n v="32"/>
    <n v="44"/>
    <n v="2"/>
    <s v="N3"/>
  </r>
  <r>
    <m/>
    <x v="42"/>
    <s v="A-493-0085"/>
    <n v="3555"/>
    <x v="0"/>
    <d v="2026-03-23T00:00:00"/>
    <d v="2026-03-26T00:00:00"/>
    <s v="Funded"/>
    <m/>
    <d v="1899-12-30T12:00:00"/>
    <d v="1899-12-30T09:00:00"/>
    <d v="1899-12-30T19:00:00"/>
    <d v="1899-12-30T18:00:00"/>
    <d v="1899-12-30T06:00:00"/>
    <d v="1899-12-30T01:00:00"/>
    <s v="B. Jung"/>
    <s v="A. Harris"/>
    <m/>
    <n v="45"/>
    <n v="32"/>
    <n v="4"/>
    <n v="688"/>
    <n v="0"/>
    <n v="0"/>
    <m/>
    <m/>
    <m/>
    <m/>
    <m/>
    <m/>
    <n v="103"/>
    <n v="1"/>
    <n v="1"/>
    <n v="1"/>
    <n v="1"/>
    <n v="16"/>
    <n v="45"/>
    <n v="2"/>
    <s v="N3"/>
  </r>
  <r>
    <m/>
    <x v="2"/>
    <s v="A-493-2501"/>
    <s v="05ZE"/>
    <x v="36"/>
    <d v="2026-03-23T00:00:00"/>
    <d v="2026-03-23T00:00:00"/>
    <s v="Funded"/>
    <d v="1899-12-30T08:00:00"/>
    <m/>
    <m/>
    <m/>
    <m/>
    <m/>
    <m/>
    <s v="ENV Contractor"/>
    <m/>
    <m/>
    <n v="30"/>
    <n v="8"/>
    <n v="1"/>
    <n v="30"/>
    <n v="0"/>
    <m/>
    <m/>
    <m/>
    <m/>
    <m/>
    <m/>
    <m/>
    <n v="100"/>
    <n v="1"/>
    <n v="1"/>
    <n v="1"/>
    <n v="0"/>
    <n v="8"/>
    <n v="30"/>
    <n v="2"/>
    <s v="N4"/>
  </r>
  <r>
    <m/>
    <x v="38"/>
    <s v="A-570-0100"/>
    <s v="18B7"/>
    <x v="0"/>
    <d v="2026-03-23T00:00:00"/>
    <d v="2026-03-24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21"/>
    <n v="1"/>
    <n v="0"/>
    <m/>
    <m/>
    <m/>
    <m/>
    <m/>
    <m/>
    <n v="101"/>
    <n v="1"/>
    <n v="1"/>
    <n v="1"/>
    <n v="0"/>
    <n v="16"/>
    <n v="44"/>
    <n v="2"/>
    <s v="N8"/>
  </r>
  <r>
    <m/>
    <x v="23"/>
    <s v="A-493-3010"/>
    <s v="31VC"/>
    <x v="0"/>
    <d v="2026-03-23T00:00:00"/>
    <d v="2026-03-23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3.5"/>
    <n v="0.4"/>
    <m/>
    <n v="1"/>
    <n v="0"/>
    <m/>
    <m/>
    <m/>
    <m/>
    <m/>
    <m/>
    <n v="100"/>
    <n v="1"/>
    <n v="1"/>
    <n v="1"/>
    <n v="0"/>
    <n v="3.5"/>
    <n v="999"/>
    <n v="2"/>
    <s v="N8"/>
  </r>
  <r>
    <m/>
    <x v="17"/>
    <s v="A-493-3003"/>
    <s v="31V5"/>
    <x v="0"/>
    <d v="2026-03-23T00:00:00"/>
    <d v="2026-03-23T00:00:00"/>
    <s v="Funded"/>
    <m/>
    <d v="1899-12-30T02:00:00"/>
    <d v="1899-12-30T23:00:00"/>
    <d v="1899-12-30T09:00:00"/>
    <d v="1899-12-30T07:00:00"/>
    <d v="1899-12-30T21:00:00"/>
    <d v="1899-12-30T15:00:00"/>
    <s v="C. Gum"/>
    <m/>
    <m/>
    <n v="1000"/>
    <n v="0.75"/>
    <n v="0.1"/>
    <m/>
    <n v="1"/>
    <n v="0"/>
    <m/>
    <m/>
    <m/>
    <m/>
    <m/>
    <m/>
    <n v="100"/>
    <n v="1"/>
    <n v="1"/>
    <n v="1"/>
    <n v="0"/>
    <n v="0.75"/>
    <n v="999"/>
    <n v="2"/>
    <s v="N8"/>
  </r>
  <r>
    <m/>
    <x v="18"/>
    <s v="A-493-3006"/>
    <s v="31V8"/>
    <x v="0"/>
    <d v="2026-03-23T00:00:00"/>
    <d v="2026-03-23T00:00:00"/>
    <s v="Funded"/>
    <m/>
    <d v="1899-12-30T00:01:00"/>
    <d v="1899-12-30T21:00:00"/>
    <d v="1899-12-30T19:00:00"/>
    <d v="1899-12-30T05:00:00"/>
    <d v="1899-12-30T19:00:00"/>
    <d v="1899-12-30T13:00:00"/>
    <s v="C. Gum"/>
    <m/>
    <m/>
    <n v="1000"/>
    <n v="0.75"/>
    <n v="0.1"/>
    <m/>
    <n v="1"/>
    <n v="0"/>
    <m/>
    <m/>
    <m/>
    <m/>
    <m/>
    <m/>
    <n v="100"/>
    <n v="1"/>
    <n v="1"/>
    <n v="1"/>
    <n v="0"/>
    <n v="0.75"/>
    <n v="999"/>
    <n v="2"/>
    <s v="N8"/>
  </r>
  <r>
    <m/>
    <x v="19"/>
    <s v="A-493-3007"/>
    <s v="31V9"/>
    <x v="0"/>
    <d v="2026-03-23T00:00:00"/>
    <d v="2026-03-23T00:00:00"/>
    <s v="Funded"/>
    <m/>
    <d v="1899-12-30T01:00:00"/>
    <d v="1899-12-30T22:00:00"/>
    <d v="1899-12-30T08:00:00"/>
    <d v="1899-12-30T06:00:00"/>
    <d v="1899-12-30T20:00:00"/>
    <d v="1899-12-30T14:00:00"/>
    <s v="C. Gum"/>
    <m/>
    <m/>
    <n v="1000"/>
    <n v="0.75"/>
    <n v="0.1"/>
    <m/>
    <n v="1"/>
    <n v="0"/>
    <m/>
    <m/>
    <m/>
    <m/>
    <m/>
    <m/>
    <n v="100"/>
    <n v="1"/>
    <n v="1"/>
    <n v="1"/>
    <n v="0"/>
    <n v="0.75"/>
    <n v="999"/>
    <n v="2"/>
    <s v="N8"/>
  </r>
  <r>
    <m/>
    <x v="8"/>
    <s v="A-493-2098"/>
    <s v="09WW"/>
    <x v="0"/>
    <d v="2026-03-23T00:00:00"/>
    <d v="2026-03-25T00:00:00"/>
    <s v="Funded"/>
    <m/>
    <d v="1899-12-30T19:00:00"/>
    <d v="1899-12-30T16:00:00"/>
    <d v="1899-12-30T02:00:00"/>
    <d v="1899-12-30T00:00:00"/>
    <d v="1899-12-30T13:00:00"/>
    <d v="1899-12-30T08:00:00"/>
    <s v="EMC Stroughn"/>
    <m/>
    <m/>
    <n v="100"/>
    <n v="16"/>
    <n v="3"/>
    <n v="356"/>
    <n v="13"/>
    <n v="0"/>
    <m/>
    <m/>
    <m/>
    <m/>
    <m/>
    <m/>
    <n v="102"/>
    <n v="1"/>
    <n v="1"/>
    <n v="1"/>
    <n v="0"/>
    <n v="16"/>
    <n v="87"/>
    <n v="2"/>
    <s v="N8"/>
  </r>
  <r>
    <m/>
    <x v="41"/>
    <s v="F-4J-0023"/>
    <s v="11A2"/>
    <x v="0"/>
    <d v="2026-03-23T00:00:00"/>
    <d v="2026-03-24T00:00:00"/>
    <s v="Funded"/>
    <m/>
    <d v="1899-12-30T08:00:00"/>
    <d v="1899-12-30T05:00:00"/>
    <d v="1899-12-30T15:00:00"/>
    <d v="1899-12-30T13:00:00"/>
    <d v="1899-12-30T02:00:00"/>
    <d v="1899-12-30T21:00:00"/>
    <s v="TBD"/>
    <m/>
    <m/>
    <n v="45"/>
    <n v="16"/>
    <n v="2"/>
    <n v="28"/>
    <n v="2"/>
    <n v="0"/>
    <m/>
    <m/>
    <m/>
    <m/>
    <m/>
    <m/>
    <n v="101"/>
    <n v="1"/>
    <n v="1"/>
    <n v="1"/>
    <n v="0"/>
    <n v="16"/>
    <n v="43"/>
    <n v="2"/>
    <s v="N8"/>
  </r>
  <r>
    <m/>
    <x v="0"/>
    <s v="A-493-0550"/>
    <s v="09K5"/>
    <x v="0"/>
    <d v="2026-03-23T00:00:00"/>
    <d v="2026-03-26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n v="4"/>
    <n v="0"/>
    <m/>
    <m/>
    <m/>
    <m/>
    <m/>
    <m/>
    <n v="103"/>
    <n v="1"/>
    <n v="1"/>
    <n v="1"/>
    <n v="0"/>
    <n v="32"/>
    <n v="41"/>
    <n v="2"/>
    <s v="N5"/>
  </r>
  <r>
    <m/>
    <x v="6"/>
    <s v="A-493-0078"/>
    <n v="1228"/>
    <x v="0"/>
    <d v="2026-03-23T00:00:00"/>
    <d v="2026-03-26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n v="5"/>
    <n v="0"/>
    <m/>
    <m/>
    <m/>
    <m/>
    <m/>
    <m/>
    <n v="103"/>
    <n v="1"/>
    <n v="1"/>
    <n v="1"/>
    <n v="0"/>
    <n v="32"/>
    <n v="40"/>
    <n v="2"/>
    <s v="N5"/>
  </r>
  <r>
    <m/>
    <x v="2"/>
    <s v="A-493-2501"/>
    <s v="05ZE"/>
    <x v="27"/>
    <d v="2026-03-24T00:00:00"/>
    <d v="2026-03-24T00:00:00"/>
    <s v="Funded"/>
    <d v="1899-12-30T08:00:00"/>
    <m/>
    <m/>
    <m/>
    <m/>
    <m/>
    <m/>
    <s v="ENV Contractor"/>
    <m/>
    <m/>
    <n v="30"/>
    <n v="8"/>
    <n v="1"/>
    <n v="28"/>
    <n v="0"/>
    <m/>
    <m/>
    <m/>
    <m/>
    <m/>
    <m/>
    <m/>
    <n v="101"/>
    <n v="1"/>
    <n v="1"/>
    <n v="1"/>
    <n v="0"/>
    <n v="8"/>
    <n v="30"/>
    <n v="2"/>
    <s v="N4"/>
  </r>
  <r>
    <m/>
    <x v="25"/>
    <s v="A-493-3004"/>
    <s v="31V6"/>
    <x v="0"/>
    <d v="2026-03-24T00:00:00"/>
    <d v="2026-03-24T00:00:00"/>
    <s v="Funded"/>
    <m/>
    <d v="1899-12-30T23:30:00"/>
    <d v="1899-12-30T20:30:00"/>
    <d v="1899-12-30T06:30:00"/>
    <d v="1899-12-30T04:30:00"/>
    <d v="1899-12-30T18:30:00"/>
    <d v="1899-12-30T12:30:00"/>
    <s v="C. Gum"/>
    <m/>
    <m/>
    <n v="1000"/>
    <n v="1.5"/>
    <n v="0.2"/>
    <m/>
    <n v="1"/>
    <n v="0"/>
    <m/>
    <m/>
    <m/>
    <m/>
    <m/>
    <m/>
    <n v="101"/>
    <n v="1"/>
    <n v="1"/>
    <n v="1"/>
    <n v="0"/>
    <n v="1.5"/>
    <n v="999"/>
    <n v="2"/>
    <s v="N8"/>
  </r>
  <r>
    <m/>
    <x v="22"/>
    <s v="A-493-3011"/>
    <s v="31VD"/>
    <x v="0"/>
    <d v="2026-03-24T00:00:00"/>
    <d v="2026-03-24T00:00:00"/>
    <s v="Funded"/>
    <m/>
    <d v="1899-12-30T00:01:00"/>
    <d v="1899-12-30T21:00:00"/>
    <d v="1899-12-30T19:00:00"/>
    <d v="1899-12-30T05:00:00"/>
    <d v="1899-12-30T19:00:00"/>
    <d v="1899-12-30T13:00:00"/>
    <s v="C. Gum"/>
    <m/>
    <m/>
    <n v="1000"/>
    <n v="2.5"/>
    <n v="0.3"/>
    <m/>
    <n v="1"/>
    <n v="0"/>
    <m/>
    <m/>
    <m/>
    <m/>
    <m/>
    <m/>
    <n v="101"/>
    <n v="1"/>
    <n v="1"/>
    <n v="1"/>
    <n v="0"/>
    <n v="2.5"/>
    <n v="999"/>
    <n v="2"/>
    <s v="N8"/>
  </r>
  <r>
    <m/>
    <x v="26"/>
    <s v="A-493-3001"/>
    <s v="31V3"/>
    <x v="0"/>
    <d v="2026-03-24T00:00:00"/>
    <d v="2026-03-24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2"/>
    <n v="0.25"/>
    <m/>
    <n v="1"/>
    <n v="0"/>
    <m/>
    <m/>
    <m/>
    <m/>
    <m/>
    <m/>
    <n v="101"/>
    <n v="1"/>
    <n v="1"/>
    <n v="1"/>
    <n v="0"/>
    <n v="2"/>
    <n v="999"/>
    <n v="2"/>
    <s v="N8"/>
  </r>
  <r>
    <m/>
    <x v="24"/>
    <s v="A-493-3018"/>
    <s v="31YM"/>
    <x v="0"/>
    <d v="2026-03-25T00:00:00"/>
    <d v="2026-03-25T00:00:00"/>
    <s v="Funded"/>
    <m/>
    <d v="1899-12-30T01:30:00"/>
    <d v="1899-12-30T22:30:00"/>
    <d v="1899-12-30T08:30:00"/>
    <d v="1899-12-30T06:30:00"/>
    <d v="1899-12-30T20:30:00"/>
    <d v="1899-12-30T14:30:00"/>
    <s v="C. Gum"/>
    <m/>
    <m/>
    <n v="1000"/>
    <n v="2.5"/>
    <n v="0.3"/>
    <m/>
    <n v="1"/>
    <n v="0"/>
    <m/>
    <m/>
    <m/>
    <m/>
    <m/>
    <m/>
    <n v="102"/>
    <n v="1"/>
    <n v="1"/>
    <n v="1"/>
    <n v="0"/>
    <n v="2.5"/>
    <n v="999"/>
    <n v="2"/>
    <s v="N8"/>
  </r>
  <r>
    <m/>
    <x v="27"/>
    <s v="A-493-3013"/>
    <s v="31YG"/>
    <x v="0"/>
    <d v="2026-03-25T00:00:00"/>
    <d v="2026-03-25T00:00:00"/>
    <s v="Funded"/>
    <m/>
    <d v="1899-12-30T21:30:00"/>
    <d v="1899-12-30T18:30:00"/>
    <d v="1899-12-30T04:30:00"/>
    <d v="1899-12-30T02:30:00"/>
    <d v="1899-12-30T16:30:00"/>
    <d v="1899-12-30T10:30:00"/>
    <s v="C. Gum"/>
    <m/>
    <m/>
    <n v="1000"/>
    <n v="1"/>
    <n v="0.1"/>
    <m/>
    <n v="1"/>
    <n v="0"/>
    <m/>
    <m/>
    <m/>
    <m/>
    <m/>
    <m/>
    <n v="102"/>
    <n v="1"/>
    <n v="1"/>
    <n v="1"/>
    <n v="0"/>
    <n v="1"/>
    <n v="999"/>
    <n v="2"/>
    <s v="N8"/>
  </r>
  <r>
    <m/>
    <x v="29"/>
    <s v="A-493-3015"/>
    <s v="31YJ"/>
    <x v="0"/>
    <d v="2026-03-25T00:00:00"/>
    <d v="2026-03-25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1"/>
    <n v="0.1"/>
    <m/>
    <n v="1"/>
    <n v="0"/>
    <m/>
    <m/>
    <m/>
    <m/>
    <m/>
    <m/>
    <n v="102"/>
    <n v="1"/>
    <n v="1"/>
    <n v="1"/>
    <n v="0"/>
    <n v="1"/>
    <n v="999"/>
    <n v="2"/>
    <s v="N8"/>
  </r>
  <r>
    <m/>
    <x v="30"/>
    <s v="A-493-3016"/>
    <s v="31Yk"/>
    <x v="0"/>
    <d v="2026-03-25T00:00:00"/>
    <d v="2026-03-25T00:00:00"/>
    <s v="Funded"/>
    <m/>
    <d v="1899-12-30T23:30:00"/>
    <d v="1899-12-30T20:30:00"/>
    <d v="1899-12-30T06:30:00"/>
    <d v="1899-12-30T04:30:00"/>
    <d v="1899-12-30T18:30:00"/>
    <d v="1899-12-30T12:30:00"/>
    <s v="C. Gum"/>
    <m/>
    <m/>
    <n v="1000"/>
    <n v="1"/>
    <n v="0.1"/>
    <m/>
    <n v="1"/>
    <n v="0"/>
    <m/>
    <m/>
    <m/>
    <m/>
    <m/>
    <m/>
    <n v="102"/>
    <n v="1"/>
    <n v="1"/>
    <n v="1"/>
    <n v="0"/>
    <n v="1"/>
    <n v="999"/>
    <n v="2"/>
    <s v="N8"/>
  </r>
  <r>
    <m/>
    <x v="10"/>
    <s v="A-493-0083"/>
    <s v="339E"/>
    <x v="6"/>
    <d v="2026-03-26T00:00:00"/>
    <d v="2026-03-26T00:00:00"/>
    <s v="Funded"/>
    <d v="1899-12-30T08:00:00"/>
    <m/>
    <m/>
    <m/>
    <m/>
    <m/>
    <m/>
    <s v="ENV Contractor"/>
    <m/>
    <m/>
    <n v="30"/>
    <n v="8"/>
    <n v="1"/>
    <n v="14"/>
    <n v="0"/>
    <m/>
    <m/>
    <m/>
    <m/>
    <m/>
    <m/>
    <m/>
    <n v="103"/>
    <n v="1"/>
    <n v="1"/>
    <n v="1"/>
    <n v="0"/>
    <n v="8"/>
    <n v="30"/>
    <n v="2"/>
    <s v="N4"/>
  </r>
  <r>
    <s v="CFA Sasebo"/>
    <x v="2"/>
    <s v="A-493-2501"/>
    <s v="05ZE"/>
    <x v="22"/>
    <d v="2026-03-26T00:00:00"/>
    <d v="2026-03-26T00:00:00"/>
    <s v="Funded"/>
    <d v="1899-12-30T08:00:00"/>
    <m/>
    <m/>
    <m/>
    <m/>
    <m/>
    <m/>
    <s v="ENV Contractor"/>
    <m/>
    <m/>
    <n v="30"/>
    <n v="8"/>
    <n v="1"/>
    <n v="40"/>
    <n v="0"/>
    <m/>
    <m/>
    <m/>
    <m/>
    <m/>
    <m/>
    <m/>
    <n v="103"/>
    <n v="1"/>
    <n v="1"/>
    <n v="1"/>
    <n v="0"/>
    <n v="8"/>
    <n v="30"/>
    <n v="2"/>
    <s v="N4"/>
  </r>
  <r>
    <m/>
    <x v="32"/>
    <s v="A-493-3005"/>
    <s v="31V7"/>
    <x v="0"/>
    <d v="2026-03-26T00:00:00"/>
    <d v="2026-03-26T00:00:00"/>
    <s v="Funded"/>
    <m/>
    <d v="1899-12-30T22:45:00"/>
    <d v="1899-12-30T19:45:00"/>
    <d v="1899-12-30T05:45:00"/>
    <d v="1899-12-30T03:45:00"/>
    <d v="1899-12-30T17:45:00"/>
    <d v="1899-12-30T11:45:00"/>
    <s v="C. Gum"/>
    <m/>
    <m/>
    <n v="1000"/>
    <n v="2"/>
    <n v="0.25"/>
    <m/>
    <n v="1"/>
    <n v="0"/>
    <m/>
    <m/>
    <m/>
    <m/>
    <m/>
    <m/>
    <n v="103"/>
    <n v="1"/>
    <n v="1"/>
    <n v="1"/>
    <n v="0"/>
    <n v="2"/>
    <n v="999"/>
    <n v="2"/>
    <s v="N8"/>
  </r>
  <r>
    <m/>
    <x v="28"/>
    <s v="A-493-3014"/>
    <s v="31Yh"/>
    <x v="0"/>
    <d v="2026-03-26T00:00:00"/>
    <d v="2026-03-26T00:00:00"/>
    <s v="Funded"/>
    <m/>
    <d v="1899-12-30T01:30:00"/>
    <d v="1899-12-30T22:30:00"/>
    <d v="1899-12-30T08:30:00"/>
    <d v="1899-12-30T06:30:00"/>
    <d v="1899-12-30T20:30:00"/>
    <d v="1899-12-30T14:30:00"/>
    <s v="C. Gum"/>
    <m/>
    <m/>
    <n v="1000"/>
    <n v="0.75"/>
    <n v="0.1"/>
    <m/>
    <n v="1"/>
    <n v="0"/>
    <m/>
    <m/>
    <m/>
    <m/>
    <m/>
    <m/>
    <n v="103"/>
    <n v="1"/>
    <n v="1"/>
    <n v="1"/>
    <n v="0"/>
    <n v="0.75"/>
    <n v="999"/>
    <n v="2"/>
    <s v="N8"/>
  </r>
  <r>
    <m/>
    <x v="34"/>
    <s v="A-493-3008"/>
    <s v="31VA"/>
    <x v="0"/>
    <d v="2026-03-26T00:00:00"/>
    <d v="2026-03-26T00:00:00"/>
    <s v="Funded"/>
    <m/>
    <d v="1899-12-30T20:00:00"/>
    <d v="1899-12-30T17:00:00"/>
    <d v="1899-12-30T03:00:00"/>
    <d v="1899-12-30T01:00:00"/>
    <d v="1899-12-30T15:00:00"/>
    <d v="1899-12-30T09:00:00"/>
    <s v="C. Gum"/>
    <m/>
    <m/>
    <n v="1000"/>
    <n v="1"/>
    <n v="0.1"/>
    <m/>
    <n v="1"/>
    <n v="0"/>
    <m/>
    <m/>
    <m/>
    <m/>
    <m/>
    <m/>
    <n v="103"/>
    <n v="1"/>
    <n v="1"/>
    <n v="1"/>
    <n v="0"/>
    <n v="1"/>
    <n v="999"/>
    <n v="2"/>
    <s v="N8"/>
  </r>
  <r>
    <m/>
    <x v="31"/>
    <s v="A-493-3012"/>
    <s v="31YF"/>
    <x v="0"/>
    <d v="2026-03-26T00:00:00"/>
    <d v="2026-03-26T00:00:00"/>
    <s v="Funded"/>
    <m/>
    <d v="1899-12-30T19:00:00"/>
    <d v="1899-12-30T16:00:00"/>
    <d v="1899-12-30T02:00:00"/>
    <d v="1899-12-30T00:01:00"/>
    <d v="1899-12-30T14:00:00"/>
    <d v="1899-12-30T08:00:00"/>
    <s v="C. Gum"/>
    <m/>
    <m/>
    <n v="1000"/>
    <n v="1"/>
    <n v="0.1"/>
    <m/>
    <n v="1"/>
    <n v="0"/>
    <m/>
    <m/>
    <m/>
    <m/>
    <m/>
    <m/>
    <n v="103"/>
    <n v="1"/>
    <n v="1"/>
    <n v="1"/>
    <n v="0"/>
    <n v="1"/>
    <n v="999"/>
    <n v="2"/>
    <s v="N8"/>
  </r>
  <r>
    <m/>
    <x v="35"/>
    <s v="A-493-3009"/>
    <s v="31VB"/>
    <x v="0"/>
    <d v="2026-03-26T00:00:00"/>
    <d v="2026-03-26T00:00:00"/>
    <s v="Funded"/>
    <m/>
    <d v="1899-12-30T21:30:00"/>
    <d v="1899-12-30T18:30:00"/>
    <d v="1899-12-30T04:30:00"/>
    <d v="1899-12-30T02:30:00"/>
    <d v="1899-12-30T16:30:00"/>
    <d v="1899-12-30T10:30:00"/>
    <s v="C. Gum"/>
    <m/>
    <m/>
    <n v="1000"/>
    <n v="1"/>
    <n v="0.1"/>
    <m/>
    <n v="1"/>
    <n v="0"/>
    <m/>
    <m/>
    <m/>
    <m/>
    <m/>
    <m/>
    <n v="103"/>
    <n v="1"/>
    <n v="1"/>
    <n v="1"/>
    <n v="0"/>
    <n v="1"/>
    <n v="999"/>
    <n v="2"/>
    <s v="N8"/>
  </r>
  <r>
    <m/>
    <x v="33"/>
    <s v="A-493-3017"/>
    <s v="31YL"/>
    <x v="0"/>
    <d v="2026-03-27T00:00:00"/>
    <d v="2026-03-27T00:00:00"/>
    <s v="Funded"/>
    <m/>
    <d v="1899-12-30T00:30:00"/>
    <d v="1899-12-30T21:30:00"/>
    <d v="1899-12-30T07:30:00"/>
    <d v="1899-12-30T05:30:00"/>
    <d v="1899-12-30T19:30:00"/>
    <d v="1899-12-30T13:30:00"/>
    <s v="C. Gum"/>
    <m/>
    <m/>
    <n v="1000"/>
    <n v="2.5"/>
    <n v="0.3"/>
    <m/>
    <n v="1"/>
    <n v="0"/>
    <m/>
    <m/>
    <m/>
    <m/>
    <m/>
    <m/>
    <n v="104"/>
    <n v="1"/>
    <n v="1"/>
    <n v="1"/>
    <n v="0"/>
    <n v="2.5"/>
    <n v="999"/>
    <n v="2"/>
    <s v="N8"/>
  </r>
  <r>
    <m/>
    <x v="3"/>
    <s v="A-493-0103"/>
    <s v="12JY"/>
    <x v="8"/>
    <d v="2026-03-30T00:00:00"/>
    <d v="2026-04-03T00:00:00"/>
    <s v="Funded"/>
    <d v="1899-12-30T08:00:00"/>
    <m/>
    <m/>
    <m/>
    <m/>
    <m/>
    <m/>
    <s v="SOH Contractor"/>
    <m/>
    <m/>
    <n v="25"/>
    <n v="40"/>
    <n v="5"/>
    <n v="516"/>
    <n v="4"/>
    <n v="0"/>
    <m/>
    <m/>
    <m/>
    <m/>
    <m/>
    <m/>
    <n v="111"/>
    <n v="1"/>
    <n v="1"/>
    <n v="1"/>
    <n v="0"/>
    <n v="40"/>
    <n v="21"/>
    <n v="2"/>
    <s v="N5"/>
  </r>
  <r>
    <s v="NSB Kings Bay"/>
    <x v="15"/>
    <s v="A-493-0012"/>
    <n v="3682"/>
    <x v="11"/>
    <d v="2026-03-30T00:00:00"/>
    <d v="2026-04-03T00:00:00"/>
    <s v="Funded"/>
    <d v="1899-12-30T08:00:00"/>
    <m/>
    <m/>
    <m/>
    <m/>
    <m/>
    <m/>
    <s v="G. Jester"/>
    <m/>
    <m/>
    <n v="40"/>
    <n v="40"/>
    <n v="5"/>
    <n v="30"/>
    <n v="0"/>
    <m/>
    <m/>
    <m/>
    <m/>
    <m/>
    <m/>
    <m/>
    <n v="111"/>
    <n v="1"/>
    <n v="1"/>
    <n v="1"/>
    <n v="0"/>
    <n v="40"/>
    <n v="40"/>
    <n v="2"/>
    <s v="N4"/>
  </r>
  <r>
    <s v="NSA Panama City"/>
    <x v="15"/>
    <s v="A-493-0012"/>
    <n v="3682"/>
    <x v="37"/>
    <d v="2026-03-30T00:00:00"/>
    <d v="2026-04-03T00:00:00"/>
    <s v="Funded"/>
    <d v="1899-12-30T08:00:00"/>
    <m/>
    <m/>
    <m/>
    <m/>
    <m/>
    <m/>
    <s v="R. Hartel"/>
    <m/>
    <m/>
    <n v="40"/>
    <n v="40"/>
    <n v="5"/>
    <n v="20"/>
    <n v="0"/>
    <m/>
    <m/>
    <m/>
    <m/>
    <m/>
    <m/>
    <m/>
    <n v="111"/>
    <n v="1"/>
    <n v="1"/>
    <n v="1"/>
    <n v="0"/>
    <n v="40"/>
    <n v="40"/>
    <n v="2"/>
    <s v="N4"/>
  </r>
  <r>
    <s v="Do not spread quotas. CCA approval required"/>
    <x v="54"/>
    <s v="A-493-0078"/>
    <s v="32FJ"/>
    <x v="3"/>
    <d v="2026-03-30T00:00:00"/>
    <d v="2026-04-03T00:00:00"/>
    <s v="Funded"/>
    <d v="1899-12-30T08:00:00"/>
    <m/>
    <m/>
    <m/>
    <m/>
    <m/>
    <m/>
    <s v="T. White"/>
    <m/>
    <m/>
    <n v="30"/>
    <n v="32"/>
    <n v="4"/>
    <n v="0"/>
    <n v="30"/>
    <n v="0"/>
    <m/>
    <m/>
    <m/>
    <m/>
    <m/>
    <m/>
    <n v="111"/>
    <n v="1"/>
    <n v="1"/>
    <n v="1"/>
    <n v="0"/>
    <n v="32"/>
    <n v="0"/>
    <n v="2"/>
    <s v="N5"/>
  </r>
  <r>
    <m/>
    <x v="12"/>
    <s v="A-493-0331"/>
    <s v="10UG"/>
    <x v="0"/>
    <d v="2026-03-31T00:00:00"/>
    <d v="2026-04-02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n v="1"/>
    <n v="0"/>
    <m/>
    <m/>
    <m/>
    <m/>
    <m/>
    <m/>
    <n v="110"/>
    <n v="1"/>
    <n v="1"/>
    <n v="1"/>
    <n v="0"/>
    <n v="24"/>
    <n v="44"/>
    <n v="2"/>
    <s v="N3"/>
  </r>
  <r>
    <m/>
    <x v="1"/>
    <s v="A-493-0099"/>
    <s v="12JW"/>
    <x v="0"/>
    <d v="2026-04-01T00:00:00"/>
    <d v="2026-04-03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406"/>
    <m/>
    <m/>
    <m/>
    <m/>
    <m/>
    <m/>
    <m/>
    <m/>
    <n v="111"/>
    <n v="1"/>
    <n v="1"/>
    <n v="1"/>
    <n v="0"/>
    <n v="24"/>
    <m/>
    <n v="3"/>
    <s v="N5"/>
  </r>
  <r>
    <m/>
    <x v="3"/>
    <s v="A-493-0103"/>
    <s v="12JY"/>
    <x v="16"/>
    <d v="2026-04-06T00:00:00"/>
    <d v="2026-04-10T00:00:00"/>
    <s v="Funded"/>
    <d v="1899-12-30T08:00:00"/>
    <m/>
    <m/>
    <m/>
    <m/>
    <m/>
    <m/>
    <s v="SOH Contractor"/>
    <m/>
    <m/>
    <n v="25"/>
    <n v="40"/>
    <n v="5"/>
    <n v="116"/>
    <m/>
    <m/>
    <m/>
    <m/>
    <m/>
    <m/>
    <m/>
    <m/>
    <n v="118"/>
    <n v="1"/>
    <n v="1"/>
    <n v="1"/>
    <n v="0"/>
    <n v="40"/>
    <m/>
    <n v="3"/>
    <s v="N5"/>
  </r>
  <r>
    <m/>
    <x v="3"/>
    <s v="A-493-0103"/>
    <s v="12JY"/>
    <x v="10"/>
    <d v="2026-04-06T00:00:00"/>
    <d v="2026-04-10T00:00:00"/>
    <s v="Funded"/>
    <d v="1899-12-30T08:00:00"/>
    <m/>
    <m/>
    <m/>
    <m/>
    <m/>
    <m/>
    <s v="SOH Contractor"/>
    <m/>
    <m/>
    <n v="25"/>
    <n v="40"/>
    <n v="5"/>
    <n v="225"/>
    <m/>
    <m/>
    <m/>
    <m/>
    <m/>
    <m/>
    <m/>
    <m/>
    <n v="118"/>
    <n v="1"/>
    <n v="1"/>
    <n v="1"/>
    <n v="0"/>
    <n v="40"/>
    <m/>
    <n v="3"/>
    <s v="N5"/>
  </r>
  <r>
    <m/>
    <x v="37"/>
    <s v="A-493-0665"/>
    <s v="10KW"/>
    <x v="0"/>
    <d v="2026-04-06T00:00:00"/>
    <d v="2026-04-08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337"/>
    <m/>
    <m/>
    <m/>
    <m/>
    <m/>
    <m/>
    <m/>
    <m/>
    <n v="116"/>
    <n v="1"/>
    <n v="1"/>
    <n v="1"/>
    <n v="0"/>
    <n v="24"/>
    <m/>
    <n v="3"/>
    <s v="N8"/>
  </r>
  <r>
    <s v="Norfolk Naval Shipyard"/>
    <x v="15"/>
    <s v="A-493-0012"/>
    <n v="3682"/>
    <x v="38"/>
    <d v="2026-04-06T00:00:00"/>
    <d v="2026-04-10T00:00:00"/>
    <s v="Unfunded"/>
    <d v="1899-12-30T08:00:00"/>
    <m/>
    <m/>
    <m/>
    <m/>
    <m/>
    <m/>
    <s v="G. Jester"/>
    <m/>
    <m/>
    <n v="40"/>
    <n v="40"/>
    <n v="5"/>
    <n v="13"/>
    <m/>
    <m/>
    <m/>
    <m/>
    <m/>
    <m/>
    <m/>
    <m/>
    <n v="118"/>
    <n v="1"/>
    <n v="1"/>
    <n v="1"/>
    <n v="0"/>
    <n v="40"/>
    <m/>
    <n v="3"/>
    <s v="N4"/>
  </r>
  <r>
    <m/>
    <x v="38"/>
    <s v="A-570-0100"/>
    <s v="18B7"/>
    <x v="0"/>
    <d v="2026-04-06T00:00:00"/>
    <d v="2026-04-07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16"/>
    <n v="2"/>
    <n v="326"/>
    <m/>
    <m/>
    <m/>
    <m/>
    <m/>
    <m/>
    <m/>
    <m/>
    <n v="115"/>
    <n v="1"/>
    <n v="1"/>
    <n v="1"/>
    <n v="0"/>
    <n v="16"/>
    <m/>
    <n v="3"/>
    <s v="N8"/>
  </r>
  <r>
    <s v="USMC-Do not spread quotas"/>
    <x v="7"/>
    <s v="A-493-0072"/>
    <s v="713U"/>
    <x v="39"/>
    <d v="2026-04-06T00:00:00"/>
    <d v="2026-04-10T00:00:00"/>
    <s v="Funded"/>
    <d v="1899-12-30T08:00:00"/>
    <m/>
    <m/>
    <m/>
    <m/>
    <m/>
    <m/>
    <s v="A. Harris"/>
    <m/>
    <s v="Nicole"/>
    <n v="30"/>
    <n v="40"/>
    <n v="5"/>
    <n v="36"/>
    <m/>
    <m/>
    <m/>
    <m/>
    <m/>
    <m/>
    <m/>
    <m/>
    <n v="118"/>
    <n v="1"/>
    <n v="1"/>
    <n v="1"/>
    <n v="0"/>
    <n v="40"/>
    <m/>
    <n v="3"/>
    <s v="N3"/>
  </r>
  <r>
    <m/>
    <x v="7"/>
    <s v="A-493-0072"/>
    <s v="713U"/>
    <x v="3"/>
    <d v="2026-04-06T00:00:00"/>
    <d v="2026-04-10T00:00:00"/>
    <s v="Funded"/>
    <d v="1899-12-30T08:00:00"/>
    <m/>
    <m/>
    <m/>
    <m/>
    <m/>
    <m/>
    <s v="K. Seo"/>
    <s v="V. Kentish"/>
    <m/>
    <n v="30"/>
    <n v="40"/>
    <n v="5"/>
    <n v="178"/>
    <m/>
    <m/>
    <m/>
    <m/>
    <m/>
    <m/>
    <m/>
    <m/>
    <n v="118"/>
    <n v="1"/>
    <n v="1"/>
    <n v="1"/>
    <n v="1"/>
    <n v="20"/>
    <m/>
    <n v="3"/>
    <s v="N3"/>
  </r>
  <r>
    <m/>
    <x v="8"/>
    <s v="A-493-2098"/>
    <s v="09WW"/>
    <x v="0"/>
    <d v="2026-04-06T00:00:00"/>
    <d v="2026-04-08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m/>
    <m/>
    <m/>
    <m/>
    <m/>
    <m/>
    <m/>
    <m/>
    <m/>
    <n v="116"/>
    <n v="1"/>
    <n v="1"/>
    <n v="1"/>
    <n v="0"/>
    <n v="16"/>
    <m/>
    <n v="3"/>
    <s v="N8"/>
  </r>
  <r>
    <m/>
    <x v="53"/>
    <s v="A-493-2017"/>
    <s v="12x3"/>
    <x v="4"/>
    <d v="2026-04-06T00:00:00"/>
    <d v="2026-04-10T00:00:00"/>
    <s v="Funded"/>
    <d v="1899-12-30T08:00:00"/>
    <m/>
    <m/>
    <m/>
    <m/>
    <m/>
    <m/>
    <s v="ENV Contractor"/>
    <m/>
    <m/>
    <n v="25"/>
    <n v="40"/>
    <n v="5"/>
    <n v="40"/>
    <m/>
    <m/>
    <m/>
    <m/>
    <m/>
    <m/>
    <m/>
    <m/>
    <n v="118"/>
    <n v="1"/>
    <n v="1"/>
    <n v="1"/>
    <n v="0"/>
    <n v="40"/>
    <m/>
    <n v="3"/>
    <s v="N4"/>
  </r>
  <r>
    <m/>
    <x v="48"/>
    <s v="A-493-0077"/>
    <s v="0381"/>
    <x v="17"/>
    <d v="2026-04-07T00:00:00"/>
    <d v="2026-04-09T00:00:00"/>
    <s v="Unfunded"/>
    <d v="1899-12-30T08:00:00"/>
    <m/>
    <m/>
    <m/>
    <m/>
    <m/>
    <m/>
    <s v="ENV Contractor"/>
    <m/>
    <m/>
    <n v="25"/>
    <n v="24"/>
    <n v="3"/>
    <n v="42"/>
    <m/>
    <m/>
    <m/>
    <m/>
    <m/>
    <m/>
    <m/>
    <m/>
    <n v="117"/>
    <n v="1"/>
    <n v="1"/>
    <n v="1"/>
    <n v="0"/>
    <n v="24"/>
    <m/>
    <n v="3"/>
    <s v="N4"/>
  </r>
  <r>
    <m/>
    <x v="48"/>
    <s v="A-493-0077"/>
    <s v="0381"/>
    <x v="40"/>
    <d v="2026-04-07T00:00:00"/>
    <d v="2026-04-09T00:00:00"/>
    <s v="Unfunded"/>
    <d v="1899-12-30T08:00:00"/>
    <m/>
    <m/>
    <m/>
    <m/>
    <m/>
    <m/>
    <s v="ENV Contractor"/>
    <m/>
    <m/>
    <n v="25"/>
    <n v="24"/>
    <n v="3"/>
    <n v="37"/>
    <m/>
    <m/>
    <m/>
    <m/>
    <m/>
    <m/>
    <m/>
    <m/>
    <n v="117"/>
    <n v="1"/>
    <n v="1"/>
    <n v="1"/>
    <n v="0"/>
    <n v="24"/>
    <m/>
    <n v="3"/>
    <s v="N4"/>
  </r>
  <r>
    <m/>
    <x v="10"/>
    <s v="A-493-0083"/>
    <s v="339E"/>
    <x v="17"/>
    <d v="2026-04-10T00:00:00"/>
    <d v="2026-04-10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118"/>
    <n v="1"/>
    <n v="1"/>
    <n v="1"/>
    <n v="0"/>
    <n v="8"/>
    <m/>
    <n v="3"/>
    <s v="N4"/>
  </r>
  <r>
    <m/>
    <x v="10"/>
    <s v="A-493-0083"/>
    <s v="339E"/>
    <x v="40"/>
    <d v="2026-04-10T00:00:00"/>
    <d v="2026-04-10T00:00:00"/>
    <s v="Unfunded"/>
    <d v="1899-12-30T08:00:00"/>
    <m/>
    <m/>
    <m/>
    <m/>
    <m/>
    <m/>
    <s v="ENV Contractor"/>
    <m/>
    <m/>
    <n v="30"/>
    <n v="8"/>
    <n v="1"/>
    <n v="35"/>
    <m/>
    <m/>
    <m/>
    <m/>
    <m/>
    <m/>
    <m/>
    <m/>
    <n v="118"/>
    <n v="1"/>
    <n v="1"/>
    <n v="1"/>
    <n v="0"/>
    <n v="8"/>
    <m/>
    <n v="3"/>
    <s v="N4"/>
  </r>
  <r>
    <m/>
    <x v="3"/>
    <s v="A-493-0103"/>
    <s v="12JY"/>
    <x v="16"/>
    <d v="2026-04-13T00:00:00"/>
    <d v="2026-04-17T00:00:00"/>
    <s v="Funded"/>
    <d v="1899-12-30T08:00:00"/>
    <m/>
    <m/>
    <m/>
    <m/>
    <m/>
    <m/>
    <s v="SOH Contractor"/>
    <m/>
    <m/>
    <n v="25"/>
    <n v="40"/>
    <n v="5"/>
    <n v="116"/>
    <m/>
    <m/>
    <m/>
    <m/>
    <m/>
    <m/>
    <m/>
    <m/>
    <n v="125"/>
    <n v="1"/>
    <n v="1"/>
    <n v="1"/>
    <n v="0"/>
    <n v="40"/>
    <m/>
    <n v="3"/>
    <s v="N5"/>
  </r>
  <r>
    <m/>
    <x v="3"/>
    <s v="A-493-0103"/>
    <s v="12JY"/>
    <x v="14"/>
    <d v="2026-04-13T00:00:00"/>
    <d v="2026-04-17T00:00:00"/>
    <s v="Funded"/>
    <d v="1899-12-30T08:00:00"/>
    <m/>
    <m/>
    <m/>
    <m/>
    <m/>
    <m/>
    <s v="SOH Contractor"/>
    <m/>
    <m/>
    <n v="25"/>
    <n v="40"/>
    <n v="5"/>
    <n v="84"/>
    <m/>
    <m/>
    <m/>
    <m/>
    <m/>
    <m/>
    <m/>
    <m/>
    <n v="125"/>
    <n v="1"/>
    <n v="1"/>
    <n v="1"/>
    <n v="0"/>
    <n v="40"/>
    <m/>
    <n v="3"/>
    <s v="N5"/>
  </r>
  <r>
    <s v="QTR 3 All Hands @0900"/>
    <x v="44"/>
    <s v="Function"/>
    <s v="Function"/>
    <x v="4"/>
    <d v="2026-04-13T00:00:00"/>
    <d v="2026-04-1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21"/>
    <n v="0"/>
    <n v="1"/>
    <n v="1"/>
    <n v="0"/>
    <n v="0"/>
    <m/>
    <n v="3"/>
    <s v="TSD"/>
  </r>
  <r>
    <m/>
    <x v="55"/>
    <s v="A-493-0021"/>
    <s v="18BN"/>
    <x v="3"/>
    <d v="2026-04-13T00:00:00"/>
    <d v="2026-04-17T00:00:00"/>
    <s v="Funded"/>
    <d v="1899-12-30T08:00:00"/>
    <m/>
    <m/>
    <m/>
    <m/>
    <m/>
    <m/>
    <s v="SOH Contractor"/>
    <m/>
    <m/>
    <n v="35"/>
    <n v="30"/>
    <n v="5"/>
    <n v="33"/>
    <m/>
    <m/>
    <m/>
    <m/>
    <m/>
    <m/>
    <m/>
    <m/>
    <n v="125"/>
    <n v="1"/>
    <n v="1"/>
    <n v="1"/>
    <n v="0"/>
    <n v="30"/>
    <m/>
    <n v="3"/>
    <s v="N5"/>
  </r>
  <r>
    <s v="MCAS Beaufort (USMC FUNDED)"/>
    <x v="15"/>
    <s v="A-493-0012"/>
    <n v="3682"/>
    <x v="1"/>
    <d v="2026-04-13T00:00:00"/>
    <d v="2026-04-17T00:00:00"/>
    <s v="Unfunded"/>
    <d v="1899-12-30T08:00:00"/>
    <m/>
    <m/>
    <m/>
    <m/>
    <m/>
    <m/>
    <s v="G. Jester"/>
    <m/>
    <m/>
    <n v="40"/>
    <n v="40"/>
    <n v="5"/>
    <n v="40"/>
    <m/>
    <m/>
    <m/>
    <m/>
    <m/>
    <m/>
    <m/>
    <m/>
    <n v="125"/>
    <n v="1"/>
    <n v="1"/>
    <n v="1"/>
    <n v="0"/>
    <n v="40"/>
    <m/>
    <n v="3"/>
    <s v="N4"/>
  </r>
  <r>
    <s v="MCAS Cherry Point (USMC FUNDED)"/>
    <x v="15"/>
    <s v="A-493-0012"/>
    <n v="3682"/>
    <x v="41"/>
    <d v="2026-04-13T00:00:00"/>
    <d v="2026-04-17T00:00:00"/>
    <s v="Unfunded"/>
    <d v="1899-12-30T08:00:00"/>
    <m/>
    <m/>
    <m/>
    <m/>
    <m/>
    <m/>
    <s v="R. Hartel"/>
    <m/>
    <m/>
    <n v="40"/>
    <n v="40"/>
    <n v="5"/>
    <n v="80"/>
    <m/>
    <m/>
    <m/>
    <m/>
    <m/>
    <m/>
    <m/>
    <m/>
    <n v="125"/>
    <n v="1"/>
    <n v="1"/>
    <n v="1"/>
    <n v="0"/>
    <n v="40"/>
    <m/>
    <n v="3"/>
    <s v="N4"/>
  </r>
  <r>
    <s v="MCB Camp LeJeune (USMC FUNDED)"/>
    <x v="15"/>
    <s v="A-493-0012"/>
    <n v="3682"/>
    <x v="39"/>
    <d v="2026-04-13T00:00:00"/>
    <d v="2026-04-17T00:00:00"/>
    <s v="Unfunded"/>
    <d v="1899-12-30T08:00:00"/>
    <m/>
    <m/>
    <m/>
    <m/>
    <m/>
    <m/>
    <s v="W. Bailey"/>
    <m/>
    <m/>
    <n v="40"/>
    <n v="40"/>
    <n v="5"/>
    <n v="70"/>
    <m/>
    <m/>
    <m/>
    <m/>
    <m/>
    <m/>
    <m/>
    <m/>
    <n v="125"/>
    <n v="1"/>
    <n v="1"/>
    <n v="1"/>
    <n v="0"/>
    <n v="40"/>
    <m/>
    <n v="3"/>
    <s v="N4"/>
  </r>
  <r>
    <m/>
    <x v="48"/>
    <s v="A-493-0077"/>
    <s v="0381"/>
    <x v="36"/>
    <d v="2026-04-13T00:00:00"/>
    <d v="2026-04-15T00:00:00"/>
    <s v="Unfunded"/>
    <d v="1899-12-30T08:00:00"/>
    <m/>
    <m/>
    <m/>
    <m/>
    <m/>
    <m/>
    <s v="ENV Contractor"/>
    <m/>
    <m/>
    <n v="25"/>
    <n v="24"/>
    <n v="3"/>
    <n v="32"/>
    <m/>
    <m/>
    <m/>
    <m/>
    <m/>
    <m/>
    <m/>
    <m/>
    <n v="123"/>
    <n v="1"/>
    <n v="1"/>
    <n v="1"/>
    <n v="0"/>
    <n v="24"/>
    <m/>
    <n v="3"/>
    <s v="N4"/>
  </r>
  <r>
    <m/>
    <x v="48"/>
    <s v="A-493-0077"/>
    <s v="0381"/>
    <x v="42"/>
    <d v="2026-04-13T00:00:00"/>
    <d v="2026-04-15T00:00:00"/>
    <s v="Unfunded"/>
    <d v="1899-12-30T08:00:00"/>
    <m/>
    <m/>
    <m/>
    <m/>
    <m/>
    <m/>
    <s v="ENV Contractor"/>
    <m/>
    <m/>
    <n v="25"/>
    <n v="24"/>
    <n v="3"/>
    <n v="32"/>
    <m/>
    <m/>
    <m/>
    <m/>
    <m/>
    <m/>
    <m/>
    <m/>
    <n v="123"/>
    <n v="1"/>
    <n v="1"/>
    <n v="1"/>
    <n v="0"/>
    <n v="24"/>
    <m/>
    <n v="3"/>
    <s v="N4"/>
  </r>
  <r>
    <s v="PDS Prep Week"/>
    <x v="56"/>
    <s v="PDS"/>
    <s v="PDS"/>
    <x v="43"/>
    <d v="2026-04-13T00:00:00"/>
    <d v="2026-04-17T00:00:00"/>
    <s v="Funded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25"/>
    <n v="0"/>
    <n v="1"/>
    <n v="1"/>
    <n v="0"/>
    <n v="0"/>
    <m/>
    <n v="3"/>
    <s v="TSD"/>
  </r>
  <r>
    <s v="int"/>
    <x v="12"/>
    <s v="A-493-0331"/>
    <s v="10UG"/>
    <x v="0"/>
    <d v="2026-04-14T00:00:00"/>
    <d v="2026-04-16T00:00:00"/>
    <s v="Funded"/>
    <m/>
    <d v="1899-12-30T12:00:00"/>
    <d v="1899-12-30T09:00:00"/>
    <d v="1899-12-30T19:00:00"/>
    <d v="1899-12-30T18:00:00"/>
    <d v="1899-12-30T06:00:00"/>
    <d v="1899-12-30T01:00:00"/>
    <s v="K. Seo"/>
    <m/>
    <m/>
    <n v="45"/>
    <n v="24"/>
    <n v="3"/>
    <m/>
    <m/>
    <m/>
    <m/>
    <m/>
    <m/>
    <m/>
    <m/>
    <m/>
    <n v="124"/>
    <n v="1"/>
    <n v="1"/>
    <n v="1"/>
    <n v="0"/>
    <n v="24"/>
    <m/>
    <n v="3"/>
    <s v="N3"/>
  </r>
  <r>
    <m/>
    <x v="2"/>
    <s v="A-493-2501"/>
    <s v="05ZE"/>
    <x v="44"/>
    <d v="2026-04-14T00:00:00"/>
    <d v="2026-04-14T00:00:00"/>
    <s v="Unfunded"/>
    <d v="1899-12-30T08:00:00"/>
    <m/>
    <m/>
    <m/>
    <m/>
    <m/>
    <m/>
    <s v="ENV Contractor"/>
    <m/>
    <m/>
    <n v="30"/>
    <n v="8"/>
    <n v="1"/>
    <n v="16"/>
    <m/>
    <m/>
    <m/>
    <m/>
    <m/>
    <m/>
    <m/>
    <m/>
    <n v="122"/>
    <n v="1"/>
    <n v="1"/>
    <n v="1"/>
    <n v="0"/>
    <n v="8"/>
    <m/>
    <n v="3"/>
    <s v="N4"/>
  </r>
  <r>
    <m/>
    <x v="10"/>
    <s v="A-493-0083"/>
    <s v="339E"/>
    <x v="36"/>
    <d v="2026-04-16T00:00:00"/>
    <d v="2026-04-16T00:00:00"/>
    <s v="Unfunded"/>
    <d v="1899-12-30T08:00:00"/>
    <m/>
    <m/>
    <m/>
    <m/>
    <m/>
    <m/>
    <s v="ENV Contractor"/>
    <m/>
    <m/>
    <n v="30"/>
    <n v="8"/>
    <n v="1"/>
    <n v="22"/>
    <m/>
    <m/>
    <m/>
    <m/>
    <m/>
    <m/>
    <m/>
    <m/>
    <n v="124"/>
    <n v="1"/>
    <n v="1"/>
    <n v="1"/>
    <n v="0"/>
    <n v="8"/>
    <m/>
    <n v="3"/>
    <s v="N4"/>
  </r>
  <r>
    <m/>
    <x v="10"/>
    <s v="A-493-0083"/>
    <s v="339E"/>
    <x v="42"/>
    <d v="2026-04-16T00:00:00"/>
    <d v="2026-04-16T00:00:00"/>
    <s v="Unfunded"/>
    <d v="1899-12-30T08:00:00"/>
    <m/>
    <m/>
    <m/>
    <m/>
    <m/>
    <m/>
    <s v="ENV Contractor"/>
    <m/>
    <m/>
    <n v="30"/>
    <n v="8"/>
    <n v="1"/>
    <n v="32"/>
    <m/>
    <m/>
    <m/>
    <m/>
    <m/>
    <m/>
    <m/>
    <m/>
    <n v="124"/>
    <n v="1"/>
    <n v="1"/>
    <n v="1"/>
    <n v="0"/>
    <n v="8"/>
    <m/>
    <n v="3"/>
    <s v="N4"/>
  </r>
  <r>
    <m/>
    <x v="2"/>
    <s v="A-493-2501"/>
    <s v="05ZE"/>
    <x v="26"/>
    <d v="2026-04-17T00:00:00"/>
    <d v="2026-04-17T00:00:00"/>
    <s v="Unfunded"/>
    <d v="1899-12-30T08:00:00"/>
    <m/>
    <m/>
    <m/>
    <m/>
    <m/>
    <m/>
    <s v="ENV Contractor"/>
    <m/>
    <m/>
    <n v="30"/>
    <n v="8"/>
    <n v="1"/>
    <n v="34"/>
    <m/>
    <m/>
    <m/>
    <m/>
    <m/>
    <m/>
    <m/>
    <m/>
    <n v="125"/>
    <n v="1"/>
    <n v="1"/>
    <n v="1"/>
    <n v="0"/>
    <n v="8"/>
    <m/>
    <n v="3"/>
    <s v="N4"/>
  </r>
  <r>
    <m/>
    <x v="3"/>
    <s v="A-493-0103"/>
    <s v="12JY"/>
    <x v="12"/>
    <d v="2026-04-20T00:00:00"/>
    <d v="2025-04-24T00:00:00"/>
    <s v="Funded"/>
    <d v="1899-12-30T08:00:00"/>
    <m/>
    <m/>
    <m/>
    <m/>
    <m/>
    <m/>
    <s v="SOH Contractor"/>
    <m/>
    <m/>
    <n v="25"/>
    <n v="40"/>
    <n v="5"/>
    <n v="75"/>
    <m/>
    <m/>
    <m/>
    <m/>
    <m/>
    <m/>
    <m/>
    <m/>
    <n v="-233"/>
    <n v="1"/>
    <n v="1"/>
    <n v="1"/>
    <n v="0"/>
    <n v="40"/>
    <m/>
    <n v="3"/>
    <s v="N5"/>
  </r>
  <r>
    <m/>
    <x v="2"/>
    <s v="A-493-2501"/>
    <s v="05ZE"/>
    <x v="8"/>
    <d v="2026-04-20T00:00:00"/>
    <d v="2026-04-20T00:00:00"/>
    <s v="Unfunded"/>
    <d v="1899-12-30T08:00:00"/>
    <m/>
    <m/>
    <m/>
    <m/>
    <m/>
    <m/>
    <s v="ENV Contractor"/>
    <m/>
    <m/>
    <n v="30"/>
    <n v="8"/>
    <n v="1"/>
    <n v="61"/>
    <m/>
    <m/>
    <m/>
    <m/>
    <m/>
    <m/>
    <m/>
    <m/>
    <n v="128"/>
    <n v="1"/>
    <n v="1"/>
    <n v="1"/>
    <n v="0"/>
    <n v="8"/>
    <m/>
    <n v="3"/>
    <s v="N4"/>
  </r>
  <r>
    <s v="PDS Week"/>
    <x v="56"/>
    <s v="PDS"/>
    <s v="PDS"/>
    <x v="43"/>
    <d v="2026-04-20T00:00:00"/>
    <d v="2026-04-24T00:00:00"/>
    <s v="Funded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32"/>
    <n v="0"/>
    <n v="1"/>
    <n v="1"/>
    <n v="0"/>
    <n v="0"/>
    <m/>
    <n v="3"/>
    <s v="TSD"/>
  </r>
  <r>
    <s v="AIRFORCE SPECIAL CONVENING Tank Managers – U.S. Funded Course, Quota will not be open"/>
    <x v="53"/>
    <s v="A-493-2017"/>
    <s v="12x3"/>
    <x v="45"/>
    <d v="2026-04-20T00:00:00"/>
    <d v="2026-04-24T00:00:00"/>
    <s v="Funded "/>
    <m/>
    <m/>
    <m/>
    <m/>
    <m/>
    <m/>
    <m/>
    <m/>
    <m/>
    <m/>
    <n v="25"/>
    <n v="40"/>
    <n v="5"/>
    <m/>
    <m/>
    <m/>
    <m/>
    <m/>
    <m/>
    <m/>
    <m/>
    <m/>
    <n v="132"/>
    <n v="1"/>
    <n v="1"/>
    <n v="0"/>
    <n v="0"/>
    <e v="#DIV/0!"/>
    <m/>
    <n v="3"/>
    <s v="N4"/>
  </r>
  <r>
    <s v="NAS Pensacola"/>
    <x v="50"/>
    <s v="A-493-0013"/>
    <n v="3683"/>
    <x v="15"/>
    <d v="2026-04-21T00:00:00"/>
    <d v="2026-04-23T00:00:00"/>
    <s v="Unfunded"/>
    <d v="1899-12-30T08:00:00"/>
    <m/>
    <m/>
    <m/>
    <m/>
    <m/>
    <m/>
    <s v="R. Hartel"/>
    <m/>
    <m/>
    <n v="40"/>
    <n v="24"/>
    <n v="3"/>
    <n v="28"/>
    <m/>
    <m/>
    <m/>
    <m/>
    <m/>
    <m/>
    <m/>
    <m/>
    <n v="131"/>
    <n v="1"/>
    <n v="1"/>
    <n v="1"/>
    <n v="0"/>
    <n v="24"/>
    <m/>
    <n v="3"/>
    <s v="N4"/>
  </r>
  <r>
    <s v="NAF Atsugi"/>
    <x v="50"/>
    <s v="A-493-0013"/>
    <n v="3683"/>
    <x v="36"/>
    <d v="2026-04-22T00:00:00"/>
    <d v="2026-04-24T00:00:00"/>
    <s v="Unfunded"/>
    <d v="1899-12-30T08:00:00"/>
    <m/>
    <m/>
    <m/>
    <m/>
    <m/>
    <m/>
    <s v="G. Jester"/>
    <m/>
    <m/>
    <n v="40"/>
    <n v="24"/>
    <n v="3"/>
    <n v="28"/>
    <m/>
    <m/>
    <m/>
    <m/>
    <m/>
    <m/>
    <m/>
    <m/>
    <n v="132"/>
    <n v="1"/>
    <n v="1"/>
    <n v="1"/>
    <n v="0"/>
    <n v="24"/>
    <m/>
    <n v="3"/>
    <s v="N4"/>
  </r>
  <r>
    <m/>
    <x v="2"/>
    <s v="A-493-2501"/>
    <s v="05ZE"/>
    <x v="25"/>
    <d v="2026-04-22T00:00:00"/>
    <d v="2026-04-22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130"/>
    <n v="1"/>
    <n v="1"/>
    <n v="1"/>
    <n v="0"/>
    <n v="8"/>
    <m/>
    <n v="3"/>
    <s v="N4"/>
  </r>
  <r>
    <s v="Naval Air Station Key West"/>
    <x v="15"/>
    <s v="A-493-0012"/>
    <n v="3682"/>
    <x v="46"/>
    <d v="2026-04-27T00:00:00"/>
    <d v="2026-05-01T00:00:00"/>
    <s v="Unfunded"/>
    <d v="1899-12-30T08:00:00"/>
    <m/>
    <m/>
    <m/>
    <m/>
    <m/>
    <m/>
    <s v="W. Bailey"/>
    <m/>
    <m/>
    <n v="40"/>
    <n v="40"/>
    <n v="5"/>
    <n v="30"/>
    <m/>
    <m/>
    <m/>
    <m/>
    <m/>
    <m/>
    <m/>
    <m/>
    <n v="139"/>
    <n v="1"/>
    <n v="1"/>
    <n v="1"/>
    <n v="0"/>
    <n v="40"/>
    <m/>
    <n v="3"/>
    <s v="N4"/>
  </r>
  <r>
    <s v="CFA Yokosuka"/>
    <x v="15"/>
    <s v="A-493-0012"/>
    <n v="3682"/>
    <x v="27"/>
    <d v="2026-04-27T00:00:00"/>
    <d v="2026-05-01T00:00:00"/>
    <s v="Unfunded"/>
    <d v="1899-12-30T08:00:00"/>
    <m/>
    <m/>
    <m/>
    <m/>
    <m/>
    <m/>
    <s v="G. Jester"/>
    <m/>
    <m/>
    <n v="40"/>
    <n v="40"/>
    <n v="5"/>
    <n v="28"/>
    <m/>
    <m/>
    <m/>
    <m/>
    <m/>
    <m/>
    <m/>
    <m/>
    <n v="139"/>
    <n v="1"/>
    <n v="1"/>
    <n v="1"/>
    <n v="0"/>
    <n v="40"/>
    <m/>
    <n v="3"/>
    <s v="N4"/>
  </r>
  <r>
    <m/>
    <x v="5"/>
    <s v="A-322-2604"/>
    <s v="10ZZ"/>
    <x v="0"/>
    <d v="2026-04-27T00:00:00"/>
    <d v="2026-04-29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24"/>
    <n v="3"/>
    <n v="316"/>
    <m/>
    <m/>
    <m/>
    <m/>
    <m/>
    <m/>
    <m/>
    <m/>
    <n v="137"/>
    <n v="1"/>
    <n v="1"/>
    <n v="1"/>
    <n v="0"/>
    <n v="24"/>
    <m/>
    <n v="3"/>
    <s v="N8"/>
  </r>
  <r>
    <m/>
    <x v="0"/>
    <s v="A-493-0550"/>
    <s v="09K5"/>
    <x v="0"/>
    <d v="2026-04-27T00:00:00"/>
    <d v="2026-04-30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m/>
    <m/>
    <m/>
    <m/>
    <m/>
    <m/>
    <m/>
    <m/>
    <n v="138"/>
    <n v="1"/>
    <n v="1"/>
    <n v="1"/>
    <n v="0"/>
    <n v="32"/>
    <m/>
    <n v="3"/>
    <s v="N5"/>
  </r>
  <r>
    <m/>
    <x v="1"/>
    <s v="A-493-0099"/>
    <s v="12JW"/>
    <x v="0"/>
    <d v="2026-04-28T00:00:00"/>
    <d v="2026-04-30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334"/>
    <m/>
    <m/>
    <m/>
    <m/>
    <m/>
    <m/>
    <m/>
    <m/>
    <n v="138"/>
    <n v="1"/>
    <n v="1"/>
    <n v="1"/>
    <n v="0"/>
    <n v="24"/>
    <m/>
    <n v="3"/>
    <s v="N5"/>
  </r>
  <r>
    <m/>
    <x v="12"/>
    <s v="A-493-0331"/>
    <s v="10UG"/>
    <x v="0"/>
    <d v="2026-04-28T00:00:00"/>
    <d v="2026-04-30T00:00:00"/>
    <s v="Funded"/>
    <m/>
    <d v="1899-12-30T12:00:00"/>
    <d v="1899-12-30T09:00:00"/>
    <d v="1899-12-30T19:00:00"/>
    <d v="1899-12-30T18:00:00"/>
    <d v="1899-12-30T06:00:00"/>
    <d v="1899-12-30T01:00:00"/>
    <s v="W. Mitchell"/>
    <m/>
    <m/>
    <n v="45"/>
    <n v="24"/>
    <n v="3"/>
    <n v="844"/>
    <m/>
    <m/>
    <m/>
    <m/>
    <m/>
    <m/>
    <m/>
    <m/>
    <n v="138"/>
    <n v="1"/>
    <n v="1"/>
    <n v="1"/>
    <n v="0"/>
    <n v="24"/>
    <m/>
    <n v="3"/>
    <s v="N3"/>
  </r>
  <r>
    <m/>
    <x v="10"/>
    <s v="A-493-0083"/>
    <s v="339E"/>
    <x v="0"/>
    <d v="2026-04-30T00:00:00"/>
    <d v="2026-04-30T00:00:00"/>
    <s v="Unfunded"/>
    <d v="1899-12-30T08:00:00"/>
    <m/>
    <m/>
    <m/>
    <m/>
    <m/>
    <m/>
    <s v="ENV Contractor"/>
    <m/>
    <m/>
    <n v="30"/>
    <n v="8"/>
    <n v="1"/>
    <n v="20"/>
    <m/>
    <m/>
    <m/>
    <m/>
    <m/>
    <m/>
    <m/>
    <m/>
    <n v="138"/>
    <n v="1"/>
    <n v="1"/>
    <n v="1"/>
    <n v="0"/>
    <n v="8"/>
    <m/>
    <n v="3"/>
    <s v="N4"/>
  </r>
  <r>
    <m/>
    <x v="14"/>
    <s v="A-493-0030"/>
    <s v="286X"/>
    <x v="0"/>
    <d v="2026-05-04T00:00:00"/>
    <d v="2026-05-08T00:00:00"/>
    <s v="Funded"/>
    <m/>
    <d v="1899-12-30T08:00:00"/>
    <d v="1899-12-30T05:00:00"/>
    <d v="1899-12-30T15:00:00"/>
    <d v="1899-12-30T13:00:00"/>
    <d v="1899-12-30T02:00:00"/>
    <d v="1899-12-30T21:00:00"/>
    <s v="OH Contractor"/>
    <m/>
    <m/>
    <n v="25"/>
    <n v="40"/>
    <n v="5"/>
    <n v="0"/>
    <m/>
    <m/>
    <m/>
    <m/>
    <m/>
    <m/>
    <m/>
    <m/>
    <n v="146"/>
    <n v="1"/>
    <n v="1"/>
    <n v="1"/>
    <n v="0"/>
    <n v="40"/>
    <m/>
    <n v="3"/>
    <s v="N3"/>
  </r>
  <r>
    <s v="Naval Station Rota Spain"/>
    <x v="15"/>
    <s v="A-493-0012"/>
    <n v="3682"/>
    <x v="2"/>
    <d v="2026-05-04T00:00:00"/>
    <d v="2026-05-08T00:00:00"/>
    <s v="Unfunded"/>
    <d v="1899-12-30T08:00:00"/>
    <m/>
    <m/>
    <m/>
    <m/>
    <m/>
    <m/>
    <s v="R. Hartel"/>
    <m/>
    <m/>
    <n v="40"/>
    <n v="40"/>
    <n v="5"/>
    <n v="30"/>
    <m/>
    <m/>
    <m/>
    <m/>
    <m/>
    <m/>
    <m/>
    <m/>
    <n v="146"/>
    <n v="1"/>
    <n v="1"/>
    <n v="1"/>
    <n v="0"/>
    <n v="40"/>
    <m/>
    <n v="3"/>
    <s v="N4"/>
  </r>
  <r>
    <s v="DFSP Hakozaki"/>
    <x v="50"/>
    <s v="A-493-0013"/>
    <n v="3683"/>
    <x v="47"/>
    <d v="2026-05-04T00:00:00"/>
    <d v="2026-05-06T00:00:00"/>
    <s v="Unfunded"/>
    <d v="1899-12-30T08:00:00"/>
    <m/>
    <m/>
    <m/>
    <m/>
    <m/>
    <m/>
    <s v="G. Jester"/>
    <m/>
    <m/>
    <n v="40"/>
    <n v="24"/>
    <n v="3"/>
    <n v="30"/>
    <m/>
    <m/>
    <m/>
    <m/>
    <m/>
    <m/>
    <m/>
    <m/>
    <n v="144"/>
    <n v="1"/>
    <n v="1"/>
    <n v="1"/>
    <n v="0"/>
    <n v="24"/>
    <m/>
    <n v="3"/>
    <s v="N4"/>
  </r>
  <r>
    <m/>
    <x v="48"/>
    <s v="A-493-0077"/>
    <s v="0381"/>
    <x v="4"/>
    <d v="2026-05-04T00:00:00"/>
    <d v="2026-05-06T00:00:00"/>
    <s v="Unfunded"/>
    <d v="1902-03-10T08:00:00"/>
    <m/>
    <m/>
    <m/>
    <m/>
    <m/>
    <m/>
    <s v="ENV Contractor"/>
    <m/>
    <m/>
    <n v="25"/>
    <n v="24"/>
    <n v="3"/>
    <n v="72"/>
    <m/>
    <m/>
    <m/>
    <m/>
    <m/>
    <m/>
    <m/>
    <m/>
    <n v="144"/>
    <n v="1"/>
    <n v="1"/>
    <n v="1"/>
    <n v="0"/>
    <n v="24"/>
    <m/>
    <n v="3"/>
    <s v="N4"/>
  </r>
  <r>
    <s v="Do not spread quotas. CCA approval required"/>
    <x v="54"/>
    <s v="A-493-0078"/>
    <s v="32FJ"/>
    <x v="3"/>
    <d v="2026-05-04T00:00:00"/>
    <d v="2025-05-08T00:00:00"/>
    <s v="Funded"/>
    <d v="1899-12-30T08:00:00"/>
    <m/>
    <m/>
    <m/>
    <m/>
    <m/>
    <m/>
    <s v="T. White"/>
    <m/>
    <m/>
    <n v="30"/>
    <n v="32"/>
    <n v="4"/>
    <n v="0"/>
    <m/>
    <m/>
    <m/>
    <m/>
    <m/>
    <m/>
    <m/>
    <m/>
    <n v="-219"/>
    <n v="1"/>
    <n v="1"/>
    <n v="1"/>
    <n v="0"/>
    <n v="32"/>
    <m/>
    <n v="3"/>
    <s v="N5"/>
  </r>
  <r>
    <m/>
    <x v="7"/>
    <s v="A-493-0072"/>
    <s v="713U"/>
    <x v="35"/>
    <d v="2026-05-04T00:00:00"/>
    <d v="2026-05-08T00:00:00"/>
    <s v="Funded"/>
    <d v="1899-12-30T08:00:00"/>
    <m/>
    <m/>
    <m/>
    <m/>
    <m/>
    <m/>
    <s v="B. Jung"/>
    <m/>
    <m/>
    <n v="30"/>
    <n v="40"/>
    <n v="5"/>
    <n v="50"/>
    <n v="17"/>
    <n v="0"/>
    <m/>
    <m/>
    <m/>
    <m/>
    <m/>
    <m/>
    <n v="146"/>
    <n v="1"/>
    <n v="1"/>
    <n v="1"/>
    <n v="0"/>
    <n v="40"/>
    <n v="13"/>
    <n v="2"/>
    <s v="N3"/>
  </r>
  <r>
    <s v="USMC-Do not spread quotas"/>
    <x v="7"/>
    <s v="A-493-0072"/>
    <s v="713U"/>
    <x v="48"/>
    <d v="2026-05-04T00:00:00"/>
    <d v="2026-05-08T00:00:00"/>
    <s v="Funded"/>
    <d v="1899-12-30T08:00:00"/>
    <m/>
    <m/>
    <m/>
    <m/>
    <m/>
    <m/>
    <s v="W. Mitchell"/>
    <m/>
    <s v="LSC Kitivi"/>
    <n v="30"/>
    <n v="40"/>
    <n v="5"/>
    <n v="15"/>
    <m/>
    <m/>
    <m/>
    <m/>
    <m/>
    <m/>
    <m/>
    <m/>
    <n v="146"/>
    <n v="1"/>
    <n v="1"/>
    <n v="1"/>
    <n v="0"/>
    <n v="40"/>
    <m/>
    <n v="3"/>
    <s v="N3"/>
  </r>
  <r>
    <m/>
    <x v="8"/>
    <s v="A-493-2098"/>
    <s v="09WW"/>
    <x v="0"/>
    <d v="2026-05-04T00:00:00"/>
    <d v="2026-05-06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m/>
    <m/>
    <m/>
    <m/>
    <m/>
    <m/>
    <m/>
    <m/>
    <n v="144"/>
    <n v="1"/>
    <n v="1"/>
    <n v="1"/>
    <n v="0"/>
    <n v="16"/>
    <m/>
    <n v="3"/>
    <s v="N8"/>
  </r>
  <r>
    <m/>
    <x v="53"/>
    <s v="A-493-2017"/>
    <s v="12x3"/>
    <x v="14"/>
    <d v="2026-05-04T00:00:00"/>
    <d v="2026-05-08T00:00:00"/>
    <s v="Unfunded"/>
    <d v="1899-12-30T08:00:00"/>
    <m/>
    <m/>
    <m/>
    <m/>
    <m/>
    <m/>
    <s v="ENV Contractor"/>
    <m/>
    <m/>
    <n v="25"/>
    <n v="40"/>
    <n v="5"/>
    <n v="49"/>
    <m/>
    <m/>
    <m/>
    <m/>
    <m/>
    <m/>
    <m/>
    <m/>
    <n v="146"/>
    <n v="1"/>
    <n v="1"/>
    <n v="1"/>
    <n v="0"/>
    <n v="40"/>
    <m/>
    <n v="3"/>
    <s v="N4"/>
  </r>
  <r>
    <m/>
    <x v="5"/>
    <s v="A-322-2604"/>
    <s v="10ZZ"/>
    <x v="0"/>
    <d v="2026-05-04T00:00:00"/>
    <d v="2026-05-06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m/>
    <m/>
    <m/>
    <m/>
    <m/>
    <m/>
    <m/>
    <m/>
    <n v="144"/>
    <n v="1"/>
    <n v="1"/>
    <n v="1"/>
    <n v="0"/>
    <n v="24"/>
    <m/>
    <n v="3"/>
    <s v="N8"/>
  </r>
  <r>
    <m/>
    <x v="21"/>
    <s v="A-4J-0019"/>
    <s v="28SL/285M"/>
    <x v="9"/>
    <d v="2026-05-04T00:00:00"/>
    <d v="2026-05-08T00:00:00"/>
    <s v="Funded"/>
    <d v="1899-12-30T07:30:00"/>
    <m/>
    <m/>
    <m/>
    <m/>
    <m/>
    <m/>
    <s v="J. Wilson"/>
    <s v="M. Bailey"/>
    <m/>
    <n v="20"/>
    <n v="40"/>
    <n v="5"/>
    <n v="148"/>
    <m/>
    <m/>
    <m/>
    <m/>
    <m/>
    <m/>
    <m/>
    <m/>
    <n v="146"/>
    <n v="1"/>
    <n v="1"/>
    <n v="1"/>
    <n v="1"/>
    <n v="20"/>
    <m/>
    <n v="3"/>
    <s v="N8"/>
  </r>
  <r>
    <m/>
    <x v="12"/>
    <s v="A-493-0331"/>
    <s v="10UG"/>
    <x v="0"/>
    <d v="2026-05-05T00:00:00"/>
    <d v="2026-05-07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m/>
    <m/>
    <m/>
    <m/>
    <m/>
    <m/>
    <m/>
    <m/>
    <n v="145"/>
    <n v="1"/>
    <n v="1"/>
    <n v="1"/>
    <n v="0"/>
    <n v="24"/>
    <m/>
    <n v="3"/>
    <s v="N3"/>
  </r>
  <r>
    <s v="DFSP Tsurumi"/>
    <x v="50"/>
    <s v="A-493-0013"/>
    <n v="3683"/>
    <x v="49"/>
    <d v="2026-05-07T00:00:00"/>
    <d v="2026-05-11T00:00:00"/>
    <s v="Unfunded"/>
    <d v="1899-12-30T08:00:00"/>
    <m/>
    <m/>
    <m/>
    <m/>
    <m/>
    <m/>
    <s v="G. Jester"/>
    <m/>
    <m/>
    <n v="40"/>
    <n v="24"/>
    <n v="3"/>
    <n v="30"/>
    <m/>
    <m/>
    <m/>
    <m/>
    <m/>
    <m/>
    <m/>
    <m/>
    <n v="149"/>
    <n v="1"/>
    <n v="1"/>
    <n v="1"/>
    <n v="0"/>
    <n v="24"/>
    <m/>
    <n v="3"/>
    <s v="N4"/>
  </r>
  <r>
    <m/>
    <x v="10"/>
    <s v="A-493-0083"/>
    <s v="339E"/>
    <x v="4"/>
    <d v="2026-05-07T00:00:00"/>
    <d v="2026-05-07T00:00:00"/>
    <s v="Unfunded"/>
    <d v="1902-03-10T08:00:00"/>
    <m/>
    <m/>
    <m/>
    <m/>
    <m/>
    <m/>
    <s v="ENV Contractor"/>
    <m/>
    <m/>
    <n v="30"/>
    <n v="8"/>
    <n v="1"/>
    <n v="58"/>
    <m/>
    <m/>
    <m/>
    <m/>
    <m/>
    <m/>
    <m/>
    <m/>
    <n v="145"/>
    <n v="1"/>
    <n v="1"/>
    <n v="1"/>
    <n v="0"/>
    <n v="8"/>
    <m/>
    <n v="3"/>
    <s v="N4"/>
  </r>
  <r>
    <m/>
    <x v="10"/>
    <s v="A-493-0083"/>
    <s v="339E"/>
    <x v="4"/>
    <d v="2026-05-08T00:00:00"/>
    <d v="2026-05-08T00:00:00"/>
    <s v="Unfunded"/>
    <d v="1899-12-30T08:00:00"/>
    <m/>
    <m/>
    <m/>
    <m/>
    <m/>
    <m/>
    <s v="ENV Contractor"/>
    <m/>
    <m/>
    <n v="30"/>
    <n v="8"/>
    <n v="1"/>
    <n v="58"/>
    <m/>
    <m/>
    <m/>
    <m/>
    <m/>
    <m/>
    <m/>
    <m/>
    <n v="146"/>
    <n v="1"/>
    <n v="1"/>
    <n v="1"/>
    <n v="0"/>
    <n v="8"/>
    <m/>
    <n v="3"/>
    <s v="N4"/>
  </r>
  <r>
    <m/>
    <x v="3"/>
    <s v="A-493-0103"/>
    <s v="12JY"/>
    <x v="17"/>
    <d v="2026-05-11T00:00:00"/>
    <d v="2026-05-15T00:00:00"/>
    <s v="Funded"/>
    <d v="1899-12-30T08:00:00"/>
    <m/>
    <m/>
    <m/>
    <m/>
    <m/>
    <m/>
    <s v="SOH Contractor"/>
    <m/>
    <m/>
    <n v="25"/>
    <n v="40"/>
    <n v="5"/>
    <n v="25"/>
    <m/>
    <m/>
    <m/>
    <m/>
    <m/>
    <m/>
    <m/>
    <m/>
    <n v="153"/>
    <n v="1"/>
    <n v="1"/>
    <n v="1"/>
    <n v="0"/>
    <n v="40"/>
    <m/>
    <n v="3"/>
    <s v="N5"/>
  </r>
  <r>
    <m/>
    <x v="43"/>
    <s v="A-4J-0022"/>
    <s v="09ER"/>
    <x v="0"/>
    <d v="2026-05-11T00:00:00"/>
    <d v="2026-05-15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16"/>
    <n v="2"/>
    <n v="130"/>
    <m/>
    <m/>
    <m/>
    <m/>
    <m/>
    <m/>
    <m/>
    <m/>
    <n v="153"/>
    <n v="1"/>
    <n v="1"/>
    <n v="1"/>
    <n v="0"/>
    <n v="16"/>
    <m/>
    <n v="3"/>
    <s v="N4"/>
  </r>
  <r>
    <m/>
    <x v="55"/>
    <s v="A-493-0021"/>
    <s v="18BN"/>
    <x v="12"/>
    <d v="2026-05-11T00:00:00"/>
    <d v="2026-05-15T00:00:00"/>
    <s v="Funded"/>
    <d v="1899-12-30T08:00:00"/>
    <m/>
    <m/>
    <m/>
    <m/>
    <m/>
    <m/>
    <s v="SOH Contractor"/>
    <m/>
    <m/>
    <n v="35"/>
    <n v="30"/>
    <n v="5"/>
    <n v="8"/>
    <m/>
    <m/>
    <m/>
    <m/>
    <m/>
    <m/>
    <m/>
    <m/>
    <n v="153"/>
    <n v="1"/>
    <n v="1"/>
    <n v="1"/>
    <n v="0"/>
    <n v="30"/>
    <m/>
    <n v="3"/>
    <s v="N5"/>
  </r>
  <r>
    <m/>
    <x v="48"/>
    <s v="A-493-0077"/>
    <s v="0381"/>
    <x v="50"/>
    <d v="2026-05-11T00:00:00"/>
    <d v="2026-05-13T00:00:00"/>
    <s v="Unfunded"/>
    <d v="1899-12-30T08:00:00"/>
    <m/>
    <m/>
    <m/>
    <m/>
    <m/>
    <m/>
    <s v="ENV Contractor"/>
    <m/>
    <m/>
    <n v="25"/>
    <n v="24"/>
    <n v="3"/>
    <n v="31"/>
    <m/>
    <m/>
    <m/>
    <m/>
    <m/>
    <m/>
    <m/>
    <m/>
    <n v="151"/>
    <n v="1"/>
    <n v="1"/>
    <n v="1"/>
    <n v="0"/>
    <n v="24"/>
    <m/>
    <n v="3"/>
    <s v="N4"/>
  </r>
  <r>
    <m/>
    <x v="48"/>
    <s v="A-493-0077"/>
    <s v="0381"/>
    <x v="2"/>
    <d v="2026-05-11T00:00:00"/>
    <d v="2026-05-13T00:00:00"/>
    <s v="Unfunded"/>
    <d v="1899-12-30T08:00:00"/>
    <m/>
    <m/>
    <m/>
    <m/>
    <m/>
    <m/>
    <s v="ENV Contractor"/>
    <m/>
    <m/>
    <n v="25"/>
    <n v="24"/>
    <n v="3"/>
    <n v="37"/>
    <m/>
    <m/>
    <m/>
    <m/>
    <m/>
    <m/>
    <m/>
    <m/>
    <n v="151"/>
    <n v="1"/>
    <n v="1"/>
    <n v="1"/>
    <n v="0"/>
    <n v="24"/>
    <m/>
    <n v="3"/>
    <s v="N4"/>
  </r>
  <r>
    <m/>
    <x v="2"/>
    <s v="A-493-2501"/>
    <s v="05ZE"/>
    <x v="51"/>
    <d v="2026-05-11T00:00:00"/>
    <d v="2026-05-11T00:00:00"/>
    <s v="Unfunded"/>
    <d v="1899-12-30T08:00:00"/>
    <m/>
    <m/>
    <m/>
    <m/>
    <m/>
    <m/>
    <s v="ENV Contractor"/>
    <m/>
    <m/>
    <n v="30"/>
    <n v="8"/>
    <n v="1"/>
    <n v="31"/>
    <m/>
    <m/>
    <m/>
    <m/>
    <m/>
    <m/>
    <m/>
    <m/>
    <n v="149"/>
    <n v="1"/>
    <n v="1"/>
    <n v="1"/>
    <n v="0"/>
    <n v="8"/>
    <m/>
    <n v="3"/>
    <s v="N4"/>
  </r>
  <r>
    <m/>
    <x v="38"/>
    <s v="A-570-0100"/>
    <s v="18B7"/>
    <x v="0"/>
    <d v="2026-05-11T00:00:00"/>
    <d v="2026-05-12T00:00:00"/>
    <s v="Funded"/>
    <m/>
    <d v="1899-12-30T08:00:00"/>
    <d v="1899-12-30T16:00:00"/>
    <d v="1899-12-30T02:00:00"/>
    <d v="1899-12-30T00:00:00"/>
    <d v="1899-12-30T13:00:00"/>
    <d v="1899-12-30T08:00:00"/>
    <s v="LS1 Scoggins"/>
    <m/>
    <m/>
    <n v="45"/>
    <n v="16"/>
    <n v="2"/>
    <n v="126"/>
    <m/>
    <m/>
    <m/>
    <m/>
    <m/>
    <m/>
    <m/>
    <m/>
    <n v="150"/>
    <n v="1"/>
    <n v="1"/>
    <n v="1"/>
    <n v="0"/>
    <n v="16"/>
    <m/>
    <n v="3"/>
    <s v="N8"/>
  </r>
  <r>
    <m/>
    <x v="7"/>
    <s v="A-493-0072"/>
    <s v="713U"/>
    <x v="8"/>
    <d v="2026-05-11T00:00:00"/>
    <d v="2026-05-15T00:00:00"/>
    <s v="Funded"/>
    <d v="1899-12-30T08:00:00"/>
    <m/>
    <m/>
    <m/>
    <m/>
    <m/>
    <m/>
    <s v="B. Jung"/>
    <m/>
    <s v="Amanda"/>
    <n v="30"/>
    <n v="40"/>
    <n v="5"/>
    <n v="265"/>
    <m/>
    <m/>
    <m/>
    <m/>
    <m/>
    <m/>
    <m/>
    <m/>
    <n v="153"/>
    <n v="1"/>
    <n v="1"/>
    <n v="1"/>
    <n v="0"/>
    <n v="40"/>
    <m/>
    <n v="3"/>
    <s v="N3"/>
  </r>
  <r>
    <s v="USMC-Do not spread quotas"/>
    <x v="7"/>
    <s v="A-493-0072"/>
    <s v="713U"/>
    <x v="52"/>
    <d v="2026-05-11T00:00:00"/>
    <d v="2026-05-15T00:00:00"/>
    <s v="Funded"/>
    <d v="1899-12-30T08:00:00"/>
    <m/>
    <m/>
    <m/>
    <m/>
    <m/>
    <m/>
    <s v="W. Mitchell"/>
    <m/>
    <s v="LSC Kitivi"/>
    <n v="30"/>
    <n v="40"/>
    <n v="5"/>
    <n v="15"/>
    <m/>
    <m/>
    <m/>
    <m/>
    <m/>
    <m/>
    <m/>
    <m/>
    <n v="153"/>
    <n v="1"/>
    <n v="1"/>
    <n v="1"/>
    <n v="0"/>
    <n v="40"/>
    <m/>
    <n v="3"/>
    <s v="N3"/>
  </r>
  <r>
    <s v="USMC FUNDED"/>
    <x v="53"/>
    <s v="A-493-2017"/>
    <s v="12x3"/>
    <x v="39"/>
    <d v="2026-05-11T00:00:00"/>
    <d v="2026-05-15T00:00:00"/>
    <s v="Unfunded"/>
    <d v="1899-12-30T08:00:00"/>
    <m/>
    <m/>
    <m/>
    <m/>
    <m/>
    <m/>
    <s v="ENV Contractor"/>
    <m/>
    <m/>
    <n v="25"/>
    <n v="40"/>
    <n v="5"/>
    <n v="45"/>
    <m/>
    <m/>
    <m/>
    <m/>
    <m/>
    <m/>
    <m/>
    <m/>
    <n v="153"/>
    <n v="1"/>
    <n v="1"/>
    <n v="1"/>
    <n v="0"/>
    <n v="40"/>
    <m/>
    <n v="3"/>
    <s v="N4"/>
  </r>
  <r>
    <m/>
    <x v="0"/>
    <s v="A-493-0550"/>
    <s v="09K5"/>
    <x v="0"/>
    <d v="2026-05-11T00:00:00"/>
    <d v="2026-05-14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m/>
    <m/>
    <m/>
    <m/>
    <m/>
    <m/>
    <m/>
    <m/>
    <n v="152"/>
    <n v="1"/>
    <n v="1"/>
    <n v="1"/>
    <n v="0"/>
    <n v="32"/>
    <m/>
    <n v="3"/>
    <s v="N5"/>
  </r>
  <r>
    <m/>
    <x v="1"/>
    <s v="A-493-0099"/>
    <s v="12JW"/>
    <x v="0"/>
    <d v="2026-05-13T00:00:00"/>
    <d v="2026-05-15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934"/>
    <m/>
    <m/>
    <m/>
    <m/>
    <m/>
    <m/>
    <m/>
    <m/>
    <n v="153"/>
    <n v="1"/>
    <n v="1"/>
    <n v="1"/>
    <n v="0"/>
    <n v="24"/>
    <m/>
    <n v="3"/>
    <s v="N5"/>
  </r>
  <r>
    <s v="DFSP Hachinohe"/>
    <x v="50"/>
    <s v="A-493-0013"/>
    <n v="3683"/>
    <x v="53"/>
    <d v="2026-05-13T00:00:00"/>
    <d v="2026-05-15T00:00:00"/>
    <s v="Unfunded"/>
    <d v="1899-12-30T08:00:00"/>
    <m/>
    <m/>
    <m/>
    <m/>
    <m/>
    <m/>
    <s v="G. Jester"/>
    <m/>
    <m/>
    <n v="40"/>
    <n v="24"/>
    <n v="3"/>
    <n v="30"/>
    <m/>
    <m/>
    <m/>
    <m/>
    <m/>
    <m/>
    <m/>
    <m/>
    <n v="153"/>
    <n v="1"/>
    <n v="1"/>
    <n v="1"/>
    <n v="0"/>
    <n v="24"/>
    <m/>
    <n v="3"/>
    <s v="N4"/>
  </r>
  <r>
    <m/>
    <x v="10"/>
    <s v="A-493-0083"/>
    <s v="339E"/>
    <x v="2"/>
    <d v="2026-05-14T00:00:00"/>
    <d v="2026-05-14T00:00:00"/>
    <s v="Unfunded"/>
    <d v="1899-12-30T08:00:00"/>
    <m/>
    <m/>
    <m/>
    <m/>
    <m/>
    <m/>
    <s v="ENV Contractor"/>
    <m/>
    <m/>
    <n v="30"/>
    <n v="8"/>
    <n v="1"/>
    <n v="31"/>
    <m/>
    <m/>
    <m/>
    <m/>
    <m/>
    <m/>
    <m/>
    <m/>
    <n v="152"/>
    <n v="1"/>
    <n v="1"/>
    <n v="1"/>
    <n v="0"/>
    <n v="8"/>
    <m/>
    <n v="3"/>
    <s v="N4"/>
  </r>
  <r>
    <m/>
    <x v="3"/>
    <s v="A-493-0103"/>
    <s v="12JY"/>
    <x v="22"/>
    <d v="2026-05-18T00:00:00"/>
    <d v="2026-05-22T00:00:00"/>
    <s v="Funded"/>
    <d v="1899-12-30T08:00:00"/>
    <m/>
    <m/>
    <m/>
    <m/>
    <m/>
    <m/>
    <s v="SOH Contractor"/>
    <m/>
    <m/>
    <n v="25"/>
    <n v="40"/>
    <n v="5"/>
    <n v="27"/>
    <m/>
    <m/>
    <m/>
    <m/>
    <m/>
    <m/>
    <m/>
    <m/>
    <n v="160"/>
    <n v="1"/>
    <n v="1"/>
    <n v="1"/>
    <n v="0"/>
    <n v="40"/>
    <m/>
    <n v="3"/>
    <s v="N5"/>
  </r>
  <r>
    <m/>
    <x v="3"/>
    <s v="A-493-0103"/>
    <s v="12JY"/>
    <x v="10"/>
    <d v="2026-05-18T00:00:00"/>
    <d v="2026-05-22T00:00:00"/>
    <s v="Funded"/>
    <d v="1899-12-30T08:00:00"/>
    <m/>
    <m/>
    <m/>
    <m/>
    <m/>
    <m/>
    <s v="SOH Contractor"/>
    <m/>
    <m/>
    <n v="25"/>
    <n v="40"/>
    <n v="5"/>
    <n v="225"/>
    <m/>
    <m/>
    <m/>
    <m/>
    <m/>
    <m/>
    <m/>
    <m/>
    <n v="160"/>
    <n v="1"/>
    <n v="1"/>
    <n v="1"/>
    <n v="0"/>
    <n v="40"/>
    <m/>
    <n v="3"/>
    <s v="N5"/>
  </r>
  <r>
    <m/>
    <x v="3"/>
    <s v="A-493-0103"/>
    <s v="12JY"/>
    <x v="12"/>
    <d v="2026-05-18T00:00:00"/>
    <d v="2025-05-22T00:00:00"/>
    <s v="Funded"/>
    <d v="1899-12-30T08:00:00"/>
    <m/>
    <m/>
    <m/>
    <m/>
    <m/>
    <m/>
    <s v="SOH Contractor"/>
    <m/>
    <m/>
    <n v="25"/>
    <n v="40"/>
    <n v="5"/>
    <n v="75"/>
    <m/>
    <m/>
    <m/>
    <m/>
    <m/>
    <m/>
    <m/>
    <m/>
    <n v="-205"/>
    <n v="1"/>
    <n v="1"/>
    <n v="1"/>
    <n v="0"/>
    <n v="40"/>
    <m/>
    <n v="3"/>
    <s v="N5"/>
  </r>
  <r>
    <m/>
    <x v="37"/>
    <s v="A-493-0665"/>
    <s v="10KW"/>
    <x v="0"/>
    <d v="2026-05-18T00:00:00"/>
    <d v="2026-05-20T00:00:00"/>
    <s v="Funded"/>
    <m/>
    <d v="1899-12-30T08:00:00"/>
    <d v="1899-12-30T05:00:00"/>
    <d v="1899-12-30T15:00:00"/>
    <d v="1899-12-30T13:00:00"/>
    <d v="1899-12-30T02:00:00"/>
    <d v="1899-12-30T21:00:00"/>
    <s v="LSC Kitivi"/>
    <m/>
    <m/>
    <n v="45"/>
    <n v="24"/>
    <n v="3"/>
    <n v="140"/>
    <m/>
    <m/>
    <m/>
    <m/>
    <m/>
    <m/>
    <m/>
    <m/>
    <n v="158"/>
    <n v="1"/>
    <n v="1"/>
    <n v="1"/>
    <n v="0"/>
    <n v="24"/>
    <m/>
    <n v="3"/>
    <s v="N8"/>
  </r>
  <r>
    <s v="NBK - Bremerton"/>
    <x v="15"/>
    <s v="A-493-0012"/>
    <n v="3682"/>
    <x v="13"/>
    <d v="2026-05-18T00:00:00"/>
    <d v="2026-05-22T00:00:00"/>
    <s v="Unfunded"/>
    <d v="1899-12-30T08:00:00"/>
    <m/>
    <m/>
    <m/>
    <m/>
    <m/>
    <m/>
    <s v="R. Hartel"/>
    <m/>
    <m/>
    <n v="40"/>
    <n v="40"/>
    <n v="5"/>
    <n v="20"/>
    <m/>
    <m/>
    <m/>
    <m/>
    <m/>
    <m/>
    <m/>
    <m/>
    <n v="160"/>
    <n v="1"/>
    <n v="1"/>
    <n v="1"/>
    <n v="0"/>
    <n v="40"/>
    <m/>
    <n v="3"/>
    <s v="N4"/>
  </r>
  <r>
    <s v="NAVFAC Mid-Atlantic"/>
    <x v="15"/>
    <s v="A-493-0012"/>
    <n v="3682"/>
    <x v="3"/>
    <d v="2026-05-18T00:00:00"/>
    <d v="2026-05-22T00:00:00"/>
    <s v="Unfunded"/>
    <d v="1899-12-30T08:00:00"/>
    <m/>
    <m/>
    <m/>
    <m/>
    <m/>
    <m/>
    <s v="W. Bailey"/>
    <m/>
    <m/>
    <n v="40"/>
    <n v="40"/>
    <n v="5"/>
    <n v="13"/>
    <m/>
    <m/>
    <m/>
    <m/>
    <m/>
    <m/>
    <m/>
    <m/>
    <n v="160"/>
    <n v="1"/>
    <n v="1"/>
    <n v="1"/>
    <n v="0"/>
    <n v="40"/>
    <m/>
    <n v="3"/>
    <s v="N4"/>
  </r>
  <r>
    <m/>
    <x v="4"/>
    <s v="A-493-0061"/>
    <s v="288E"/>
    <x v="0"/>
    <d v="2026-05-18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m/>
    <m/>
    <m/>
    <m/>
    <m/>
    <m/>
    <m/>
    <m/>
    <n v="159"/>
    <n v="1"/>
    <n v="1"/>
    <n v="1"/>
    <n v="0"/>
    <n v="30"/>
    <m/>
    <n v="3"/>
    <s v="N5"/>
  </r>
  <r>
    <m/>
    <x v="5"/>
    <s v="A-322-2604"/>
    <s v="10ZZ"/>
    <x v="0"/>
    <d v="2026-05-18T00:00:00"/>
    <d v="2026-05-20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m/>
    <m/>
    <m/>
    <m/>
    <m/>
    <m/>
    <m/>
    <m/>
    <n v="158"/>
    <n v="1"/>
    <n v="1"/>
    <n v="1"/>
    <n v="0"/>
    <n v="24"/>
    <m/>
    <n v="3"/>
    <s v="N8"/>
  </r>
  <r>
    <m/>
    <x v="40"/>
    <s v="A-493-0335"/>
    <s v="09ND"/>
    <x v="0"/>
    <d v="2026-05-18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A. Harris"/>
    <m/>
    <m/>
    <n v="45"/>
    <n v="32"/>
    <n v="4"/>
    <n v="537"/>
    <m/>
    <m/>
    <m/>
    <m/>
    <m/>
    <m/>
    <m/>
    <m/>
    <n v="159"/>
    <n v="1"/>
    <n v="1"/>
    <n v="1"/>
    <n v="0"/>
    <n v="32"/>
    <m/>
    <n v="3"/>
    <s v="N3"/>
  </r>
  <r>
    <m/>
    <x v="2"/>
    <s v="A-493-2501"/>
    <s v="05ZE"/>
    <x v="4"/>
    <d v="2026-05-18T00:00:00"/>
    <d v="2026-05-18T00:00:00"/>
    <s v="Unfunded"/>
    <d v="1899-12-30T08:00:00"/>
    <m/>
    <m/>
    <m/>
    <m/>
    <m/>
    <m/>
    <s v="ENV Contractor"/>
    <m/>
    <m/>
    <n v="30"/>
    <n v="8"/>
    <n v="1"/>
    <n v="58"/>
    <m/>
    <m/>
    <m/>
    <m/>
    <m/>
    <m/>
    <m/>
    <m/>
    <n v="156"/>
    <n v="1"/>
    <n v="1"/>
    <n v="1"/>
    <n v="0"/>
    <n v="8"/>
    <m/>
    <n v="3"/>
    <s v="N4"/>
  </r>
  <r>
    <m/>
    <x v="8"/>
    <s v="A-493-2098"/>
    <s v="09WW"/>
    <x v="0"/>
    <d v="2026-05-18T00:00:00"/>
    <d v="2026-05-20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m/>
    <m/>
    <m/>
    <m/>
    <m/>
    <m/>
    <m/>
    <m/>
    <n v="158"/>
    <n v="1"/>
    <n v="1"/>
    <n v="1"/>
    <n v="0"/>
    <n v="16"/>
    <m/>
    <n v="3"/>
    <s v="N8"/>
  </r>
  <r>
    <m/>
    <x v="6"/>
    <s v="A-493-0078"/>
    <n v="1228"/>
    <x v="0"/>
    <d v="2026-05-18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T. White"/>
    <m/>
    <m/>
    <n v="45"/>
    <n v="32"/>
    <n v="4"/>
    <n v="568"/>
    <m/>
    <m/>
    <m/>
    <m/>
    <m/>
    <m/>
    <m/>
    <m/>
    <n v="159"/>
    <n v="1"/>
    <n v="1"/>
    <n v="1"/>
    <n v="0"/>
    <n v="32"/>
    <m/>
    <n v="3"/>
    <s v="N5"/>
  </r>
  <r>
    <s v="JEB Little Creek -  Fort Story (Virginia Beach)"/>
    <x v="50"/>
    <s v="A-493-0013"/>
    <n v="3683"/>
    <x v="54"/>
    <d v="2026-05-19T00:00:00"/>
    <d v="2026-05-21T00:00:00"/>
    <s v="Unfunded"/>
    <d v="1899-12-30T08:00:00"/>
    <m/>
    <m/>
    <m/>
    <m/>
    <m/>
    <m/>
    <s v="G. Jester"/>
    <m/>
    <m/>
    <n v="40"/>
    <n v="24"/>
    <n v="3"/>
    <n v="30"/>
    <m/>
    <m/>
    <m/>
    <m/>
    <m/>
    <m/>
    <m/>
    <m/>
    <n v="159"/>
    <n v="1"/>
    <n v="1"/>
    <n v="1"/>
    <n v="0"/>
    <n v="24"/>
    <m/>
    <n v="3"/>
    <s v="N4"/>
  </r>
  <r>
    <m/>
    <x v="48"/>
    <s v="A-493-0077"/>
    <s v="0381"/>
    <x v="55"/>
    <d v="2026-05-19T00:00:00"/>
    <d v="2026-05-21T00:00:00"/>
    <s v="Unfunded"/>
    <d v="1899-12-30T08:00:00"/>
    <m/>
    <m/>
    <m/>
    <m/>
    <m/>
    <m/>
    <s v="ENV Contractor"/>
    <m/>
    <m/>
    <n v="25"/>
    <n v="24"/>
    <n v="3"/>
    <n v="22"/>
    <m/>
    <m/>
    <m/>
    <m/>
    <m/>
    <m/>
    <m/>
    <m/>
    <n v="159"/>
    <n v="1"/>
    <n v="1"/>
    <n v="1"/>
    <n v="0"/>
    <n v="24"/>
    <m/>
    <n v="3"/>
    <s v="N4"/>
  </r>
  <r>
    <m/>
    <x v="12"/>
    <s v="A-493-0331"/>
    <s v="10UG"/>
    <x v="0"/>
    <d v="2026-05-19T00:00:00"/>
    <d v="2026-05-21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m/>
    <m/>
    <m/>
    <m/>
    <m/>
    <m/>
    <m/>
    <m/>
    <n v="159"/>
    <n v="1"/>
    <n v="1"/>
    <n v="1"/>
    <n v="0"/>
    <n v="24"/>
    <m/>
    <n v="3"/>
    <s v="N3"/>
  </r>
  <r>
    <m/>
    <x v="2"/>
    <s v="A-493-2501"/>
    <s v="05ZE"/>
    <x v="54"/>
    <d v="2026-05-19T00:00:00"/>
    <d v="2026-05-19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157"/>
    <n v="1"/>
    <n v="1"/>
    <n v="1"/>
    <n v="0"/>
    <n v="8"/>
    <m/>
    <n v="3"/>
    <s v="N4"/>
  </r>
  <r>
    <m/>
    <x v="0"/>
    <s v="A-493-0550"/>
    <s v="09K5"/>
    <x v="0"/>
    <d v="2026-05-19T00:00:00"/>
    <d v="2026-05-22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m/>
    <m/>
    <m/>
    <m/>
    <m/>
    <m/>
    <m/>
    <m/>
    <n v="160"/>
    <n v="1"/>
    <n v="1"/>
    <n v="1"/>
    <n v="0"/>
    <n v="32"/>
    <m/>
    <n v="3"/>
    <s v="N5"/>
  </r>
  <r>
    <m/>
    <x v="2"/>
    <s v="A-493-2501"/>
    <s v="05ZE"/>
    <x v="56"/>
    <d v="2026-05-20T00:00:00"/>
    <d v="2026-05-20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158"/>
    <n v="1"/>
    <n v="1"/>
    <n v="1"/>
    <n v="0"/>
    <n v="8"/>
    <m/>
    <n v="3"/>
    <s v="N4"/>
  </r>
  <r>
    <m/>
    <x v="2"/>
    <s v="A-493-2501"/>
    <s v="05ZE"/>
    <x v="57"/>
    <d v="2026-05-21T00:00:00"/>
    <d v="2026-05-21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159"/>
    <n v="1"/>
    <n v="1"/>
    <n v="1"/>
    <n v="0"/>
    <n v="8"/>
    <m/>
    <n v="3"/>
    <s v="N4"/>
  </r>
  <r>
    <m/>
    <x v="2"/>
    <s v="A-493-2501"/>
    <s v="05ZE"/>
    <x v="58"/>
    <d v="2026-05-22T00:00:00"/>
    <d v="2026-05-22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160"/>
    <n v="1"/>
    <n v="1"/>
    <n v="1"/>
    <n v="0"/>
    <n v="8"/>
    <m/>
    <n v="3"/>
    <s v="N4"/>
  </r>
  <r>
    <s v="Memorial Day"/>
    <x v="11"/>
    <s v="Holiday"/>
    <s v="Holiday"/>
    <x v="5"/>
    <d v="2026-05-25T00:00:00"/>
    <d v="2026-05-25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63"/>
    <n v="0"/>
    <n v="1"/>
    <n v="1"/>
    <n v="0"/>
    <n v="0"/>
    <m/>
    <n v="3"/>
    <s v="TSD"/>
  </r>
  <r>
    <s v="Evening Class "/>
    <x v="42"/>
    <s v="A-493-0085"/>
    <n v="3555"/>
    <x v="0"/>
    <d v="2026-05-26T00:00:00"/>
    <d v="2026-05-29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32"/>
    <n v="4"/>
    <n v="688"/>
    <m/>
    <m/>
    <m/>
    <m/>
    <m/>
    <m/>
    <m/>
    <m/>
    <n v="167"/>
    <n v="1"/>
    <n v="1"/>
    <n v="1"/>
    <n v="0"/>
    <n v="32"/>
    <m/>
    <n v="3"/>
    <s v="N3"/>
  </r>
  <r>
    <m/>
    <x v="0"/>
    <s v="A-493-0550"/>
    <s v="09K5"/>
    <x v="0"/>
    <d v="2026-05-26T00:00:00"/>
    <d v="2026-05-29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m/>
    <m/>
    <m/>
    <m/>
    <m/>
    <m/>
    <m/>
    <m/>
    <n v="167"/>
    <n v="1"/>
    <n v="1"/>
    <n v="1"/>
    <n v="0"/>
    <n v="32"/>
    <m/>
    <n v="3"/>
    <s v="N5"/>
  </r>
  <r>
    <m/>
    <x v="1"/>
    <s v="A-493-0099"/>
    <s v="12JW"/>
    <x v="0"/>
    <d v="2026-05-27T00:00:00"/>
    <d v="2026-05-29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1041"/>
    <m/>
    <m/>
    <m/>
    <m/>
    <m/>
    <m/>
    <m/>
    <m/>
    <n v="167"/>
    <n v="1"/>
    <n v="1"/>
    <n v="1"/>
    <n v="0"/>
    <n v="24"/>
    <m/>
    <n v="3"/>
    <s v="N5"/>
  </r>
  <r>
    <m/>
    <x v="48"/>
    <s v="A-493-0077"/>
    <s v="0381"/>
    <x v="59"/>
    <d v="2026-05-27T00:00:00"/>
    <d v="2026-05-29T00:00:00"/>
    <s v="Unfunded"/>
    <d v="1899-12-30T08:00:00"/>
    <m/>
    <m/>
    <m/>
    <m/>
    <m/>
    <m/>
    <s v="ENV Contractor"/>
    <m/>
    <m/>
    <n v="25"/>
    <n v="24"/>
    <n v="3"/>
    <n v="21"/>
    <m/>
    <m/>
    <m/>
    <m/>
    <m/>
    <m/>
    <m/>
    <m/>
    <n v="167"/>
    <n v="1"/>
    <n v="1"/>
    <n v="1"/>
    <n v="0"/>
    <n v="24"/>
    <m/>
    <n v="3"/>
    <s v="N4"/>
  </r>
  <r>
    <m/>
    <x v="3"/>
    <s v="A-493-0103"/>
    <s v="12JY"/>
    <x v="19"/>
    <d v="2026-06-01T00:00:00"/>
    <d v="2026-06-05T00:00:00"/>
    <s v="Funded"/>
    <d v="1899-12-30T08:00:00"/>
    <m/>
    <m/>
    <m/>
    <m/>
    <m/>
    <m/>
    <s v="SOH Contractor"/>
    <m/>
    <m/>
    <n v="25"/>
    <n v="40"/>
    <n v="5"/>
    <n v="39"/>
    <m/>
    <m/>
    <m/>
    <m/>
    <m/>
    <m/>
    <m/>
    <m/>
    <n v="174"/>
    <n v="1"/>
    <n v="1"/>
    <n v="1"/>
    <n v="0"/>
    <n v="40"/>
    <m/>
    <n v="3"/>
    <s v="N5"/>
  </r>
  <r>
    <m/>
    <x v="3"/>
    <s v="A-493-0103"/>
    <s v="12JY"/>
    <x v="3"/>
    <d v="2026-06-01T00:00:00"/>
    <d v="2026-06-05T00:00:00"/>
    <s v="Funded"/>
    <d v="1899-12-30T08:00:00"/>
    <m/>
    <m/>
    <m/>
    <m/>
    <m/>
    <m/>
    <s v="SOH Contractor"/>
    <m/>
    <m/>
    <n v="25"/>
    <n v="40"/>
    <n v="5"/>
    <n v="512"/>
    <m/>
    <m/>
    <m/>
    <m/>
    <m/>
    <m/>
    <m/>
    <m/>
    <n v="174"/>
    <n v="1"/>
    <n v="1"/>
    <n v="1"/>
    <n v="0"/>
    <n v="40"/>
    <m/>
    <n v="3"/>
    <s v="N5"/>
  </r>
  <r>
    <m/>
    <x v="5"/>
    <s v="A-322-2604"/>
    <s v="10ZZ"/>
    <x v="0"/>
    <d v="2026-06-01T00:00:00"/>
    <d v="2026-06-03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m/>
    <m/>
    <m/>
    <m/>
    <m/>
    <m/>
    <m/>
    <m/>
    <n v="172"/>
    <n v="1"/>
    <n v="1"/>
    <n v="1"/>
    <n v="0"/>
    <n v="24"/>
    <m/>
    <n v="3"/>
    <s v="N8"/>
  </r>
  <r>
    <m/>
    <x v="4"/>
    <s v="A-493-0061"/>
    <s v="288E"/>
    <x v="0"/>
    <d v="2026-06-01T00:00:00"/>
    <d v="2026-06-04T00:00:00"/>
    <s v="Funded"/>
    <m/>
    <d v="1899-12-30T19:00:00"/>
    <d v="1899-12-30T16:00:00"/>
    <d v="1899-12-30T02:00:00"/>
    <d v="1899-12-30T00:00:00"/>
    <d v="1899-12-30T13:00:00"/>
    <d v="1899-12-30T08:00:00"/>
    <s v="S. Griffin"/>
    <m/>
    <m/>
    <n v="45"/>
    <n v="30"/>
    <n v="4"/>
    <n v="187"/>
    <m/>
    <m/>
    <m/>
    <m/>
    <m/>
    <m/>
    <m/>
    <m/>
    <n v="173"/>
    <n v="1"/>
    <n v="1"/>
    <n v="1"/>
    <n v="0"/>
    <n v="30"/>
    <m/>
    <n v="3"/>
    <s v="N5"/>
  </r>
  <r>
    <m/>
    <x v="40"/>
    <s v="A-493-0335"/>
    <s v="09ND"/>
    <x v="0"/>
    <d v="2026-06-01T00:00:00"/>
    <d v="2026-06-04T00:00:00"/>
    <s v="Funded"/>
    <m/>
    <d v="1899-12-30T19:00:00"/>
    <d v="1899-12-30T16:00:00"/>
    <d v="1899-12-30T02:00:00"/>
    <d v="1899-12-30T00:00:00"/>
    <d v="1899-12-30T13:00:00"/>
    <d v="1899-12-30T08:00:00"/>
    <s v="W. Mitchell"/>
    <m/>
    <m/>
    <n v="45"/>
    <n v="32"/>
    <n v="4"/>
    <n v="119"/>
    <m/>
    <m/>
    <m/>
    <m/>
    <m/>
    <m/>
    <m/>
    <m/>
    <n v="173"/>
    <n v="1"/>
    <n v="1"/>
    <n v="1"/>
    <n v="0"/>
    <n v="32"/>
    <m/>
    <n v="3"/>
    <s v="N3"/>
  </r>
  <r>
    <m/>
    <x v="8"/>
    <s v="A-493-2098"/>
    <s v="09WW"/>
    <x v="0"/>
    <d v="2026-06-01T00:00:00"/>
    <d v="2026-06-03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m/>
    <m/>
    <m/>
    <m/>
    <m/>
    <m/>
    <m/>
    <m/>
    <n v="172"/>
    <n v="1"/>
    <n v="1"/>
    <n v="1"/>
    <n v="0"/>
    <n v="16"/>
    <m/>
    <n v="3"/>
    <s v="N8"/>
  </r>
  <r>
    <m/>
    <x v="41"/>
    <s v="F-4J-0023"/>
    <s v="11A2"/>
    <x v="0"/>
    <d v="2026-06-01T00:00:00"/>
    <d v="2026-06-02T00:00:00"/>
    <s v="Funded"/>
    <m/>
    <d v="1899-12-30T12:00:00"/>
    <d v="1899-12-30T09:00:00"/>
    <d v="1899-12-30T19:00:00"/>
    <d v="1899-12-30T18:00:00"/>
    <d v="1899-12-30T06:00:00"/>
    <d v="1899-12-30T01:00:00"/>
    <s v="TBD"/>
    <m/>
    <m/>
    <n v="45"/>
    <n v="16"/>
    <n v="2"/>
    <n v="1882"/>
    <m/>
    <m/>
    <m/>
    <m/>
    <m/>
    <m/>
    <m/>
    <m/>
    <n v="171"/>
    <n v="1"/>
    <n v="1"/>
    <n v="1"/>
    <n v="0"/>
    <n v="16"/>
    <m/>
    <n v="3"/>
    <s v="N8"/>
  </r>
  <r>
    <m/>
    <x v="53"/>
    <s v="A-493-2017"/>
    <s v="12x3"/>
    <x v="2"/>
    <d v="2026-06-01T00:00:00"/>
    <d v="2026-06-05T00:00:00"/>
    <s v="Unfunded"/>
    <d v="1899-12-30T08:00:00"/>
    <m/>
    <m/>
    <m/>
    <m/>
    <m/>
    <m/>
    <s v="ENV Contractor"/>
    <m/>
    <m/>
    <n v="25"/>
    <n v="40"/>
    <n v="5"/>
    <n v="30"/>
    <m/>
    <m/>
    <m/>
    <m/>
    <m/>
    <m/>
    <m/>
    <m/>
    <n v="174"/>
    <n v="1"/>
    <n v="1"/>
    <n v="1"/>
    <n v="0"/>
    <n v="40"/>
    <m/>
    <n v="3"/>
    <s v="N4"/>
  </r>
  <r>
    <m/>
    <x v="6"/>
    <s v="A-493-0078"/>
    <n v="1228"/>
    <x v="0"/>
    <d v="2026-06-01T00:00:00"/>
    <d v="2026-06-04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m/>
    <m/>
    <m/>
    <m/>
    <m/>
    <m/>
    <m/>
    <m/>
    <n v="173"/>
    <n v="1"/>
    <n v="1"/>
    <n v="1"/>
    <n v="0"/>
    <n v="32"/>
    <m/>
    <n v="3"/>
    <s v="N5"/>
  </r>
  <r>
    <m/>
    <x v="48"/>
    <s v="A-493-0077"/>
    <s v="0381"/>
    <x v="8"/>
    <d v="2026-06-03T00:00:00"/>
    <d v="2026-06-05T00:00:00"/>
    <s v="Unfunded"/>
    <d v="1899-12-30T08:00:00"/>
    <m/>
    <m/>
    <m/>
    <m/>
    <m/>
    <m/>
    <s v="ENV Contractor"/>
    <m/>
    <m/>
    <n v="25"/>
    <n v="24"/>
    <n v="3"/>
    <n v="82"/>
    <m/>
    <m/>
    <m/>
    <m/>
    <m/>
    <m/>
    <m/>
    <m/>
    <n v="174"/>
    <n v="1"/>
    <n v="1"/>
    <n v="1"/>
    <n v="0"/>
    <n v="24"/>
    <m/>
    <n v="3"/>
    <s v="N4"/>
  </r>
  <r>
    <m/>
    <x v="3"/>
    <s v="A-493-0103"/>
    <s v="12JY"/>
    <x v="60"/>
    <d v="2026-06-08T00:00:00"/>
    <d v="2026-06-12T00:00:00"/>
    <s v="Funded"/>
    <d v="1899-12-30T08:00:00"/>
    <m/>
    <m/>
    <m/>
    <m/>
    <m/>
    <m/>
    <s v="SOH Contractor"/>
    <m/>
    <m/>
    <n v="25"/>
    <n v="40"/>
    <n v="5"/>
    <m/>
    <m/>
    <m/>
    <m/>
    <m/>
    <m/>
    <m/>
    <m/>
    <m/>
    <n v="181"/>
    <n v="1"/>
    <n v="1"/>
    <n v="1"/>
    <n v="0"/>
    <n v="40"/>
    <m/>
    <n v="3"/>
    <s v="N5"/>
  </r>
  <r>
    <m/>
    <x v="3"/>
    <s v="A-493-0103"/>
    <s v="12JY"/>
    <x v="4"/>
    <d v="2026-06-08T00:00:00"/>
    <d v="2026-06-12T00:00:00"/>
    <s v="Funded"/>
    <d v="1899-12-30T08:00:00"/>
    <m/>
    <m/>
    <m/>
    <m/>
    <m/>
    <m/>
    <s v="SOH Contractor"/>
    <m/>
    <m/>
    <n v="25"/>
    <n v="40"/>
    <n v="5"/>
    <n v="512"/>
    <m/>
    <m/>
    <m/>
    <m/>
    <m/>
    <m/>
    <m/>
    <m/>
    <n v="181"/>
    <n v="1"/>
    <n v="1"/>
    <n v="1"/>
    <n v="0"/>
    <n v="40"/>
    <m/>
    <n v="3"/>
    <s v="N5"/>
  </r>
  <r>
    <m/>
    <x v="37"/>
    <s v="A-493-0665"/>
    <s v="10KW"/>
    <x v="0"/>
    <d v="2026-06-08T00:00:00"/>
    <d v="2026-06-10T00:00:00"/>
    <s v="Funded"/>
    <m/>
    <d v="1899-12-30T19:00:00"/>
    <d v="1899-12-30T16:00:00"/>
    <d v="1899-12-30T02:00:00"/>
    <d v="1899-12-30T00:00:00"/>
    <d v="1899-12-30T13:00:00"/>
    <d v="1899-12-30T08:00:00"/>
    <s v="LSC Kitivi"/>
    <m/>
    <m/>
    <n v="45"/>
    <n v="24"/>
    <n v="3"/>
    <n v="82"/>
    <m/>
    <m/>
    <m/>
    <m/>
    <m/>
    <m/>
    <m/>
    <m/>
    <n v="179"/>
    <n v="1"/>
    <n v="1"/>
    <n v="1"/>
    <n v="0"/>
    <n v="24"/>
    <m/>
    <n v="3"/>
    <s v="N8"/>
  </r>
  <r>
    <s v="Naval Base Coronado"/>
    <x v="15"/>
    <s v="A-493-0012"/>
    <n v="3682"/>
    <x v="33"/>
    <d v="2026-06-08T00:00:00"/>
    <d v="2026-06-12T00:00:00"/>
    <s v="Unfunded"/>
    <d v="1899-12-30T08:00:00"/>
    <m/>
    <m/>
    <m/>
    <m/>
    <m/>
    <m/>
    <s v="R. Hartel"/>
    <m/>
    <m/>
    <n v="40"/>
    <n v="40"/>
    <n v="5"/>
    <n v="38"/>
    <m/>
    <m/>
    <m/>
    <m/>
    <m/>
    <m/>
    <m/>
    <m/>
    <n v="181"/>
    <n v="1"/>
    <n v="1"/>
    <n v="1"/>
    <n v="0"/>
    <n v="40"/>
    <m/>
    <n v="3"/>
    <s v="N4"/>
  </r>
  <r>
    <s v="NSA Annapolis"/>
    <x v="15"/>
    <s v="A-493-0012"/>
    <n v="3682"/>
    <x v="58"/>
    <d v="2026-06-08T00:00:00"/>
    <d v="2026-06-12T00:00:00"/>
    <s v="Unfunded"/>
    <d v="1899-12-30T08:00:00"/>
    <m/>
    <m/>
    <m/>
    <m/>
    <m/>
    <m/>
    <s v="W. Bailey"/>
    <m/>
    <m/>
    <n v="40"/>
    <n v="40"/>
    <n v="5"/>
    <n v="30"/>
    <m/>
    <m/>
    <m/>
    <m/>
    <m/>
    <m/>
    <m/>
    <m/>
    <n v="181"/>
    <n v="1"/>
    <n v="1"/>
    <n v="1"/>
    <n v="0"/>
    <n v="40"/>
    <m/>
    <n v="3"/>
    <s v="N4"/>
  </r>
  <r>
    <s v="NSA Souda Bay"/>
    <x v="50"/>
    <s v="A-493-0013"/>
    <n v="3683"/>
    <x v="61"/>
    <d v="2026-06-08T00:00:00"/>
    <d v="2026-06-10T00:00:00"/>
    <s v="Unfunded"/>
    <d v="1899-12-30T08:00:00"/>
    <m/>
    <m/>
    <m/>
    <m/>
    <m/>
    <m/>
    <s v="G. Jester"/>
    <m/>
    <m/>
    <n v="40"/>
    <n v="24"/>
    <n v="3"/>
    <n v="25"/>
    <m/>
    <m/>
    <m/>
    <m/>
    <m/>
    <m/>
    <m/>
    <m/>
    <n v="179"/>
    <n v="1"/>
    <n v="1"/>
    <n v="1"/>
    <n v="0"/>
    <n v="24"/>
    <m/>
    <n v="3"/>
    <s v="N4"/>
  </r>
  <r>
    <m/>
    <x v="48"/>
    <s v="A-493-0077"/>
    <s v="0381"/>
    <x v="44"/>
    <d v="2026-06-08T00:00:00"/>
    <d v="2026-06-10T00:00:00"/>
    <s v="Unfunded"/>
    <d v="1899-12-30T08:00:00"/>
    <m/>
    <m/>
    <m/>
    <m/>
    <m/>
    <m/>
    <s v="ENV Contractor"/>
    <m/>
    <m/>
    <n v="25"/>
    <n v="24"/>
    <n v="3"/>
    <n v="16"/>
    <m/>
    <m/>
    <m/>
    <m/>
    <m/>
    <m/>
    <m/>
    <m/>
    <n v="179"/>
    <n v="1"/>
    <n v="1"/>
    <n v="1"/>
    <n v="0"/>
    <n v="24"/>
    <m/>
    <n v="3"/>
    <s v="N4"/>
  </r>
  <r>
    <m/>
    <x v="2"/>
    <s v="A-493-2501"/>
    <s v="05ZE"/>
    <x v="33"/>
    <d v="2026-06-08T00:00:00"/>
    <d v="2026-06-08T00:00:00"/>
    <s v="Unfunded"/>
    <d v="1899-12-30T08:00:00"/>
    <m/>
    <m/>
    <m/>
    <m/>
    <m/>
    <m/>
    <s v="ENV Contractor"/>
    <m/>
    <m/>
    <n v="30"/>
    <n v="8"/>
    <n v="1"/>
    <n v="35"/>
    <m/>
    <m/>
    <m/>
    <m/>
    <m/>
    <m/>
    <m/>
    <m/>
    <n v="177"/>
    <n v="1"/>
    <n v="1"/>
    <n v="1"/>
    <n v="0"/>
    <n v="8"/>
    <m/>
    <n v="3"/>
    <s v="N4"/>
  </r>
  <r>
    <m/>
    <x v="38"/>
    <s v="A-570-0100"/>
    <s v="18B7"/>
    <x v="0"/>
    <d v="2026-06-08T00:00:00"/>
    <d v="2026-06-09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m/>
    <m/>
    <m/>
    <m/>
    <m/>
    <m/>
    <m/>
    <m/>
    <n v="178"/>
    <n v="1"/>
    <n v="1"/>
    <n v="1"/>
    <n v="0"/>
    <n v="16"/>
    <m/>
    <n v="3"/>
    <s v="N8"/>
  </r>
  <r>
    <m/>
    <x v="7"/>
    <s v="A-493-0072"/>
    <s v="713U"/>
    <x v="3"/>
    <d v="2026-06-08T00:00:00"/>
    <d v="2026-06-12T00:00:00"/>
    <s v="Funded"/>
    <d v="1899-12-30T08:00:00"/>
    <m/>
    <m/>
    <m/>
    <m/>
    <m/>
    <m/>
    <s v="K. Seo"/>
    <m/>
    <m/>
    <n v="30"/>
    <n v="40"/>
    <n v="5"/>
    <n v="178"/>
    <m/>
    <m/>
    <m/>
    <m/>
    <m/>
    <m/>
    <m/>
    <m/>
    <n v="181"/>
    <n v="1"/>
    <n v="1"/>
    <n v="1"/>
    <n v="0"/>
    <n v="40"/>
    <m/>
    <n v="3"/>
    <s v="N3"/>
  </r>
  <r>
    <m/>
    <x v="1"/>
    <s v="A-493-0099"/>
    <s v="12JW"/>
    <x v="0"/>
    <d v="2026-06-09T00:00:00"/>
    <d v="2026-06-11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934"/>
    <m/>
    <m/>
    <m/>
    <m/>
    <m/>
    <m/>
    <m/>
    <m/>
    <n v="180"/>
    <n v="1"/>
    <n v="1"/>
    <n v="1"/>
    <n v="0"/>
    <n v="24"/>
    <m/>
    <n v="3"/>
    <s v="N5"/>
  </r>
  <r>
    <m/>
    <x v="12"/>
    <s v="A-493-0331"/>
    <s v="10UG"/>
    <x v="0"/>
    <d v="2026-06-09T00:00:00"/>
    <d v="2026-06-11T00:00:00"/>
    <s v="Funded"/>
    <m/>
    <d v="1899-12-30T08:00:00"/>
    <d v="1899-12-30T05:00:00"/>
    <d v="1899-12-30T15:00:00"/>
    <d v="1899-12-30T13:00:00"/>
    <d v="1899-12-30T02:00:00"/>
    <d v="1899-12-30T21:00:00"/>
    <s v="W. Mitchell"/>
    <m/>
    <m/>
    <n v="45"/>
    <n v="24"/>
    <n v="3"/>
    <n v="470"/>
    <m/>
    <m/>
    <m/>
    <m/>
    <m/>
    <m/>
    <m/>
    <m/>
    <n v="180"/>
    <n v="1"/>
    <n v="1"/>
    <n v="1"/>
    <n v="0"/>
    <n v="24"/>
    <m/>
    <n v="3"/>
    <s v="N3"/>
  </r>
  <r>
    <m/>
    <x v="2"/>
    <s v="A-493-2501"/>
    <s v="05ZE"/>
    <x v="35"/>
    <d v="2026-06-10T00:00:00"/>
    <d v="2026-06-10T00:00:00"/>
    <s v="Unfunded"/>
    <d v="1899-12-30T08:00:00"/>
    <m/>
    <m/>
    <m/>
    <m/>
    <m/>
    <m/>
    <s v="ENV Contractor"/>
    <m/>
    <m/>
    <n v="30"/>
    <n v="8"/>
    <n v="1"/>
    <n v="25"/>
    <m/>
    <m/>
    <m/>
    <m/>
    <m/>
    <m/>
    <m/>
    <m/>
    <n v="179"/>
    <n v="1"/>
    <n v="1"/>
    <n v="1"/>
    <n v="0"/>
    <n v="8"/>
    <m/>
    <n v="3"/>
    <s v="N4"/>
  </r>
  <r>
    <m/>
    <x v="10"/>
    <s v="A-493-0083"/>
    <s v="339E"/>
    <x v="44"/>
    <d v="2026-06-11T00:00:00"/>
    <d v="2026-06-11T00:00:00"/>
    <s v="Unfunded"/>
    <d v="1899-12-30T08:00:00"/>
    <m/>
    <m/>
    <m/>
    <m/>
    <m/>
    <m/>
    <s v="ENV Contractor"/>
    <m/>
    <m/>
    <n v="30"/>
    <n v="8"/>
    <n v="1"/>
    <n v="17"/>
    <m/>
    <m/>
    <m/>
    <m/>
    <m/>
    <m/>
    <m/>
    <m/>
    <n v="180"/>
    <n v="1"/>
    <n v="1"/>
    <n v="1"/>
    <n v="0"/>
    <n v="8"/>
    <m/>
    <n v="3"/>
    <s v="N4"/>
  </r>
  <r>
    <m/>
    <x v="2"/>
    <s v="A-493-2501"/>
    <s v="05ZE"/>
    <x v="62"/>
    <d v="2026-06-12T00:00:00"/>
    <d v="2026-06-12T00:00:00"/>
    <s v="Unfunded"/>
    <d v="1899-12-30T08:00:00"/>
    <m/>
    <m/>
    <m/>
    <m/>
    <m/>
    <m/>
    <s v="ENV Contractor"/>
    <m/>
    <m/>
    <n v="30"/>
    <n v="8"/>
    <n v="1"/>
    <n v="20"/>
    <m/>
    <m/>
    <m/>
    <m/>
    <m/>
    <m/>
    <m/>
    <m/>
    <n v="181"/>
    <n v="1"/>
    <n v="1"/>
    <n v="1"/>
    <n v="0"/>
    <n v="8"/>
    <m/>
    <n v="3"/>
    <s v="N4"/>
  </r>
  <r>
    <m/>
    <x v="3"/>
    <s v="A-493-0103"/>
    <s v="12JY"/>
    <x v="10"/>
    <d v="2026-06-15T00:00:00"/>
    <d v="2026-06-19T00:00:00"/>
    <s v="Funded"/>
    <d v="1899-12-30T08:00:00"/>
    <m/>
    <m/>
    <m/>
    <m/>
    <m/>
    <m/>
    <s v="SOH Contractor"/>
    <m/>
    <m/>
    <n v="25"/>
    <n v="40"/>
    <n v="5"/>
    <n v="225"/>
    <m/>
    <m/>
    <m/>
    <m/>
    <m/>
    <m/>
    <m/>
    <m/>
    <n v="188"/>
    <n v="1"/>
    <n v="1"/>
    <n v="1"/>
    <n v="0"/>
    <n v="40"/>
    <m/>
    <n v="3"/>
    <s v="N5"/>
  </r>
  <r>
    <m/>
    <x v="8"/>
    <s v="A-493-2098"/>
    <s v="09WW"/>
    <x v="0"/>
    <d v="2026-06-15T00:00:00"/>
    <d v="2026-06-17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m/>
    <m/>
    <m/>
    <m/>
    <m/>
    <m/>
    <m/>
    <m/>
    <m/>
    <n v="186"/>
    <n v="1"/>
    <n v="1"/>
    <n v="1"/>
    <n v="0"/>
    <n v="16"/>
    <m/>
    <n v="3"/>
    <s v="N8"/>
  </r>
  <r>
    <m/>
    <x v="0"/>
    <s v="A-493-0550"/>
    <s v="09K5"/>
    <x v="0"/>
    <d v="2026-06-15T00:00:00"/>
    <d v="2026-06-18T00:00:00"/>
    <s v="Funded"/>
    <m/>
    <d v="1899-12-30T19:00:00"/>
    <d v="1899-12-30T16:00:00"/>
    <d v="1899-12-30T02:00:00"/>
    <d v="1899-12-30T00:00:00"/>
    <d v="1899-12-30T13:00:00"/>
    <d v="1899-12-30T08:00:00"/>
    <s v="N. DeCastro"/>
    <m/>
    <m/>
    <n v="45"/>
    <n v="32"/>
    <n v="4"/>
    <n v="180"/>
    <m/>
    <m/>
    <m/>
    <m/>
    <m/>
    <m/>
    <m/>
    <m/>
    <n v="187"/>
    <n v="1"/>
    <n v="1"/>
    <n v="1"/>
    <n v="0"/>
    <n v="32"/>
    <m/>
    <n v="3"/>
    <s v="N5"/>
  </r>
  <r>
    <m/>
    <x v="6"/>
    <s v="A-493-0078"/>
    <n v="1228"/>
    <x v="0"/>
    <d v="2026-06-15T00:00:00"/>
    <d v="2026-06-18T00:00:00"/>
    <s v="Funded"/>
    <m/>
    <d v="1899-12-30T19:00:00"/>
    <d v="1899-12-30T16:00:00"/>
    <d v="1899-12-30T02:00:00"/>
    <d v="1899-12-30T00:00:00"/>
    <d v="1899-12-30T13:00:00"/>
    <d v="1899-12-30T08:00:00"/>
    <s v="T. White"/>
    <m/>
    <m/>
    <n v="45"/>
    <n v="32"/>
    <n v="4"/>
    <n v="181"/>
    <m/>
    <m/>
    <m/>
    <m/>
    <m/>
    <m/>
    <m/>
    <m/>
    <n v="187"/>
    <n v="1"/>
    <n v="1"/>
    <n v="1"/>
    <n v="0"/>
    <n v="32"/>
    <m/>
    <n v="3"/>
    <s v="N5"/>
  </r>
  <r>
    <m/>
    <x v="51"/>
    <s v="A-493-0092"/>
    <n v="5891"/>
    <x v="16"/>
    <d v="2026-06-16T00:00:00"/>
    <d v="2026-06-18T00:00:00"/>
    <s v="Funded"/>
    <d v="1899-12-30T08:00:00"/>
    <m/>
    <m/>
    <m/>
    <m/>
    <m/>
    <m/>
    <s v="A. Harris"/>
    <m/>
    <s v="Nicole"/>
    <n v="25"/>
    <n v="24"/>
    <n v="3"/>
    <n v="49"/>
    <m/>
    <m/>
    <m/>
    <m/>
    <m/>
    <m/>
    <m/>
    <m/>
    <n v="187"/>
    <n v="1"/>
    <n v="1"/>
    <n v="1"/>
    <n v="0"/>
    <n v="24"/>
    <m/>
    <n v="3"/>
    <s v="N3"/>
  </r>
  <r>
    <s v="Juneteenth"/>
    <x v="11"/>
    <s v="Holiday"/>
    <s v="Holiday"/>
    <x v="5"/>
    <d v="2026-06-19T00:00:00"/>
    <d v="2026-06-19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88"/>
    <n v="0"/>
    <n v="1"/>
    <n v="1"/>
    <n v="0"/>
    <n v="0"/>
    <m/>
    <n v="3"/>
    <s v="TSD"/>
  </r>
  <r>
    <m/>
    <x v="3"/>
    <s v="A-493-0103"/>
    <s v="12JY"/>
    <x v="27"/>
    <d v="2026-06-22T00:00:00"/>
    <d v="2026-06-26T00:00:00"/>
    <s v="Funded"/>
    <d v="1899-12-30T08:00:00"/>
    <m/>
    <m/>
    <m/>
    <m/>
    <m/>
    <m/>
    <s v="SOH Contractor"/>
    <m/>
    <m/>
    <n v="25"/>
    <n v="40"/>
    <n v="5"/>
    <n v="107"/>
    <m/>
    <m/>
    <m/>
    <m/>
    <m/>
    <m/>
    <m/>
    <m/>
    <n v="195"/>
    <n v="1"/>
    <n v="1"/>
    <n v="1"/>
    <n v="0"/>
    <n v="40"/>
    <m/>
    <n v="3"/>
    <s v="N5"/>
  </r>
  <r>
    <m/>
    <x v="43"/>
    <s v="A-4J-0022"/>
    <s v="09ER"/>
    <x v="0"/>
    <d v="2026-06-22T00:00:00"/>
    <d v="2026-06-26T00:00:00"/>
    <s v="Funded"/>
    <m/>
    <d v="1899-12-30T08:00:00"/>
    <d v="1899-12-30T05:00:00"/>
    <d v="1899-12-30T15:00:00"/>
    <d v="1899-12-30T13:00:00"/>
    <d v="1899-12-30T02:00:00"/>
    <d v="1899-12-30T21:00:00"/>
    <s v="K. Seo"/>
    <m/>
    <m/>
    <n v="45"/>
    <n v="16"/>
    <n v="2"/>
    <n v="141"/>
    <m/>
    <m/>
    <m/>
    <m/>
    <m/>
    <m/>
    <m/>
    <m/>
    <n v="195"/>
    <n v="1"/>
    <n v="1"/>
    <n v="1"/>
    <n v="0"/>
    <n v="16"/>
    <m/>
    <n v="3"/>
    <s v="N4"/>
  </r>
  <r>
    <m/>
    <x v="55"/>
    <s v="A-493-0021"/>
    <s v="18BN"/>
    <x v="10"/>
    <d v="2026-06-22T00:00:00"/>
    <d v="2026-06-26T00:00:00"/>
    <s v="Funded"/>
    <d v="1899-12-30T08:00:00"/>
    <m/>
    <m/>
    <m/>
    <m/>
    <m/>
    <m/>
    <s v="SOH Contractor"/>
    <m/>
    <m/>
    <n v="35"/>
    <n v="30"/>
    <n v="5"/>
    <n v="20"/>
    <m/>
    <m/>
    <m/>
    <m/>
    <m/>
    <m/>
    <m/>
    <m/>
    <n v="195"/>
    <n v="1"/>
    <n v="1"/>
    <n v="1"/>
    <n v="0"/>
    <n v="30"/>
    <m/>
    <n v="3"/>
    <s v="N5"/>
  </r>
  <r>
    <m/>
    <x v="4"/>
    <s v="A-493-0061"/>
    <s v="288E"/>
    <x v="0"/>
    <d v="2026-06-22T00:00:00"/>
    <d v="2026-06-25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m/>
    <m/>
    <m/>
    <m/>
    <m/>
    <m/>
    <m/>
    <m/>
    <n v="194"/>
    <n v="1"/>
    <n v="1"/>
    <n v="1"/>
    <n v="0"/>
    <n v="30"/>
    <m/>
    <n v="3"/>
    <s v="N5"/>
  </r>
  <r>
    <m/>
    <x v="40"/>
    <s v="A-493-0335"/>
    <s v="09ND"/>
    <x v="0"/>
    <d v="2026-06-22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32"/>
    <n v="4"/>
    <n v="537"/>
    <m/>
    <m/>
    <m/>
    <m/>
    <m/>
    <m/>
    <m/>
    <m/>
    <n v="194"/>
    <n v="1"/>
    <n v="1"/>
    <n v="1"/>
    <n v="0"/>
    <n v="32"/>
    <m/>
    <n v="3"/>
    <s v="N3"/>
  </r>
  <r>
    <m/>
    <x v="42"/>
    <s v="A-493-0085"/>
    <n v="3555"/>
    <x v="0"/>
    <d v="2026-06-22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W. Mitchell"/>
    <m/>
    <m/>
    <n v="45"/>
    <n v="32"/>
    <n v="4"/>
    <n v="688"/>
    <m/>
    <m/>
    <m/>
    <m/>
    <m/>
    <m/>
    <m/>
    <m/>
    <n v="194"/>
    <n v="1"/>
    <n v="1"/>
    <n v="1"/>
    <n v="0"/>
    <n v="32"/>
    <m/>
    <n v="3"/>
    <s v="N3"/>
  </r>
  <r>
    <m/>
    <x v="2"/>
    <s v="A-493-2501"/>
    <s v="05ZE"/>
    <x v="19"/>
    <d v="2026-06-22T00:00:00"/>
    <d v="2026-06-22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191"/>
    <n v="1"/>
    <n v="1"/>
    <n v="1"/>
    <n v="0"/>
    <n v="8"/>
    <m/>
    <n v="3"/>
    <s v="N4"/>
  </r>
  <r>
    <m/>
    <x v="7"/>
    <s v="A-493-0072"/>
    <s v="713U"/>
    <x v="16"/>
    <d v="2026-06-22T00:00:00"/>
    <d v="2026-06-26T00:00:00"/>
    <s v="Funded"/>
    <d v="1899-12-30T08:00:00"/>
    <m/>
    <m/>
    <m/>
    <m/>
    <m/>
    <m/>
    <s v="A. Harris"/>
    <m/>
    <s v="Nicole"/>
    <n v="30"/>
    <n v="40"/>
    <n v="5"/>
    <n v="56"/>
    <m/>
    <m/>
    <m/>
    <m/>
    <m/>
    <m/>
    <m/>
    <m/>
    <n v="195"/>
    <n v="1"/>
    <n v="1"/>
    <n v="1"/>
    <n v="0"/>
    <n v="40"/>
    <m/>
    <n v="3"/>
    <s v="N3"/>
  </r>
  <r>
    <s v="USMC FUNDED"/>
    <x v="53"/>
    <s v="A-493-2017"/>
    <s v="12x3"/>
    <x v="63"/>
    <d v="2026-06-22T00:00:00"/>
    <d v="2026-06-26T00:00:00"/>
    <s v="Unfunded"/>
    <d v="1899-12-30T08:00:00"/>
    <m/>
    <m/>
    <m/>
    <m/>
    <m/>
    <m/>
    <s v="ENV Contractor"/>
    <m/>
    <m/>
    <n v="25"/>
    <n v="40"/>
    <n v="5"/>
    <n v="25"/>
    <m/>
    <m/>
    <m/>
    <m/>
    <m/>
    <m/>
    <m/>
    <m/>
    <n v="195"/>
    <n v="1"/>
    <n v="1"/>
    <n v="1"/>
    <n v="0"/>
    <n v="40"/>
    <m/>
    <n v="3"/>
    <s v="N4"/>
  </r>
  <r>
    <m/>
    <x v="5"/>
    <s v="A-322-2604"/>
    <s v="10ZZ"/>
    <x v="0"/>
    <d v="2026-06-23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21"/>
    <m/>
    <m/>
    <m/>
    <m/>
    <m/>
    <m/>
    <m/>
    <m/>
    <n v="194"/>
    <n v="1"/>
    <n v="1"/>
    <n v="1"/>
    <n v="0"/>
    <n v="24"/>
    <m/>
    <n v="3"/>
    <s v="N8"/>
  </r>
  <r>
    <s v="NWS Earle (Colts Neck, NJ)"/>
    <x v="50"/>
    <s v="A-493-0013"/>
    <n v="3683"/>
    <x v="24"/>
    <d v="2026-06-23T00:00:00"/>
    <d v="2026-06-25T00:00:00"/>
    <s v="Unfunded"/>
    <d v="1899-12-30T08:00:00"/>
    <m/>
    <m/>
    <m/>
    <m/>
    <m/>
    <m/>
    <s v="W. Bailey"/>
    <m/>
    <m/>
    <n v="40"/>
    <n v="24"/>
    <n v="3"/>
    <n v="30"/>
    <m/>
    <m/>
    <m/>
    <m/>
    <m/>
    <m/>
    <m/>
    <m/>
    <n v="194"/>
    <n v="1"/>
    <n v="1"/>
    <n v="1"/>
    <n v="0"/>
    <n v="24"/>
    <m/>
    <n v="3"/>
    <s v="N4"/>
  </r>
  <r>
    <m/>
    <x v="12"/>
    <s v="A-493-0331"/>
    <s v="10UG"/>
    <x v="0"/>
    <d v="2026-06-23T00:00:00"/>
    <d v="2026-06-25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m/>
    <m/>
    <m/>
    <m/>
    <m/>
    <m/>
    <m/>
    <m/>
    <m/>
    <n v="194"/>
    <n v="1"/>
    <n v="1"/>
    <n v="1"/>
    <n v="0"/>
    <n v="24"/>
    <m/>
    <n v="3"/>
    <s v="N3"/>
  </r>
  <r>
    <m/>
    <x v="2"/>
    <s v="A-493-2501"/>
    <s v="05ZE"/>
    <x v="64"/>
    <d v="2026-06-23T00:00:00"/>
    <d v="2026-06-23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192"/>
    <n v="1"/>
    <n v="1"/>
    <n v="1"/>
    <n v="0"/>
    <n v="8"/>
    <m/>
    <n v="3"/>
    <s v="N4"/>
  </r>
  <r>
    <m/>
    <x v="1"/>
    <s v="A-493-0099"/>
    <s v="12JW"/>
    <x v="0"/>
    <d v="2026-06-24T00:00:00"/>
    <d v="2026-06-26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406"/>
    <m/>
    <m/>
    <m/>
    <m/>
    <m/>
    <m/>
    <m/>
    <m/>
    <n v="195"/>
    <n v="1"/>
    <n v="1"/>
    <n v="1"/>
    <n v="0"/>
    <n v="24"/>
    <m/>
    <n v="3"/>
    <s v="N5"/>
  </r>
  <r>
    <m/>
    <x v="2"/>
    <s v="A-493-2501"/>
    <s v="05ZE"/>
    <x v="24"/>
    <d v="2026-06-25T00:00:00"/>
    <d v="2026-06-25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194"/>
    <n v="1"/>
    <n v="1"/>
    <n v="1"/>
    <n v="0"/>
    <n v="8"/>
    <m/>
    <n v="3"/>
    <s v="N4"/>
  </r>
  <r>
    <m/>
    <x v="5"/>
    <s v="A-322-2604"/>
    <s v="10ZZ"/>
    <x v="0"/>
    <d v="2026-06-29T00:00:00"/>
    <d v="2026-07-01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24"/>
    <n v="3"/>
    <n v="621"/>
    <m/>
    <m/>
    <m/>
    <m/>
    <m/>
    <m/>
    <m/>
    <m/>
    <n v="200"/>
    <n v="1"/>
    <n v="1"/>
    <n v="1"/>
    <n v="0"/>
    <n v="24"/>
    <m/>
    <n v="3"/>
    <s v="N8"/>
  </r>
  <r>
    <s v="NSA Gaeta"/>
    <x v="50"/>
    <s v="A-493-0013"/>
    <n v="3683"/>
    <x v="42"/>
    <d v="2026-06-29T00:00:00"/>
    <d v="2026-07-01T00:00:00"/>
    <s v="Unfunded"/>
    <d v="1899-12-30T08:00:00"/>
    <m/>
    <m/>
    <m/>
    <m/>
    <m/>
    <m/>
    <s v="G. Jester"/>
    <m/>
    <m/>
    <n v="40"/>
    <n v="24"/>
    <n v="3"/>
    <n v="15"/>
    <m/>
    <m/>
    <m/>
    <m/>
    <m/>
    <m/>
    <m/>
    <m/>
    <n v="200"/>
    <n v="1"/>
    <n v="1"/>
    <n v="1"/>
    <n v="0"/>
    <n v="24"/>
    <m/>
    <n v="3"/>
    <s v="N4"/>
  </r>
  <r>
    <m/>
    <x v="0"/>
    <s v="A-493-0550"/>
    <s v="09K5"/>
    <x v="0"/>
    <d v="2026-06-29T00:00:00"/>
    <d v="2026-07-02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m/>
    <m/>
    <m/>
    <m/>
    <m/>
    <m/>
    <m/>
    <m/>
    <n v="201"/>
    <n v="1"/>
    <n v="1"/>
    <n v="1"/>
    <n v="0"/>
    <n v="32"/>
    <m/>
    <n v="3"/>
    <s v="N5"/>
  </r>
  <r>
    <m/>
    <x v="6"/>
    <s v="A-493-0078"/>
    <n v="1228"/>
    <x v="0"/>
    <d v="2026-06-29T00:00:00"/>
    <d v="2026-07-02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m/>
    <m/>
    <m/>
    <m/>
    <m/>
    <m/>
    <m/>
    <m/>
    <n v="201"/>
    <n v="1"/>
    <n v="1"/>
    <n v="1"/>
    <n v="0"/>
    <n v="32"/>
    <m/>
    <n v="3"/>
    <s v="N5"/>
  </r>
  <r>
    <s v="July 4th Function"/>
    <x v="44"/>
    <s v="Function"/>
    <s v="Function"/>
    <x v="3"/>
    <d v="2026-06-30T00:00:00"/>
    <d v="2026-06-30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199"/>
    <n v="0"/>
    <n v="1"/>
    <n v="1"/>
    <n v="0"/>
    <n v="0"/>
    <n v="0"/>
    <n v="3"/>
    <s v="TSD"/>
  </r>
  <r>
    <s v="Independence Day"/>
    <x v="11"/>
    <s v="Holiday"/>
    <s v="Holiday"/>
    <x v="5"/>
    <d v="2026-07-03T00:00:00"/>
    <d v="2026-07-0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202"/>
    <n v="0"/>
    <n v="1"/>
    <n v="1"/>
    <n v="0"/>
    <n v="0"/>
    <m/>
    <n v="4"/>
    <s v="TSD"/>
  </r>
  <r>
    <m/>
    <x v="37"/>
    <s v="A-493-0665"/>
    <s v="10KW"/>
    <x v="0"/>
    <d v="2026-07-06T00:00:00"/>
    <d v="2026-07-08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337"/>
    <m/>
    <m/>
    <m/>
    <m/>
    <m/>
    <m/>
    <m/>
    <m/>
    <n v="207"/>
    <n v="1"/>
    <n v="1"/>
    <n v="1"/>
    <n v="0"/>
    <n v="24"/>
    <m/>
    <n v="4"/>
    <s v="N8"/>
  </r>
  <r>
    <m/>
    <x v="2"/>
    <s v="A-493-2501"/>
    <s v="05ZE"/>
    <x v="13"/>
    <d v="2026-07-06T00:00:00"/>
    <d v="2026-07-06T00:00:00"/>
    <s v="Unfunded"/>
    <d v="1899-12-30T08:00:00"/>
    <m/>
    <m/>
    <m/>
    <m/>
    <m/>
    <m/>
    <s v="ENV Contractor"/>
    <m/>
    <m/>
    <n v="30"/>
    <n v="8"/>
    <n v="1"/>
    <n v="54"/>
    <m/>
    <m/>
    <m/>
    <m/>
    <m/>
    <m/>
    <m/>
    <m/>
    <n v="205"/>
    <n v="1"/>
    <n v="1"/>
    <n v="1"/>
    <n v="0"/>
    <n v="8"/>
    <m/>
    <n v="4"/>
    <s v="N4"/>
  </r>
  <r>
    <m/>
    <x v="38"/>
    <s v="A-570-0100"/>
    <s v="18B7"/>
    <x v="0"/>
    <d v="2026-07-06T00:00:00"/>
    <d v="2026-07-07T00:00:00"/>
    <s v="Funded"/>
    <m/>
    <d v="1899-12-30T08:00:00"/>
    <d v="1899-12-30T05:00:00"/>
    <d v="1899-12-30T15:00:00"/>
    <d v="1899-12-30T13:00:00"/>
    <d v="1899-12-30T02:00:00"/>
    <d v="1899-12-30T21:00:00"/>
    <s v="LS1 Scoggins"/>
    <m/>
    <m/>
    <n v="45"/>
    <n v="16"/>
    <n v="2"/>
    <n v="326"/>
    <m/>
    <m/>
    <m/>
    <m/>
    <m/>
    <m/>
    <m/>
    <m/>
    <n v="206"/>
    <n v="1"/>
    <n v="1"/>
    <n v="1"/>
    <n v="0"/>
    <n v="16"/>
    <m/>
    <n v="4"/>
    <s v="N8"/>
  </r>
  <r>
    <s v="NSF Indian Head"/>
    <x v="50"/>
    <s v="A-493-0013"/>
    <n v="3683"/>
    <x v="64"/>
    <d v="2026-07-07T00:00:00"/>
    <d v="2026-07-09T00:00:00"/>
    <s v="Unfunded"/>
    <d v="1899-12-30T08:00:00"/>
    <m/>
    <m/>
    <m/>
    <m/>
    <m/>
    <m/>
    <s v="W. Bailey"/>
    <m/>
    <m/>
    <n v="40"/>
    <n v="24"/>
    <n v="3"/>
    <n v="30"/>
    <m/>
    <m/>
    <m/>
    <m/>
    <m/>
    <m/>
    <m/>
    <m/>
    <n v="208"/>
    <n v="1"/>
    <n v="1"/>
    <n v="1"/>
    <n v="0"/>
    <n v="24"/>
    <m/>
    <n v="4"/>
    <s v="N4"/>
  </r>
  <r>
    <m/>
    <x v="48"/>
    <s v="A-493-0077"/>
    <s v="0381"/>
    <x v="61"/>
    <d v="2026-07-07T00:00:00"/>
    <d v="2026-07-09T00:00:00"/>
    <s v="Unfunded"/>
    <d v="1899-12-30T08:00:00"/>
    <m/>
    <m/>
    <m/>
    <m/>
    <m/>
    <m/>
    <s v="ENV Contractor"/>
    <m/>
    <m/>
    <n v="25"/>
    <n v="24"/>
    <n v="3"/>
    <n v="25"/>
    <m/>
    <m/>
    <m/>
    <m/>
    <m/>
    <m/>
    <m/>
    <m/>
    <n v="208"/>
    <n v="1"/>
    <n v="1"/>
    <n v="1"/>
    <n v="0"/>
    <n v="24"/>
    <m/>
    <n v="4"/>
    <s v="N4"/>
  </r>
  <r>
    <m/>
    <x v="12"/>
    <s v="A-493-0331"/>
    <s v="10UG"/>
    <x v="0"/>
    <d v="2026-07-07T00:00:00"/>
    <d v="2026-07-09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m/>
    <m/>
    <m/>
    <m/>
    <m/>
    <m/>
    <m/>
    <m/>
    <n v="208"/>
    <n v="1"/>
    <n v="1"/>
    <n v="1"/>
    <n v="0"/>
    <n v="24"/>
    <m/>
    <n v="4"/>
    <s v="N3"/>
  </r>
  <r>
    <m/>
    <x v="2"/>
    <s v="A-493-2501"/>
    <s v="05ZE"/>
    <x v="65"/>
    <d v="2026-07-07T00:00:00"/>
    <d v="2026-07-07T00:00:00"/>
    <s v="Unfunded"/>
    <d v="1899-12-30T08:00:00"/>
    <m/>
    <m/>
    <m/>
    <m/>
    <m/>
    <m/>
    <s v="ENV Contractor"/>
    <m/>
    <m/>
    <n v="30"/>
    <n v="8"/>
    <n v="1"/>
    <n v="31"/>
    <m/>
    <m/>
    <m/>
    <m/>
    <m/>
    <m/>
    <m/>
    <m/>
    <n v="206"/>
    <n v="1"/>
    <n v="1"/>
    <n v="1"/>
    <n v="0"/>
    <n v="8"/>
    <m/>
    <n v="4"/>
    <s v="N4"/>
  </r>
  <r>
    <m/>
    <x v="0"/>
    <s v="A-493-0550"/>
    <s v="09K5"/>
    <x v="0"/>
    <d v="2026-07-07T00:00:00"/>
    <d v="2026-07-10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m/>
    <m/>
    <m/>
    <m/>
    <m/>
    <m/>
    <m/>
    <m/>
    <n v="209"/>
    <n v="1"/>
    <n v="1"/>
    <n v="1"/>
    <n v="0"/>
    <n v="32"/>
    <m/>
    <n v="4"/>
    <s v="N5"/>
  </r>
  <r>
    <m/>
    <x v="1"/>
    <s v="A-493-0099"/>
    <s v="12JW"/>
    <x v="0"/>
    <d v="2026-07-08T00:00:00"/>
    <d v="2026-07-10T00:00:00"/>
    <s v="Funded"/>
    <m/>
    <d v="1899-12-30T19:00:00"/>
    <d v="1899-12-30T16:00:00"/>
    <d v="1899-12-30T02:00:00"/>
    <d v="1899-12-30T00:00:00"/>
    <d v="1899-12-30T13:00:00"/>
    <d v="1899-12-30T08:00:00"/>
    <s v="V. Kentish"/>
    <m/>
    <m/>
    <n v="45"/>
    <n v="24"/>
    <n v="3"/>
    <n v="334"/>
    <m/>
    <m/>
    <m/>
    <m/>
    <m/>
    <m/>
    <m/>
    <m/>
    <n v="209"/>
    <n v="1"/>
    <n v="1"/>
    <n v="1"/>
    <n v="0"/>
    <n v="24"/>
    <m/>
    <n v="4"/>
    <s v="N5"/>
  </r>
  <r>
    <m/>
    <x v="10"/>
    <s v="A-493-0083"/>
    <s v="339E"/>
    <x v="61"/>
    <d v="2026-07-10T00:00:00"/>
    <d v="2026-07-10T00:00:00"/>
    <s v="Unfunded"/>
    <d v="1899-12-30T08:00:00"/>
    <m/>
    <m/>
    <m/>
    <m/>
    <m/>
    <m/>
    <s v="ENV Contractor"/>
    <m/>
    <m/>
    <n v="30"/>
    <n v="8"/>
    <n v="1"/>
    <n v="27"/>
    <m/>
    <m/>
    <m/>
    <m/>
    <m/>
    <m/>
    <m/>
    <m/>
    <n v="209"/>
    <n v="1"/>
    <n v="1"/>
    <n v="1"/>
    <n v="0"/>
    <n v="8"/>
    <m/>
    <n v="4"/>
    <s v="N4"/>
  </r>
  <r>
    <m/>
    <x v="2"/>
    <s v="A-493-2501"/>
    <s v="05ZE"/>
    <x v="66"/>
    <d v="2026-07-10T00:00:00"/>
    <d v="2026-07-10T00:00:00"/>
    <s v="Unfunded"/>
    <d v="1899-12-30T08:00:00"/>
    <m/>
    <m/>
    <m/>
    <m/>
    <m/>
    <m/>
    <s v="ENV Contractor"/>
    <m/>
    <m/>
    <n v="30"/>
    <n v="8"/>
    <n v="1"/>
    <n v="10"/>
    <m/>
    <m/>
    <m/>
    <m/>
    <m/>
    <m/>
    <m/>
    <m/>
    <n v="209"/>
    <n v="1"/>
    <n v="1"/>
    <n v="1"/>
    <n v="0"/>
    <n v="8"/>
    <m/>
    <n v="4"/>
    <s v="N4"/>
  </r>
  <r>
    <m/>
    <x v="3"/>
    <s v="A-493-0103"/>
    <s v="12JY"/>
    <x v="65"/>
    <d v="2026-07-13T00:00:00"/>
    <d v="2026-07-17T00:00:00"/>
    <s v="Funded"/>
    <d v="1899-12-30T08:00:00"/>
    <m/>
    <m/>
    <m/>
    <m/>
    <m/>
    <m/>
    <s v="SOH Contractor"/>
    <m/>
    <m/>
    <n v="25"/>
    <n v="40"/>
    <n v="5"/>
    <n v="55"/>
    <m/>
    <m/>
    <m/>
    <m/>
    <m/>
    <m/>
    <m/>
    <m/>
    <n v="216"/>
    <n v="1"/>
    <n v="1"/>
    <n v="1"/>
    <n v="0"/>
    <n v="40"/>
    <m/>
    <n v="4"/>
    <s v="N5"/>
  </r>
  <r>
    <m/>
    <x v="5"/>
    <s v="A-322-2604"/>
    <s v="10ZZ"/>
    <x v="0"/>
    <d v="2026-07-13T00:00:00"/>
    <d v="2026-07-15T00:00:00"/>
    <s v="Funded"/>
    <m/>
    <d v="1899-12-30T08:00:00"/>
    <d v="1899-12-30T05:00:00"/>
    <d v="1899-12-30T15:00:00"/>
    <d v="1899-12-30T13:00:00"/>
    <d v="1899-12-30T02:00:00"/>
    <d v="1899-12-30T21:00:00"/>
    <s v="LSC Kitivi"/>
    <m/>
    <m/>
    <n v="45"/>
    <n v="24"/>
    <n v="3"/>
    <n v="316"/>
    <m/>
    <m/>
    <m/>
    <m/>
    <m/>
    <m/>
    <m/>
    <m/>
    <n v="214"/>
    <n v="1"/>
    <n v="1"/>
    <n v="1"/>
    <n v="0"/>
    <n v="24"/>
    <m/>
    <n v="4"/>
    <s v="N8"/>
  </r>
  <r>
    <m/>
    <x v="43"/>
    <s v="A-4J-0022"/>
    <s v="09ER"/>
    <x v="0"/>
    <d v="2026-07-13T00:00:00"/>
    <d v="2026-07-17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16"/>
    <n v="2"/>
    <n v="130"/>
    <m/>
    <m/>
    <m/>
    <m/>
    <m/>
    <m/>
    <m/>
    <m/>
    <n v="216"/>
    <n v="1"/>
    <n v="1"/>
    <n v="1"/>
    <n v="0"/>
    <n v="16"/>
    <m/>
    <n v="4"/>
    <s v="N4"/>
  </r>
  <r>
    <m/>
    <x v="8"/>
    <s v="A-493-2098"/>
    <s v="09WW"/>
    <x v="0"/>
    <d v="2026-07-13T00:00:00"/>
    <d v="2026-07-15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n v="1882"/>
    <m/>
    <m/>
    <m/>
    <m/>
    <m/>
    <m/>
    <m/>
    <m/>
    <n v="214"/>
    <n v="1"/>
    <n v="1"/>
    <n v="1"/>
    <n v="0"/>
    <n v="16"/>
    <m/>
    <n v="4"/>
    <s v="N8"/>
  </r>
  <r>
    <s v="USMC FUNDED"/>
    <x v="53"/>
    <s v="A-493-2017"/>
    <s v="12x3"/>
    <x v="67"/>
    <d v="2026-07-13T00:00:00"/>
    <d v="2026-07-17T00:00:00"/>
    <s v="Unfunded"/>
    <d v="1899-12-30T08:00:00"/>
    <m/>
    <m/>
    <m/>
    <m/>
    <m/>
    <m/>
    <s v="ENV Contractor"/>
    <m/>
    <m/>
    <n v="25"/>
    <n v="40"/>
    <n v="5"/>
    <n v="25"/>
    <m/>
    <m/>
    <m/>
    <m/>
    <m/>
    <m/>
    <m/>
    <m/>
    <n v="216"/>
    <n v="1"/>
    <n v="1"/>
    <n v="1"/>
    <n v="0"/>
    <n v="40"/>
    <m/>
    <n v="4"/>
    <s v="N4"/>
  </r>
  <r>
    <m/>
    <x v="6"/>
    <s v="A-493-0078"/>
    <n v="1228"/>
    <x v="0"/>
    <d v="2026-07-13T00:00:00"/>
    <d v="2026-07-16T00:00:00"/>
    <s v="Funded"/>
    <m/>
    <d v="1899-12-30T12:00:00"/>
    <d v="1899-12-30T09:00:00"/>
    <d v="1899-12-30T19:00:00"/>
    <d v="1899-12-30T18:00:00"/>
    <d v="1899-12-30T06:00:00"/>
    <d v="1899-12-30T01:00:00"/>
    <s v="T. White"/>
    <m/>
    <m/>
    <n v="45"/>
    <n v="32"/>
    <n v="4"/>
    <n v="568"/>
    <m/>
    <m/>
    <m/>
    <m/>
    <m/>
    <m/>
    <m/>
    <m/>
    <n v="215"/>
    <n v="1"/>
    <n v="1"/>
    <n v="1"/>
    <n v="0"/>
    <n v="32"/>
    <m/>
    <n v="4"/>
    <s v="N5"/>
  </r>
  <r>
    <m/>
    <x v="48"/>
    <s v="A-493-0077"/>
    <s v="0381"/>
    <x v="65"/>
    <d v="2026-07-15T00:00:00"/>
    <d v="2026-07-17T00:00:00"/>
    <s v="Unfunded"/>
    <d v="1899-12-30T08:00:00"/>
    <m/>
    <m/>
    <m/>
    <m/>
    <m/>
    <m/>
    <s v="ENV Contractor"/>
    <m/>
    <m/>
    <n v="25"/>
    <n v="24"/>
    <n v="3"/>
    <n v="11"/>
    <m/>
    <m/>
    <m/>
    <m/>
    <m/>
    <m/>
    <m/>
    <m/>
    <n v="216"/>
    <n v="1"/>
    <n v="1"/>
    <n v="1"/>
    <n v="0"/>
    <n v="24"/>
    <m/>
    <n v="4"/>
    <s v="N4"/>
  </r>
  <r>
    <m/>
    <x v="3"/>
    <s v="A-493-0103"/>
    <s v="12JY"/>
    <x v="35"/>
    <d v="2026-07-20T00:00:00"/>
    <d v="2026-07-24T00:00:00"/>
    <s v="Funded"/>
    <d v="1899-12-30T08:00:00"/>
    <m/>
    <m/>
    <m/>
    <m/>
    <m/>
    <m/>
    <s v="SOH Contractor"/>
    <m/>
    <m/>
    <n v="25"/>
    <n v="40"/>
    <n v="5"/>
    <n v="67"/>
    <m/>
    <m/>
    <m/>
    <m/>
    <m/>
    <m/>
    <m/>
    <m/>
    <n v="223"/>
    <n v="1"/>
    <n v="1"/>
    <n v="1"/>
    <n v="0"/>
    <n v="40"/>
    <m/>
    <n v="4"/>
    <s v="N5"/>
  </r>
  <r>
    <m/>
    <x v="3"/>
    <s v="A-493-0103"/>
    <s v="12JY"/>
    <x v="65"/>
    <d v="2026-07-20T00:00:00"/>
    <d v="2026-07-24T00:00:00"/>
    <s v="Funded"/>
    <d v="1899-12-30T08:00:00"/>
    <m/>
    <m/>
    <m/>
    <m/>
    <m/>
    <m/>
    <s v="SOH Contractor"/>
    <m/>
    <m/>
    <n v="25"/>
    <n v="40"/>
    <n v="5"/>
    <n v="55"/>
    <m/>
    <m/>
    <m/>
    <m/>
    <m/>
    <m/>
    <m/>
    <m/>
    <n v="223"/>
    <n v="1"/>
    <n v="1"/>
    <n v="1"/>
    <n v="0"/>
    <n v="40"/>
    <m/>
    <n v="4"/>
    <s v="N5"/>
  </r>
  <r>
    <m/>
    <x v="55"/>
    <s v="A-493-0021"/>
    <s v="18BN"/>
    <x v="8"/>
    <d v="2026-07-20T00:00:00"/>
    <d v="2026-07-24T00:00:00"/>
    <s v="Funded"/>
    <d v="1899-12-30T08:00:00"/>
    <m/>
    <m/>
    <m/>
    <m/>
    <m/>
    <m/>
    <s v="SOH Contractor"/>
    <m/>
    <m/>
    <n v="35"/>
    <n v="30"/>
    <n v="5"/>
    <n v="11"/>
    <m/>
    <m/>
    <m/>
    <m/>
    <m/>
    <m/>
    <m/>
    <m/>
    <n v="223"/>
    <n v="1"/>
    <n v="1"/>
    <n v="1"/>
    <n v="0"/>
    <n v="30"/>
    <m/>
    <n v="4"/>
    <s v="N5"/>
  </r>
  <r>
    <s v="Naval Base Point Loma"/>
    <x v="15"/>
    <s v="A-493-0012"/>
    <n v="3682"/>
    <x v="68"/>
    <d v="2026-07-20T00:00:00"/>
    <d v="2026-07-24T00:00:00"/>
    <s v="Unfunded"/>
    <d v="1899-12-30T08:00:00"/>
    <m/>
    <m/>
    <m/>
    <m/>
    <m/>
    <m/>
    <s v="R. Hartel"/>
    <m/>
    <m/>
    <n v="40"/>
    <n v="40"/>
    <n v="5"/>
    <n v="10"/>
    <m/>
    <m/>
    <m/>
    <m/>
    <m/>
    <m/>
    <m/>
    <m/>
    <n v="223"/>
    <n v="1"/>
    <n v="1"/>
    <n v="1"/>
    <n v="0"/>
    <n v="40"/>
    <m/>
    <n v="4"/>
    <s v="N4"/>
  </r>
  <r>
    <s v="Naval Air Station Whidbey Island"/>
    <x v="50"/>
    <s v="A-493-0013"/>
    <n v="3683"/>
    <x v="65"/>
    <d v="2026-07-20T00:00:00"/>
    <d v="2026-07-22T00:00:00"/>
    <s v="Unfunded"/>
    <d v="1899-12-30T08:00:00"/>
    <m/>
    <m/>
    <m/>
    <m/>
    <m/>
    <m/>
    <s v="G. Jester"/>
    <m/>
    <m/>
    <n v="40"/>
    <n v="24"/>
    <n v="3"/>
    <n v="29"/>
    <m/>
    <m/>
    <m/>
    <m/>
    <m/>
    <m/>
    <m/>
    <m/>
    <n v="221"/>
    <n v="1"/>
    <n v="1"/>
    <n v="1"/>
    <n v="0"/>
    <n v="24"/>
    <m/>
    <n v="4"/>
    <s v="N4"/>
  </r>
  <r>
    <m/>
    <x v="10"/>
    <s v="A-493-0083"/>
    <s v="339E"/>
    <x v="30"/>
    <d v="2026-07-20T00:00:00"/>
    <d v="2026-07-20T00:00:00"/>
    <s v="Unfunded"/>
    <d v="1899-12-30T08:00:00"/>
    <m/>
    <m/>
    <m/>
    <m/>
    <m/>
    <m/>
    <s v="ENV Contractor"/>
    <m/>
    <m/>
    <n v="30"/>
    <n v="8"/>
    <n v="1"/>
    <n v="0"/>
    <m/>
    <m/>
    <m/>
    <m/>
    <m/>
    <m/>
    <m/>
    <m/>
    <n v="219"/>
    <n v="1"/>
    <n v="1"/>
    <n v="1"/>
    <n v="0"/>
    <n v="8"/>
    <m/>
    <n v="4"/>
    <s v="N4"/>
  </r>
  <r>
    <m/>
    <x v="7"/>
    <s v="A-493-0072"/>
    <s v="713U"/>
    <x v="27"/>
    <d v="2026-07-20T00:00:00"/>
    <d v="2026-07-24T00:00:00"/>
    <s v="Funded"/>
    <d v="1899-12-30T08:00:00"/>
    <m/>
    <m/>
    <m/>
    <m/>
    <m/>
    <m/>
    <s v="W. Mitchell"/>
    <m/>
    <s v="LS1 Scoggins"/>
    <n v="30"/>
    <n v="40"/>
    <n v="5"/>
    <n v="78"/>
    <m/>
    <m/>
    <m/>
    <m/>
    <m/>
    <m/>
    <m/>
    <m/>
    <n v="223"/>
    <n v="1"/>
    <n v="1"/>
    <n v="1"/>
    <n v="0"/>
    <n v="40"/>
    <m/>
    <n v="4"/>
    <s v="N3"/>
  </r>
  <r>
    <s v="Naval Station Newport"/>
    <x v="50"/>
    <s v="A-493-0013"/>
    <n v="3683"/>
    <x v="50"/>
    <d v="2026-07-21T00:00:00"/>
    <d v="2026-07-23T00:00:00"/>
    <s v="Unfunded"/>
    <d v="1899-12-30T08:00:00"/>
    <m/>
    <m/>
    <m/>
    <m/>
    <m/>
    <m/>
    <s v="W. Bailey"/>
    <m/>
    <m/>
    <n v="40"/>
    <n v="24"/>
    <n v="3"/>
    <n v="32"/>
    <m/>
    <m/>
    <m/>
    <m/>
    <m/>
    <m/>
    <m/>
    <m/>
    <n v="222"/>
    <n v="1"/>
    <n v="1"/>
    <n v="1"/>
    <n v="0"/>
    <n v="24"/>
    <m/>
    <n v="4"/>
    <s v="N4"/>
  </r>
  <r>
    <m/>
    <x v="10"/>
    <s v="A-493-0083"/>
    <s v="339E"/>
    <x v="30"/>
    <d v="2026-07-21T00:00:00"/>
    <d v="2026-07-21T00:00:00"/>
    <s v="Unfunded"/>
    <d v="1899-12-30T08:00:00"/>
    <m/>
    <m/>
    <m/>
    <m/>
    <m/>
    <m/>
    <s v="ENV Contractor"/>
    <m/>
    <m/>
    <n v="30"/>
    <n v="8"/>
    <n v="1"/>
    <n v="0"/>
    <m/>
    <m/>
    <m/>
    <m/>
    <m/>
    <m/>
    <m/>
    <m/>
    <n v="220"/>
    <n v="1"/>
    <n v="1"/>
    <n v="1"/>
    <n v="0"/>
    <n v="8"/>
    <m/>
    <n v="4"/>
    <s v="N4"/>
  </r>
  <r>
    <m/>
    <x v="12"/>
    <s v="A-493-0331"/>
    <s v="10UG"/>
    <x v="0"/>
    <d v="2026-07-21T00:00:00"/>
    <d v="2026-07-23T00:00:00"/>
    <s v="Funded"/>
    <m/>
    <d v="1899-12-30T19:00:00"/>
    <d v="1899-12-30T16:00:00"/>
    <d v="1899-12-30T02:00:00"/>
    <d v="1899-12-30T00:00:00"/>
    <d v="1899-12-30T13:00:00"/>
    <d v="1899-12-30T08:00:00"/>
    <s v="A. Hardy"/>
    <m/>
    <m/>
    <n v="45"/>
    <n v="24"/>
    <n v="3"/>
    <n v="183"/>
    <m/>
    <m/>
    <m/>
    <m/>
    <m/>
    <m/>
    <m/>
    <m/>
    <n v="222"/>
    <n v="1"/>
    <n v="1"/>
    <n v="1"/>
    <n v="0"/>
    <n v="24"/>
    <m/>
    <n v="4"/>
    <s v="N3"/>
  </r>
  <r>
    <m/>
    <x v="2"/>
    <s v="A-493-2501"/>
    <s v="05ZE"/>
    <x v="29"/>
    <d v="2026-07-21T00:00:00"/>
    <d v="2026-07-21T00:00:00"/>
    <s v="Unfunded"/>
    <d v="1899-12-30T08:00:00"/>
    <m/>
    <m/>
    <m/>
    <m/>
    <m/>
    <m/>
    <s v="ENV Contractor"/>
    <m/>
    <m/>
    <n v="30"/>
    <n v="8"/>
    <n v="1"/>
    <n v="60"/>
    <m/>
    <m/>
    <m/>
    <m/>
    <m/>
    <m/>
    <m/>
    <m/>
    <n v="220"/>
    <n v="1"/>
    <n v="1"/>
    <n v="1"/>
    <n v="0"/>
    <n v="8"/>
    <m/>
    <n v="4"/>
    <s v="N4"/>
  </r>
  <r>
    <m/>
    <x v="1"/>
    <s v="A-493-0099"/>
    <s v="12JW"/>
    <x v="0"/>
    <d v="2026-07-22T00:00:00"/>
    <d v="2026-07-24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1041"/>
    <m/>
    <m/>
    <m/>
    <m/>
    <m/>
    <m/>
    <m/>
    <m/>
    <n v="223"/>
    <n v="1"/>
    <n v="1"/>
    <n v="1"/>
    <n v="0"/>
    <n v="24"/>
    <m/>
    <n v="4"/>
    <s v="N5"/>
  </r>
  <r>
    <m/>
    <x v="3"/>
    <s v="A-493-0103"/>
    <s v="12JY"/>
    <x v="35"/>
    <d v="2026-07-27T00:00:00"/>
    <d v="2026-07-31T00:00:00"/>
    <s v="Funded"/>
    <d v="1899-12-30T08:00:00"/>
    <m/>
    <m/>
    <m/>
    <m/>
    <m/>
    <m/>
    <s v="SOH Contractor"/>
    <m/>
    <m/>
    <n v="25"/>
    <n v="40"/>
    <n v="5"/>
    <n v="67"/>
    <m/>
    <m/>
    <m/>
    <m/>
    <m/>
    <m/>
    <m/>
    <m/>
    <n v="230"/>
    <n v="1"/>
    <n v="1"/>
    <n v="1"/>
    <n v="0"/>
    <n v="40"/>
    <m/>
    <n v="4"/>
    <s v="N5"/>
  </r>
  <r>
    <m/>
    <x v="3"/>
    <s v="A-493-0103"/>
    <s v="12JY"/>
    <x v="10"/>
    <d v="2026-07-27T00:00:00"/>
    <d v="2026-07-31T00:00:00"/>
    <s v="Funded"/>
    <d v="1899-12-30T08:00:00"/>
    <m/>
    <m/>
    <m/>
    <m/>
    <m/>
    <m/>
    <s v="SOH Contractor"/>
    <m/>
    <m/>
    <n v="25"/>
    <n v="40"/>
    <n v="5"/>
    <n v="225"/>
    <m/>
    <m/>
    <m/>
    <m/>
    <m/>
    <m/>
    <m/>
    <m/>
    <n v="230"/>
    <n v="1"/>
    <n v="1"/>
    <n v="1"/>
    <n v="0"/>
    <n v="40"/>
    <m/>
    <n v="4"/>
    <s v="N5"/>
  </r>
  <r>
    <m/>
    <x v="4"/>
    <s v="A-493-0061"/>
    <s v="288E"/>
    <x v="0"/>
    <d v="2026-07-27T00:00:00"/>
    <d v="2026-07-30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m/>
    <m/>
    <m/>
    <m/>
    <m/>
    <m/>
    <m/>
    <m/>
    <n v="229"/>
    <n v="1"/>
    <n v="1"/>
    <n v="1"/>
    <n v="0"/>
    <n v="30"/>
    <m/>
    <n v="4"/>
    <s v="N5"/>
  </r>
  <r>
    <m/>
    <x v="42"/>
    <s v="A-493-0085"/>
    <n v="3555"/>
    <x v="0"/>
    <d v="2026-07-27T00:00:00"/>
    <d v="2026-07-30T00:00:00"/>
    <s v="Funded"/>
    <m/>
    <d v="1899-12-30T08:00:00"/>
    <d v="1899-12-30T05:00:00"/>
    <d v="1899-12-30T15:00:00"/>
    <d v="1899-12-30T13:00:00"/>
    <d v="1899-12-30T02:00:00"/>
    <d v="1899-12-30T21:00:00"/>
    <s v="B. Jung"/>
    <m/>
    <m/>
    <n v="45"/>
    <n v="32"/>
    <n v="4"/>
    <n v="397"/>
    <m/>
    <m/>
    <m/>
    <m/>
    <m/>
    <m/>
    <m/>
    <m/>
    <n v="229"/>
    <n v="1"/>
    <n v="1"/>
    <n v="1"/>
    <n v="0"/>
    <n v="32"/>
    <m/>
    <n v="4"/>
    <s v="N3"/>
  </r>
  <r>
    <m/>
    <x v="7"/>
    <s v="A-493-0072"/>
    <s v="713U"/>
    <x v="8"/>
    <d v="2026-07-27T00:00:00"/>
    <d v="2026-07-31T00:00:00"/>
    <s v="Funded"/>
    <d v="1899-12-30T08:00:00"/>
    <m/>
    <m/>
    <m/>
    <m/>
    <m/>
    <m/>
    <s v="W. Mitchell"/>
    <m/>
    <s v="LS1 Scoggins"/>
    <n v="30"/>
    <n v="40"/>
    <n v="5"/>
    <n v="265"/>
    <m/>
    <m/>
    <m/>
    <m/>
    <m/>
    <m/>
    <m/>
    <m/>
    <n v="230"/>
    <n v="1"/>
    <n v="1"/>
    <n v="1"/>
    <n v="0"/>
    <n v="40"/>
    <m/>
    <n v="4"/>
    <s v="N3"/>
  </r>
  <r>
    <m/>
    <x v="6"/>
    <s v="A-493-0078"/>
    <n v="1228"/>
    <x v="0"/>
    <d v="2026-07-27T00:00:00"/>
    <d v="2026-07-30T00:00:00"/>
    <s v="Funded"/>
    <m/>
    <d v="1899-12-30T12:00:00"/>
    <d v="1899-12-30T09:00:00"/>
    <d v="1899-12-30T19:00:00"/>
    <d v="1899-12-30T18:00:00"/>
    <d v="1899-12-30T06:00:00"/>
    <d v="1899-12-30T01:00:00"/>
    <s v="T. White"/>
    <m/>
    <m/>
    <n v="45"/>
    <n v="32"/>
    <n v="4"/>
    <n v="568"/>
    <m/>
    <m/>
    <m/>
    <m/>
    <m/>
    <m/>
    <m/>
    <m/>
    <n v="229"/>
    <n v="1"/>
    <n v="1"/>
    <n v="1"/>
    <n v="0"/>
    <n v="32"/>
    <m/>
    <n v="4"/>
    <s v="N5"/>
  </r>
  <r>
    <m/>
    <x v="0"/>
    <s v="A-493-0550"/>
    <s v="09K5"/>
    <x v="0"/>
    <d v="2026-07-28T00:00:00"/>
    <d v="2026-07-31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m/>
    <m/>
    <m/>
    <m/>
    <m/>
    <m/>
    <m/>
    <m/>
    <n v="230"/>
    <n v="1"/>
    <n v="1"/>
    <n v="1"/>
    <n v="0"/>
    <n v="32"/>
    <m/>
    <n v="4"/>
    <s v="N5"/>
  </r>
  <r>
    <m/>
    <x v="48"/>
    <s v="A-493-0077"/>
    <s v="0381"/>
    <x v="62"/>
    <d v="2026-07-29T00:00:00"/>
    <d v="2026-07-31T00:00:00"/>
    <s v="Unfunded"/>
    <d v="1899-12-30T08:00:00"/>
    <m/>
    <m/>
    <m/>
    <m/>
    <m/>
    <m/>
    <s v="ENV Contractor"/>
    <m/>
    <m/>
    <n v="25"/>
    <n v="24"/>
    <n v="3"/>
    <n v="23"/>
    <m/>
    <m/>
    <m/>
    <m/>
    <m/>
    <m/>
    <m/>
    <m/>
    <n v="230"/>
    <n v="1"/>
    <n v="1"/>
    <n v="1"/>
    <n v="0"/>
    <n v="24"/>
    <m/>
    <n v="4"/>
    <s v="N4"/>
  </r>
  <r>
    <m/>
    <x v="3"/>
    <s v="A-493-0103"/>
    <s v="12JY"/>
    <x v="32"/>
    <d v="2026-08-03T00:00:00"/>
    <d v="2026-08-07T00:00:00"/>
    <s v="Funded"/>
    <d v="1899-12-30T08:00:00"/>
    <m/>
    <m/>
    <m/>
    <m/>
    <m/>
    <m/>
    <s v="SOH Contractor"/>
    <m/>
    <m/>
    <n v="25"/>
    <n v="40"/>
    <n v="5"/>
    <n v="25"/>
    <m/>
    <m/>
    <m/>
    <m/>
    <m/>
    <m/>
    <m/>
    <m/>
    <n v="237"/>
    <n v="1"/>
    <n v="1"/>
    <n v="1"/>
    <n v="0"/>
    <n v="40"/>
    <m/>
    <n v="4"/>
    <s v="N5"/>
  </r>
  <r>
    <m/>
    <x v="14"/>
    <s v="A-493-0030"/>
    <s v="286X"/>
    <x v="13"/>
    <d v="2026-08-03T00:00:00"/>
    <d v="2026-08-07T00:00:00"/>
    <s v="Funded"/>
    <d v="1899-12-30T08:00:00"/>
    <m/>
    <m/>
    <m/>
    <m/>
    <m/>
    <m/>
    <s v="OH Contractor"/>
    <m/>
    <m/>
    <n v="25"/>
    <n v="40"/>
    <n v="5"/>
    <n v="94"/>
    <m/>
    <m/>
    <m/>
    <m/>
    <m/>
    <m/>
    <m/>
    <m/>
    <n v="237"/>
    <n v="1"/>
    <n v="1"/>
    <n v="1"/>
    <n v="0"/>
    <n v="40"/>
    <m/>
    <n v="4"/>
    <s v="N3"/>
  </r>
  <r>
    <m/>
    <x v="52"/>
    <s v="A-760-2166"/>
    <s v="438J"/>
    <x v="8"/>
    <d v="2026-08-03T00:00:00"/>
    <d v="2026-08-04T00:00:00"/>
    <s v="Funded"/>
    <d v="1899-12-30T08:00:00"/>
    <m/>
    <m/>
    <m/>
    <m/>
    <m/>
    <m/>
    <s v="W. Mitchell"/>
    <m/>
    <m/>
    <n v="25"/>
    <n v="16"/>
    <n v="2"/>
    <n v="60"/>
    <m/>
    <m/>
    <m/>
    <m/>
    <m/>
    <m/>
    <m/>
    <m/>
    <n v="234"/>
    <n v="1"/>
    <n v="1"/>
    <n v="1"/>
    <n v="0"/>
    <n v="16"/>
    <m/>
    <n v="4"/>
    <s v="N3"/>
  </r>
  <r>
    <s v="Portsmouth Naval Shipyard, NH"/>
    <x v="15"/>
    <s v="A-493-0012"/>
    <n v="3682"/>
    <x v="32"/>
    <d v="2026-08-03T00:00:00"/>
    <d v="2026-08-07T00:00:00"/>
    <s v="Unfunded"/>
    <d v="1899-12-30T08:00:00"/>
    <m/>
    <m/>
    <m/>
    <m/>
    <m/>
    <m/>
    <s v="G. Jester"/>
    <m/>
    <m/>
    <n v="40"/>
    <n v="40"/>
    <n v="5"/>
    <n v="30"/>
    <m/>
    <m/>
    <m/>
    <m/>
    <m/>
    <m/>
    <m/>
    <m/>
    <n v="237"/>
    <n v="1"/>
    <n v="1"/>
    <n v="1"/>
    <n v="0"/>
    <n v="40"/>
    <m/>
    <n v="4"/>
    <s v="N4"/>
  </r>
  <r>
    <m/>
    <x v="48"/>
    <s v="A-493-0077"/>
    <s v="0381"/>
    <x v="27"/>
    <d v="2026-08-03T00:00:00"/>
    <d v="2026-08-05T00:00:00"/>
    <s v="Unfunded"/>
    <d v="1899-12-30T08:00:00"/>
    <m/>
    <m/>
    <m/>
    <m/>
    <m/>
    <m/>
    <s v="ENV Contractor"/>
    <m/>
    <m/>
    <n v="25"/>
    <n v="24"/>
    <n v="3"/>
    <n v="51"/>
    <m/>
    <m/>
    <m/>
    <m/>
    <m/>
    <m/>
    <m/>
    <m/>
    <n v="235"/>
    <n v="1"/>
    <n v="1"/>
    <n v="1"/>
    <n v="0"/>
    <n v="24"/>
    <m/>
    <n v="4"/>
    <s v="N4"/>
  </r>
  <r>
    <s v="USMC-Do not spread quotas"/>
    <x v="7"/>
    <s v="A-493-0072"/>
    <s v="713U"/>
    <x v="26"/>
    <d v="2026-08-03T00:00:00"/>
    <d v="2026-08-07T00:00:00"/>
    <s v="Funded"/>
    <d v="1899-12-30T08:00:00"/>
    <m/>
    <m/>
    <m/>
    <m/>
    <m/>
    <m/>
    <s v="B. Jung"/>
    <m/>
    <s v="LSC Kitivi"/>
    <n v="30"/>
    <n v="40"/>
    <n v="5"/>
    <n v="4"/>
    <m/>
    <m/>
    <m/>
    <m/>
    <m/>
    <m/>
    <m/>
    <m/>
    <n v="237"/>
    <n v="1"/>
    <n v="1"/>
    <n v="1"/>
    <n v="0"/>
    <n v="40"/>
    <m/>
    <n v="4"/>
    <s v="N3"/>
  </r>
  <r>
    <s v="Pilot #1"/>
    <x v="57"/>
    <s v="TBD"/>
    <s v="TBD"/>
    <x v="0"/>
    <d v="2026-08-03T00:00:00"/>
    <d v="2026-08-06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0"/>
    <n v="0"/>
    <n v="0"/>
    <n v="0"/>
    <m/>
    <m/>
    <m/>
    <m/>
    <m/>
    <m/>
    <m/>
    <m/>
    <n v="236"/>
    <n v="1"/>
    <n v="1"/>
    <n v="1"/>
    <n v="0"/>
    <n v="0"/>
    <m/>
    <n v="4"/>
    <s v="N5"/>
  </r>
  <r>
    <m/>
    <x v="9"/>
    <s v="A-493-2099"/>
    <s v="438G"/>
    <x v="4"/>
    <d v="2026-08-03T00:00:00"/>
    <d v="2026-08-05T00:00:00"/>
    <s v="Funded"/>
    <d v="1899-12-30T08:00:00"/>
    <m/>
    <m/>
    <m/>
    <m/>
    <m/>
    <m/>
    <s v="EMC Stroughn"/>
    <m/>
    <m/>
    <n v="30"/>
    <n v="16"/>
    <n v="2"/>
    <n v="0"/>
    <m/>
    <m/>
    <m/>
    <m/>
    <m/>
    <m/>
    <m/>
    <m/>
    <n v="235"/>
    <n v="1"/>
    <n v="1"/>
    <n v="1"/>
    <n v="0"/>
    <n v="16"/>
    <m/>
    <n v="4"/>
    <s v="N8"/>
  </r>
  <r>
    <m/>
    <x v="1"/>
    <s v="A-493-0099"/>
    <s v="12JW"/>
    <x v="0"/>
    <d v="2026-08-04T00:00:00"/>
    <d v="2026-08-06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934"/>
    <m/>
    <m/>
    <m/>
    <m/>
    <m/>
    <m/>
    <m/>
    <m/>
    <n v="236"/>
    <n v="1"/>
    <n v="1"/>
    <n v="1"/>
    <n v="0"/>
    <n v="24"/>
    <m/>
    <n v="4"/>
    <s v="N5"/>
  </r>
  <r>
    <m/>
    <x v="5"/>
    <s v="A-322-2604"/>
    <s v="10ZZ"/>
    <x v="0"/>
    <d v="2026-08-04T00:00:00"/>
    <d v="2026-08-06T00:00:00"/>
    <s v="Funded"/>
    <m/>
    <d v="1899-12-30T19:00:00"/>
    <d v="1899-12-30T16:00:00"/>
    <d v="1899-12-30T02:00:00"/>
    <d v="1899-12-30T00:00:00"/>
    <d v="1899-12-30T13:00:00"/>
    <d v="1899-12-30T08:00:00"/>
    <s v="LS1 Scoggins"/>
    <m/>
    <m/>
    <n v="45"/>
    <n v="24"/>
    <n v="3"/>
    <n v="174"/>
    <m/>
    <m/>
    <m/>
    <m/>
    <m/>
    <m/>
    <m/>
    <m/>
    <n v="236"/>
    <n v="1"/>
    <n v="1"/>
    <n v="1"/>
    <n v="0"/>
    <n v="24"/>
    <m/>
    <n v="4"/>
    <s v="N8"/>
  </r>
  <r>
    <s v="NBK - Bangor"/>
    <x v="50"/>
    <s v="A-493-0013"/>
    <n v="3683"/>
    <x v="25"/>
    <d v="2026-08-04T00:00:00"/>
    <d v="2026-08-06T00:00:00"/>
    <s v="Unfunded"/>
    <d v="1899-12-30T08:00:00"/>
    <m/>
    <m/>
    <m/>
    <m/>
    <m/>
    <m/>
    <s v="R. Hartel"/>
    <m/>
    <m/>
    <n v="40"/>
    <n v="24"/>
    <n v="3"/>
    <n v="30"/>
    <m/>
    <m/>
    <m/>
    <m/>
    <m/>
    <m/>
    <m/>
    <m/>
    <n v="236"/>
    <n v="1"/>
    <n v="1"/>
    <n v="1"/>
    <n v="0"/>
    <n v="24"/>
    <m/>
    <n v="4"/>
    <s v="N4"/>
  </r>
  <r>
    <s v="NAS Patuxent River"/>
    <x v="50"/>
    <s v="A-493-0013"/>
    <n v="3683"/>
    <x v="19"/>
    <d v="2026-08-04T00:00:00"/>
    <d v="2026-08-06T00:00:00"/>
    <s v="Unfunded"/>
    <d v="1899-12-30T08:00:00"/>
    <m/>
    <m/>
    <m/>
    <m/>
    <m/>
    <m/>
    <s v="W. Bailey"/>
    <m/>
    <m/>
    <n v="40"/>
    <n v="24"/>
    <n v="3"/>
    <n v="30"/>
    <m/>
    <m/>
    <m/>
    <m/>
    <m/>
    <m/>
    <m/>
    <m/>
    <n v="236"/>
    <n v="1"/>
    <n v="1"/>
    <n v="1"/>
    <n v="0"/>
    <n v="24"/>
    <m/>
    <n v="4"/>
    <s v="N4"/>
  </r>
  <r>
    <m/>
    <x v="12"/>
    <s v="A-493-0331"/>
    <s v="10UG"/>
    <x v="0"/>
    <d v="2026-08-04T00:00:00"/>
    <d v="2026-08-06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m/>
    <m/>
    <m/>
    <m/>
    <m/>
    <m/>
    <m/>
    <m/>
    <n v="236"/>
    <n v="1"/>
    <n v="1"/>
    <n v="1"/>
    <n v="0"/>
    <n v="24"/>
    <m/>
    <n v="4"/>
    <s v="N3"/>
  </r>
  <r>
    <m/>
    <x v="2"/>
    <s v="A-493-2501"/>
    <s v="05ZE"/>
    <x v="50"/>
    <d v="2026-08-04T00:00:00"/>
    <d v="2026-08-04T00:00:00"/>
    <s v="Unfunded"/>
    <d v="1899-12-30T08:00:00"/>
    <m/>
    <m/>
    <m/>
    <m/>
    <m/>
    <m/>
    <s v="ENV Contractor"/>
    <m/>
    <m/>
    <n v="30"/>
    <n v="8"/>
    <n v="1"/>
    <n v="32"/>
    <m/>
    <m/>
    <m/>
    <m/>
    <m/>
    <m/>
    <m/>
    <m/>
    <n v="234"/>
    <n v="1"/>
    <n v="1"/>
    <n v="1"/>
    <n v="0"/>
    <n v="8"/>
    <m/>
    <n v="4"/>
    <s v="N4"/>
  </r>
  <r>
    <m/>
    <x v="10"/>
    <s v="A-493-0083"/>
    <s v="339E"/>
    <x v="27"/>
    <d v="2026-08-06T00:00:00"/>
    <d v="2026-08-06T00:00:00"/>
    <s v="Unfunded"/>
    <d v="1899-12-30T08:00:00"/>
    <m/>
    <m/>
    <m/>
    <m/>
    <m/>
    <m/>
    <s v="ENV Contractor"/>
    <m/>
    <m/>
    <n v="30"/>
    <n v="8"/>
    <n v="1"/>
    <n v="48"/>
    <m/>
    <m/>
    <m/>
    <m/>
    <m/>
    <m/>
    <m/>
    <m/>
    <n v="236"/>
    <n v="1"/>
    <n v="1"/>
    <n v="1"/>
    <n v="0"/>
    <n v="8"/>
    <m/>
    <n v="4"/>
    <s v="N4"/>
  </r>
  <r>
    <s v="Groton, CT"/>
    <x v="2"/>
    <s v="A-493-2501"/>
    <s v="05ZE"/>
    <x v="31"/>
    <d v="2026-08-06T00:00:00"/>
    <d v="2026-08-06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236"/>
    <n v="1"/>
    <n v="1"/>
    <n v="1"/>
    <n v="0"/>
    <n v="8"/>
    <m/>
    <n v="4"/>
    <s v="N4"/>
  </r>
  <r>
    <m/>
    <x v="3"/>
    <s v="A-493-0103"/>
    <s v="12JY"/>
    <x v="13"/>
    <d v="2026-08-10T00:00:00"/>
    <d v="2026-08-14T00:00:00"/>
    <s v="Funded"/>
    <d v="1899-12-30T08:00:00"/>
    <m/>
    <m/>
    <m/>
    <m/>
    <m/>
    <m/>
    <s v="SOH Contractor"/>
    <m/>
    <m/>
    <n v="25"/>
    <n v="40"/>
    <n v="5"/>
    <n v="90"/>
    <m/>
    <m/>
    <m/>
    <m/>
    <m/>
    <m/>
    <m/>
    <m/>
    <n v="244"/>
    <n v="1"/>
    <n v="1"/>
    <n v="1"/>
    <n v="0"/>
    <n v="40"/>
    <m/>
    <n v="4"/>
    <s v="N5"/>
  </r>
  <r>
    <m/>
    <x v="3"/>
    <s v="A-493-0103"/>
    <s v="12JY"/>
    <x v="14"/>
    <d v="2026-08-10T00:00:00"/>
    <d v="2026-08-14T00:00:00"/>
    <s v="Funded"/>
    <d v="1899-12-30T08:00:00"/>
    <m/>
    <m/>
    <m/>
    <m/>
    <m/>
    <m/>
    <s v="SOH Contractor"/>
    <m/>
    <m/>
    <n v="25"/>
    <n v="40"/>
    <n v="5"/>
    <n v="84"/>
    <m/>
    <m/>
    <m/>
    <m/>
    <m/>
    <m/>
    <m/>
    <m/>
    <n v="244"/>
    <n v="1"/>
    <n v="1"/>
    <n v="1"/>
    <n v="0"/>
    <n v="40"/>
    <m/>
    <n v="4"/>
    <s v="N5"/>
  </r>
  <r>
    <m/>
    <x v="45"/>
    <s v="A-493-0070"/>
    <s v="450V"/>
    <x v="0"/>
    <d v="2026-08-10T00:00:00"/>
    <d v="2026-08-11T00:00:00"/>
    <s v="Funded"/>
    <m/>
    <d v="1899-12-30T08:00:00"/>
    <d v="1899-12-30T05:00:00"/>
    <d v="1899-12-30T15:00:00"/>
    <d v="1899-12-30T13:00:00"/>
    <d v="1899-12-30T02:00:00"/>
    <d v="1899-12-30T21:00:00"/>
    <s v="W. Mitchell"/>
    <m/>
    <m/>
    <n v="30"/>
    <n v="8"/>
    <n v="1"/>
    <n v="0"/>
    <m/>
    <m/>
    <m/>
    <m/>
    <m/>
    <m/>
    <m/>
    <m/>
    <n v="241"/>
    <n v="1"/>
    <n v="1"/>
    <n v="1"/>
    <n v="0"/>
    <n v="8"/>
    <m/>
    <n v="4"/>
    <s v="N3"/>
  </r>
  <r>
    <m/>
    <x v="14"/>
    <s v="A-493-0030"/>
    <s v="286X"/>
    <x v="8"/>
    <d v="2026-08-10T00:00:00"/>
    <d v="2026-08-14T00:00:00"/>
    <s v="Funded"/>
    <d v="1899-12-30T08:00:00"/>
    <m/>
    <m/>
    <m/>
    <m/>
    <m/>
    <m/>
    <s v="OH Contractor"/>
    <m/>
    <m/>
    <n v="25"/>
    <n v="40"/>
    <n v="5"/>
    <n v="85"/>
    <m/>
    <m/>
    <m/>
    <m/>
    <m/>
    <m/>
    <m/>
    <m/>
    <n v="244"/>
    <n v="1"/>
    <n v="1"/>
    <n v="1"/>
    <n v="0"/>
    <n v="40"/>
    <m/>
    <n v="4"/>
    <s v="N3"/>
  </r>
  <r>
    <s v="NSB New London/Groton"/>
    <x v="15"/>
    <s v="A-493-0012"/>
    <n v="3682"/>
    <x v="31"/>
    <d v="2026-08-10T00:00:00"/>
    <d v="2026-08-14T00:00:00"/>
    <s v="Unfunded"/>
    <d v="1899-12-30T08:00:00"/>
    <m/>
    <m/>
    <m/>
    <m/>
    <m/>
    <m/>
    <s v="R. Hartel"/>
    <m/>
    <m/>
    <n v="40"/>
    <n v="40"/>
    <n v="5"/>
    <n v="30"/>
    <m/>
    <m/>
    <m/>
    <m/>
    <m/>
    <m/>
    <m/>
    <m/>
    <n v="244"/>
    <n v="1"/>
    <n v="1"/>
    <n v="1"/>
    <n v="0"/>
    <n v="40"/>
    <m/>
    <n v="4"/>
    <s v="N4"/>
  </r>
  <r>
    <m/>
    <x v="4"/>
    <s v="A-493-0061"/>
    <s v="288E"/>
    <x v="0"/>
    <d v="2026-08-10T00:00:00"/>
    <d v="2026-08-13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m/>
    <m/>
    <m/>
    <m/>
    <m/>
    <m/>
    <m/>
    <m/>
    <n v="243"/>
    <n v="1"/>
    <n v="1"/>
    <n v="1"/>
    <n v="0"/>
    <n v="30"/>
    <m/>
    <n v="4"/>
    <s v="N5"/>
  </r>
  <r>
    <m/>
    <x v="38"/>
    <s v="A-570-0100"/>
    <s v="18B7"/>
    <x v="0"/>
    <d v="2026-08-10T00:00:00"/>
    <d v="2026-08-11T00:00:00"/>
    <s v="Funded"/>
    <m/>
    <d v="1899-12-30T19:00:00"/>
    <d v="1899-12-30T16:00:00"/>
    <d v="1899-12-30T02:00:00"/>
    <d v="1899-12-30T00:00:00"/>
    <d v="1899-12-30T13:00:00"/>
    <d v="1899-12-30T08:00:00"/>
    <s v="LS1 Scoggins"/>
    <m/>
    <m/>
    <n v="45"/>
    <n v="16"/>
    <n v="2"/>
    <n v="126"/>
    <m/>
    <m/>
    <m/>
    <m/>
    <m/>
    <m/>
    <m/>
    <m/>
    <n v="241"/>
    <n v="1"/>
    <n v="1"/>
    <n v="1"/>
    <n v="0"/>
    <n v="16"/>
    <m/>
    <n v="4"/>
    <s v="N8"/>
  </r>
  <r>
    <s v="USMC-Do not spread quotas"/>
    <x v="7"/>
    <s v="A-493-0072"/>
    <s v="713U"/>
    <x v="26"/>
    <d v="2026-08-10T00:00:00"/>
    <d v="2026-08-14T00:00:00"/>
    <s v="Funded"/>
    <d v="1899-12-30T08:00:00"/>
    <m/>
    <m/>
    <m/>
    <m/>
    <m/>
    <m/>
    <s v="B. Jung"/>
    <m/>
    <s v="LSC Kitivi"/>
    <n v="30"/>
    <n v="40"/>
    <n v="5"/>
    <n v="33"/>
    <m/>
    <m/>
    <m/>
    <m/>
    <m/>
    <m/>
    <m/>
    <m/>
    <n v="244"/>
    <n v="1"/>
    <n v="1"/>
    <n v="1"/>
    <n v="0"/>
    <n v="40"/>
    <m/>
    <n v="4"/>
    <s v="N3"/>
  </r>
  <r>
    <m/>
    <x v="8"/>
    <s v="A-493-2098"/>
    <s v="09WW"/>
    <x v="0"/>
    <d v="2026-08-10T00:00:00"/>
    <d v="2026-07-12T00:00:00"/>
    <s v="Funded"/>
    <m/>
    <d v="1899-12-30T12:00:00"/>
    <d v="1899-12-30T09:00:00"/>
    <d v="1899-12-30T19:00:00"/>
    <d v="1899-12-30T18:00:00"/>
    <d v="1899-12-30T06:00:00"/>
    <d v="1899-12-30T01:00:00"/>
    <s v="EMC Stroughn"/>
    <m/>
    <m/>
    <n v="100"/>
    <n v="16"/>
    <n v="3"/>
    <m/>
    <m/>
    <m/>
    <m/>
    <m/>
    <m/>
    <m/>
    <m/>
    <m/>
    <n v="211"/>
    <n v="1"/>
    <n v="1"/>
    <n v="1"/>
    <n v="0"/>
    <n v="16"/>
    <m/>
    <n v="4"/>
    <s v="N8"/>
  </r>
  <r>
    <m/>
    <x v="6"/>
    <s v="A-493-0078"/>
    <n v="1228"/>
    <x v="0"/>
    <d v="2026-08-10T00:00:00"/>
    <d v="2026-08-14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m/>
    <m/>
    <m/>
    <m/>
    <m/>
    <m/>
    <m/>
    <m/>
    <n v="244"/>
    <n v="1"/>
    <n v="1"/>
    <n v="1"/>
    <n v="0"/>
    <n v="32"/>
    <m/>
    <n v="4"/>
    <s v="N5"/>
  </r>
  <r>
    <m/>
    <x v="0"/>
    <s v="A-493-0550"/>
    <s v="09K5"/>
    <x v="0"/>
    <d v="2026-08-11T00:00:00"/>
    <d v="2026-08-14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m/>
    <m/>
    <m/>
    <m/>
    <m/>
    <m/>
    <m/>
    <m/>
    <n v="244"/>
    <n v="1"/>
    <n v="1"/>
    <n v="1"/>
    <n v="0"/>
    <n v="32"/>
    <m/>
    <n v="4"/>
    <s v="N5"/>
  </r>
  <r>
    <m/>
    <x v="51"/>
    <s v="A-493-0092"/>
    <n v="5891"/>
    <x v="3"/>
    <d v="2026-08-11T00:00:00"/>
    <d v="2026-08-13T00:00:00"/>
    <s v="Funded"/>
    <d v="1899-12-30T08:00:00"/>
    <m/>
    <m/>
    <m/>
    <m/>
    <m/>
    <m/>
    <s v="A. Harris"/>
    <m/>
    <m/>
    <n v="25"/>
    <n v="24"/>
    <n v="3"/>
    <n v="138"/>
    <m/>
    <m/>
    <m/>
    <m/>
    <m/>
    <m/>
    <m/>
    <m/>
    <n v="243"/>
    <n v="1"/>
    <n v="1"/>
    <n v="1"/>
    <n v="0"/>
    <n v="24"/>
    <m/>
    <n v="4"/>
    <s v="N3"/>
  </r>
  <r>
    <m/>
    <x v="47"/>
    <s v="A-493-0020"/>
    <n v="3888"/>
    <x v="0"/>
    <d v="2026-08-12T00:00:00"/>
    <d v="2026-08-12T00:00:00"/>
    <s v="Funded"/>
    <m/>
    <d v="1899-12-30T08:00:00"/>
    <d v="1899-12-30T05:00:00"/>
    <d v="1899-12-30T15:00:00"/>
    <d v="1899-12-30T13:00:00"/>
    <d v="1899-12-30T02:00:00"/>
    <d v="1899-12-30T21:00:00"/>
    <s v="W. Mitchell"/>
    <m/>
    <m/>
    <n v="30"/>
    <n v="4"/>
    <n v="0.5"/>
    <n v="0"/>
    <m/>
    <m/>
    <m/>
    <m/>
    <m/>
    <m/>
    <m/>
    <m/>
    <n v="242"/>
    <n v="1"/>
    <n v="1"/>
    <n v="1"/>
    <n v="0"/>
    <n v="4"/>
    <m/>
    <n v="4"/>
    <s v="N3"/>
  </r>
  <r>
    <m/>
    <x v="46"/>
    <s v="A-493-0015"/>
    <n v="3879"/>
    <x v="0"/>
    <d v="2026-08-13T00:00:00"/>
    <d v="2026-08-13T00:00:00"/>
    <s v="Funded"/>
    <m/>
    <d v="1899-12-30T08:00:00"/>
    <d v="1899-12-30T05:00:00"/>
    <d v="1899-12-30T15:00:00"/>
    <d v="1899-12-30T13:00:00"/>
    <d v="1899-12-30T02:00:00"/>
    <d v="1899-12-30T21:00:00"/>
    <s v="W. Mitchell"/>
    <m/>
    <m/>
    <n v="30"/>
    <n v="4"/>
    <n v="0.5"/>
    <n v="0"/>
    <m/>
    <m/>
    <m/>
    <m/>
    <m/>
    <m/>
    <m/>
    <m/>
    <n v="243"/>
    <n v="1"/>
    <n v="1"/>
    <n v="1"/>
    <n v="0"/>
    <n v="4"/>
    <m/>
    <n v="4"/>
    <s v="N3"/>
  </r>
  <r>
    <s v="QTR 4 All Hands @0900"/>
    <x v="44"/>
    <s v="Function"/>
    <s v="Function"/>
    <x v="4"/>
    <d v="2026-08-13T00:00:00"/>
    <d v="2026-08-13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243"/>
    <n v="0"/>
    <n v="1"/>
    <n v="1"/>
    <n v="0"/>
    <n v="0"/>
    <n v="0"/>
    <n v="4"/>
    <s v="TSD"/>
  </r>
  <r>
    <m/>
    <x v="3"/>
    <s v="A-493-0103"/>
    <s v="12JY"/>
    <x v="25"/>
    <d v="2026-08-17T00:00:00"/>
    <d v="2026-08-21T00:00:00"/>
    <s v="Funded"/>
    <d v="1899-12-30T08:00:00"/>
    <m/>
    <m/>
    <m/>
    <m/>
    <m/>
    <m/>
    <s v="SOH Contractor"/>
    <m/>
    <m/>
    <n v="25"/>
    <n v="40"/>
    <n v="5"/>
    <n v="28"/>
    <m/>
    <m/>
    <m/>
    <m/>
    <m/>
    <m/>
    <m/>
    <m/>
    <n v="251"/>
    <n v="1"/>
    <n v="1"/>
    <n v="1"/>
    <n v="0"/>
    <n v="40"/>
    <m/>
    <n v="4"/>
    <s v="N5"/>
  </r>
  <r>
    <m/>
    <x v="3"/>
    <s v="A-493-0103"/>
    <s v="12JY"/>
    <x v="14"/>
    <d v="2026-08-17T00:00:00"/>
    <d v="2026-08-21T00:00:00"/>
    <s v="Funded"/>
    <d v="1899-12-30T08:00:00"/>
    <m/>
    <m/>
    <m/>
    <m/>
    <m/>
    <m/>
    <s v="SOH Contractor"/>
    <m/>
    <m/>
    <n v="25"/>
    <n v="40"/>
    <n v="5"/>
    <n v="84"/>
    <m/>
    <m/>
    <m/>
    <m/>
    <m/>
    <m/>
    <m/>
    <m/>
    <n v="251"/>
    <n v="1"/>
    <n v="1"/>
    <n v="1"/>
    <n v="0"/>
    <n v="40"/>
    <m/>
    <n v="4"/>
    <s v="N5"/>
  </r>
  <r>
    <m/>
    <x v="43"/>
    <s v="A-4J-0022"/>
    <s v="09ER"/>
    <x v="0"/>
    <d v="2026-08-17T00:00:00"/>
    <d v="2026-08-21T00:00:00"/>
    <s v="Funded"/>
    <m/>
    <d v="1899-12-30T12:00:00"/>
    <d v="1899-12-30T09:00:00"/>
    <d v="1899-12-30T19:00:00"/>
    <d v="1899-12-30T18:00:00"/>
    <d v="1899-12-30T06:00:00"/>
    <d v="1899-12-30T01:00:00"/>
    <s v="K. Seo"/>
    <m/>
    <m/>
    <n v="45"/>
    <n v="16"/>
    <n v="2"/>
    <n v="130"/>
    <m/>
    <m/>
    <m/>
    <m/>
    <m/>
    <m/>
    <m/>
    <m/>
    <n v="251"/>
    <n v="1"/>
    <n v="1"/>
    <n v="1"/>
    <n v="0"/>
    <n v="16"/>
    <m/>
    <n v="4"/>
    <s v="N4"/>
  </r>
  <r>
    <m/>
    <x v="48"/>
    <s v="A-493-0077"/>
    <s v="0381"/>
    <x v="58"/>
    <d v="2026-08-17T00:00:00"/>
    <d v="2026-08-19T00:00:00"/>
    <s v="Unfunded"/>
    <d v="1899-12-30T08:00:00"/>
    <m/>
    <m/>
    <m/>
    <m/>
    <m/>
    <m/>
    <s v="ENV Contractor"/>
    <m/>
    <m/>
    <n v="25"/>
    <n v="24"/>
    <n v="3"/>
    <n v="27"/>
    <m/>
    <m/>
    <m/>
    <m/>
    <m/>
    <m/>
    <m/>
    <m/>
    <n v="249"/>
    <n v="1"/>
    <n v="1"/>
    <n v="1"/>
    <n v="0"/>
    <n v="24"/>
    <m/>
    <n v="4"/>
    <s v="N4"/>
  </r>
  <r>
    <m/>
    <x v="40"/>
    <s v="A-493-0335"/>
    <s v="09ND"/>
    <x v="0"/>
    <d v="2026-08-17T00:00:00"/>
    <d v="2026-08-20T00:00:00"/>
    <s v="Funded"/>
    <m/>
    <d v="1899-12-30T12:00:00"/>
    <d v="1899-12-30T09:00:00"/>
    <d v="1899-12-30T19:00:00"/>
    <d v="1899-12-30T18:00:00"/>
    <d v="1899-12-30T06:00:00"/>
    <d v="1899-12-30T01:00:00"/>
    <s v="A. Harris"/>
    <m/>
    <m/>
    <n v="45"/>
    <n v="32"/>
    <n v="4"/>
    <n v="537"/>
    <m/>
    <m/>
    <m/>
    <m/>
    <m/>
    <m/>
    <m/>
    <m/>
    <n v="250"/>
    <n v="1"/>
    <n v="1"/>
    <n v="1"/>
    <n v="0"/>
    <n v="32"/>
    <m/>
    <n v="4"/>
    <s v="N3"/>
  </r>
  <r>
    <m/>
    <x v="7"/>
    <s v="A-493-0072"/>
    <s v="713U"/>
    <x v="30"/>
    <d v="2026-08-17T00:00:00"/>
    <d v="2026-08-21T00:00:00"/>
    <s v="Funded"/>
    <d v="1899-12-30T08:00:00"/>
    <m/>
    <m/>
    <m/>
    <m/>
    <m/>
    <m/>
    <s v="W. Mitchell"/>
    <m/>
    <s v="Lauren"/>
    <n v="30"/>
    <n v="40"/>
    <n v="5"/>
    <n v="66"/>
    <m/>
    <m/>
    <m/>
    <m/>
    <m/>
    <m/>
    <m/>
    <m/>
    <n v="251"/>
    <n v="1"/>
    <n v="1"/>
    <n v="1"/>
    <n v="0"/>
    <n v="40"/>
    <m/>
    <n v="4"/>
    <s v="N3"/>
  </r>
  <r>
    <s v="AIRFORCE SPECIAL CONVENING Tank Managers – U.S. Funded Course, Quota will not be open"/>
    <x v="53"/>
    <s v="A-493-2017"/>
    <s v="12x3"/>
    <x v="69"/>
    <d v="2026-08-17T00:00:00"/>
    <d v="2026-08-21T00:00:00"/>
    <s v="Funded"/>
    <m/>
    <m/>
    <m/>
    <m/>
    <m/>
    <m/>
    <m/>
    <m/>
    <m/>
    <m/>
    <n v="25"/>
    <n v="40"/>
    <n v="5"/>
    <m/>
    <m/>
    <m/>
    <m/>
    <m/>
    <m/>
    <m/>
    <m/>
    <m/>
    <n v="251"/>
    <n v="1"/>
    <n v="1"/>
    <n v="0"/>
    <n v="0"/>
    <e v="#DIV/0!"/>
    <m/>
    <n v="4"/>
    <s v="N4"/>
  </r>
  <r>
    <m/>
    <x v="21"/>
    <s v="A-4J-0019"/>
    <s v="28SL/285M"/>
    <x v="9"/>
    <d v="2026-08-17T00:00:00"/>
    <d v="2026-08-21T00:00:00"/>
    <s v="Funded"/>
    <d v="1899-12-30T07:30:00"/>
    <m/>
    <m/>
    <m/>
    <m/>
    <m/>
    <m/>
    <s v="J. Wilson"/>
    <s v="M. Bailey"/>
    <m/>
    <n v="20"/>
    <n v="40"/>
    <n v="5"/>
    <n v="148"/>
    <m/>
    <m/>
    <m/>
    <m/>
    <m/>
    <m/>
    <m/>
    <m/>
    <n v="251"/>
    <n v="1"/>
    <n v="1"/>
    <n v="1"/>
    <n v="1"/>
    <n v="20"/>
    <m/>
    <n v="4"/>
    <s v="N8"/>
  </r>
  <r>
    <m/>
    <x v="1"/>
    <s v="A-493-0099"/>
    <s v="12JW"/>
    <x v="0"/>
    <d v="2026-08-18T00:00:00"/>
    <d v="2026-08-20T00:00:00"/>
    <s v="Funded"/>
    <m/>
    <d v="1899-12-30T12:00:00"/>
    <d v="1899-12-30T09:00:00"/>
    <d v="1899-12-30T19:00:00"/>
    <d v="1899-12-30T18:00:00"/>
    <d v="1899-12-30T06:00:00"/>
    <d v="1899-12-30T01:00:00"/>
    <s v="V. Kentish"/>
    <m/>
    <m/>
    <n v="45"/>
    <n v="24"/>
    <n v="3"/>
    <n v="934"/>
    <m/>
    <m/>
    <m/>
    <m/>
    <m/>
    <m/>
    <m/>
    <m/>
    <n v="250"/>
    <n v="1"/>
    <n v="1"/>
    <n v="1"/>
    <n v="0"/>
    <n v="24"/>
    <m/>
    <n v="4"/>
    <s v="N5"/>
  </r>
  <r>
    <m/>
    <x v="2"/>
    <s v="A-493-2501"/>
    <s v="05ZE"/>
    <x v="32"/>
    <d v="2026-08-18T00:00:00"/>
    <d v="2026-08-18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248"/>
    <n v="1"/>
    <n v="1"/>
    <n v="1"/>
    <n v="0"/>
    <n v="8"/>
    <m/>
    <n v="4"/>
    <s v="N4"/>
  </r>
  <r>
    <m/>
    <x v="0"/>
    <s v="A-493-0550"/>
    <s v="09K5"/>
    <x v="0"/>
    <d v="2026-08-24T00:00:00"/>
    <d v="2026-08-27T00:00:00"/>
    <s v="Funded"/>
    <m/>
    <d v="1899-12-30T08:00:00"/>
    <d v="1899-12-30T05:00:00"/>
    <d v="1899-12-30T15:00:00"/>
    <d v="1899-12-30T13:00:00"/>
    <d v="1899-12-30T02:00:00"/>
    <d v="1899-12-30T21:00:00"/>
    <s v="N. DeCastro"/>
    <m/>
    <m/>
    <n v="45"/>
    <n v="32"/>
    <n v="4"/>
    <n v="455"/>
    <m/>
    <m/>
    <m/>
    <m/>
    <m/>
    <m/>
    <m/>
    <m/>
    <n v="257"/>
    <n v="1"/>
    <n v="1"/>
    <n v="1"/>
    <n v="0"/>
    <n v="32"/>
    <m/>
    <n v="4"/>
    <s v="N5"/>
  </r>
  <r>
    <m/>
    <x v="37"/>
    <s v="A-493-0665"/>
    <s v="10KW"/>
    <x v="0"/>
    <d v="2026-08-24T00:00:00"/>
    <d v="2026-08-26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337"/>
    <m/>
    <m/>
    <m/>
    <m/>
    <m/>
    <m/>
    <m/>
    <m/>
    <n v="256"/>
    <n v="1"/>
    <n v="1"/>
    <n v="1"/>
    <n v="0"/>
    <n v="24"/>
    <m/>
    <n v="4"/>
    <s v="N8"/>
  </r>
  <r>
    <m/>
    <x v="4"/>
    <s v="A-493-0061"/>
    <s v="288E"/>
    <x v="0"/>
    <d v="2026-08-24T00:00:00"/>
    <d v="2026-08-27T00:00:00"/>
    <s v="Funded"/>
    <m/>
    <d v="1899-12-30T12:00:00"/>
    <d v="1899-12-30T09:00:00"/>
    <d v="1899-12-30T19:00:00"/>
    <d v="1899-12-30T18:00:00"/>
    <d v="1899-12-30T06:00:00"/>
    <d v="1899-12-30T01:00:00"/>
    <s v="S. Griffin"/>
    <m/>
    <m/>
    <n v="45"/>
    <n v="30"/>
    <n v="4"/>
    <n v="620"/>
    <m/>
    <m/>
    <m/>
    <m/>
    <m/>
    <m/>
    <m/>
    <m/>
    <n v="257"/>
    <n v="1"/>
    <n v="1"/>
    <n v="1"/>
    <n v="0"/>
    <n v="30"/>
    <m/>
    <n v="4"/>
    <s v="N5"/>
  </r>
  <r>
    <m/>
    <x v="42"/>
    <s v="A-493-0085"/>
    <n v="3555"/>
    <x v="0"/>
    <d v="2026-08-24T00:00:00"/>
    <d v="2026-08-27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32"/>
    <n v="4"/>
    <n v="688"/>
    <m/>
    <m/>
    <m/>
    <m/>
    <m/>
    <m/>
    <m/>
    <m/>
    <n v="257"/>
    <n v="1"/>
    <n v="1"/>
    <n v="1"/>
    <n v="0"/>
    <n v="32"/>
    <m/>
    <n v="4"/>
    <s v="N3"/>
  </r>
  <r>
    <m/>
    <x v="38"/>
    <s v="A-570-0100"/>
    <s v="18B7"/>
    <x v="0"/>
    <d v="2026-08-24T00:00:00"/>
    <d v="2026-08-25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m/>
    <m/>
    <m/>
    <m/>
    <m/>
    <m/>
    <m/>
    <m/>
    <n v="255"/>
    <n v="1"/>
    <n v="1"/>
    <n v="1"/>
    <n v="0"/>
    <n v="16"/>
    <m/>
    <n v="4"/>
    <s v="N8"/>
  </r>
  <r>
    <m/>
    <x v="7"/>
    <s v="A-493-0072"/>
    <s v="713U"/>
    <x v="13"/>
    <d v="2026-08-24T00:00:00"/>
    <d v="2026-08-28T00:00:00"/>
    <s v="Funded"/>
    <d v="1899-12-30T08:00:00"/>
    <m/>
    <m/>
    <m/>
    <m/>
    <m/>
    <m/>
    <s v="W. Mitchell"/>
    <m/>
    <s v="Lauren"/>
    <n v="30"/>
    <n v="40"/>
    <n v="5"/>
    <n v="67"/>
    <m/>
    <m/>
    <m/>
    <m/>
    <m/>
    <m/>
    <m/>
    <m/>
    <n v="258"/>
    <n v="1"/>
    <n v="1"/>
    <n v="1"/>
    <n v="0"/>
    <n v="40"/>
    <m/>
    <n v="4"/>
    <s v="N3"/>
  </r>
  <r>
    <m/>
    <x v="6"/>
    <s v="A-493-0078"/>
    <n v="1228"/>
    <x v="0"/>
    <d v="2026-08-24T00:00:00"/>
    <d v="2026-08-27T00:00:00"/>
    <s v="Funded"/>
    <m/>
    <d v="1899-12-30T19:00:00"/>
    <d v="1899-12-30T16:00:00"/>
    <d v="1899-12-30T02:00:00"/>
    <d v="1899-12-30T00:00:00"/>
    <d v="1899-12-30T13:00:00"/>
    <d v="1899-12-30T08:00:00"/>
    <s v="T. White"/>
    <m/>
    <m/>
    <n v="45"/>
    <n v="32"/>
    <n v="4"/>
    <n v="181"/>
    <m/>
    <m/>
    <m/>
    <m/>
    <m/>
    <m/>
    <m/>
    <m/>
    <n v="257"/>
    <n v="1"/>
    <n v="1"/>
    <n v="1"/>
    <n v="0"/>
    <n v="32"/>
    <m/>
    <n v="4"/>
    <s v="N5"/>
  </r>
  <r>
    <m/>
    <x v="48"/>
    <s v="A-493-0077"/>
    <s v="0381"/>
    <x v="51"/>
    <d v="2026-08-25T00:00:00"/>
    <d v="2026-08-27T00:00:00"/>
    <s v="Unfunded"/>
    <d v="1899-12-30T08:00:00"/>
    <m/>
    <m/>
    <m/>
    <m/>
    <m/>
    <m/>
    <s v="ENV Contractor"/>
    <m/>
    <m/>
    <n v="25"/>
    <n v="24"/>
    <n v="3"/>
    <n v="25"/>
    <m/>
    <m/>
    <m/>
    <m/>
    <m/>
    <m/>
    <m/>
    <m/>
    <n v="257"/>
    <n v="1"/>
    <n v="1"/>
    <n v="1"/>
    <n v="0"/>
    <n v="24"/>
    <m/>
    <n v="4"/>
    <s v="N4"/>
  </r>
  <r>
    <s v="NAVMAG Indian Island"/>
    <x v="50"/>
    <s v="A-493-0013"/>
    <n v="3683"/>
    <x v="70"/>
    <d v="2026-08-26T00:00:00"/>
    <d v="2026-08-28T00:00:00"/>
    <s v="Unfunded"/>
    <d v="1899-12-30T08:00:00"/>
    <m/>
    <m/>
    <m/>
    <m/>
    <m/>
    <m/>
    <s v="R. Hartel"/>
    <m/>
    <m/>
    <n v="40"/>
    <n v="24"/>
    <n v="3"/>
    <n v="20"/>
    <m/>
    <m/>
    <m/>
    <m/>
    <m/>
    <m/>
    <m/>
    <m/>
    <n v="258"/>
    <n v="1"/>
    <n v="1"/>
    <n v="1"/>
    <n v="0"/>
    <n v="24"/>
    <m/>
    <n v="4"/>
    <s v="N4"/>
  </r>
  <r>
    <m/>
    <x v="10"/>
    <s v="A-493-0083"/>
    <s v="339E"/>
    <x v="51"/>
    <d v="2026-08-28T00:00:00"/>
    <d v="2026-08-28T00:00:00"/>
    <s v="Unfunded"/>
    <d v="1899-12-30T08:00:00"/>
    <m/>
    <m/>
    <m/>
    <m/>
    <m/>
    <m/>
    <s v="ENV Contractor"/>
    <m/>
    <m/>
    <n v="30"/>
    <n v="8"/>
    <n v="1"/>
    <n v="30"/>
    <m/>
    <m/>
    <m/>
    <m/>
    <m/>
    <m/>
    <m/>
    <m/>
    <n v="258"/>
    <n v="1"/>
    <n v="1"/>
    <n v="1"/>
    <n v="0"/>
    <n v="8"/>
    <m/>
    <n v="4"/>
    <s v="N4"/>
  </r>
  <r>
    <s v="DFSP Manchester"/>
    <x v="15"/>
    <s v="A-493-0012"/>
    <n v="3682"/>
    <x v="28"/>
    <d v="2026-08-31T00:00:00"/>
    <d v="2026-09-04T00:00:00"/>
    <s v="Unfunded"/>
    <d v="1899-12-30T08:00:00"/>
    <m/>
    <m/>
    <m/>
    <m/>
    <m/>
    <m/>
    <s v="R. Hartel"/>
    <m/>
    <m/>
    <n v="40"/>
    <n v="40"/>
    <n v="5"/>
    <n v="30"/>
    <m/>
    <m/>
    <m/>
    <m/>
    <m/>
    <m/>
    <m/>
    <m/>
    <n v="265"/>
    <n v="1"/>
    <n v="1"/>
    <n v="1"/>
    <n v="0"/>
    <n v="40"/>
    <m/>
    <n v="4"/>
    <s v="N4"/>
  </r>
  <r>
    <s v="Naval Station Everett"/>
    <x v="50"/>
    <s v="A-493-0013"/>
    <n v="3683"/>
    <x v="30"/>
    <d v="2026-08-31T00:00:00"/>
    <d v="2026-09-02T00:00:00"/>
    <s v="Unfunded"/>
    <d v="1899-12-30T08:00:00"/>
    <m/>
    <m/>
    <m/>
    <m/>
    <m/>
    <m/>
    <s v="R. Hartel"/>
    <m/>
    <m/>
    <n v="40"/>
    <n v="24"/>
    <n v="3"/>
    <n v="8"/>
    <m/>
    <m/>
    <m/>
    <m/>
    <m/>
    <m/>
    <m/>
    <m/>
    <n v="263"/>
    <n v="1"/>
    <n v="1"/>
    <n v="1"/>
    <n v="0"/>
    <n v="24"/>
    <m/>
    <n v="4"/>
    <s v="N4"/>
  </r>
  <r>
    <m/>
    <x v="51"/>
    <s v="A-493-0092"/>
    <n v="5891"/>
    <x v="13"/>
    <d v="2026-08-31T00:00:00"/>
    <d v="2026-09-02T00:00:00"/>
    <s v="Funded"/>
    <d v="1899-12-30T08:00:00"/>
    <m/>
    <m/>
    <m/>
    <m/>
    <m/>
    <m/>
    <s v="W. Mitchell"/>
    <m/>
    <s v="Lauren"/>
    <n v="25"/>
    <n v="24"/>
    <n v="3"/>
    <n v="41"/>
    <m/>
    <m/>
    <m/>
    <m/>
    <m/>
    <m/>
    <m/>
    <m/>
    <n v="263"/>
    <n v="1"/>
    <n v="1"/>
    <n v="1"/>
    <n v="0"/>
    <n v="24"/>
    <m/>
    <n v="4"/>
    <s v="N3"/>
  </r>
  <r>
    <s v="Pilot #2"/>
    <x v="57"/>
    <s v="TBD"/>
    <s v="TBD"/>
    <x v="0"/>
    <d v="2026-08-31T00:00:00"/>
    <d v="2026-09-03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0"/>
    <n v="0"/>
    <n v="0"/>
    <n v="0"/>
    <m/>
    <m/>
    <m/>
    <m/>
    <m/>
    <m/>
    <m/>
    <m/>
    <n v="264"/>
    <n v="1"/>
    <n v="1"/>
    <n v="1"/>
    <n v="0"/>
    <n v="0"/>
    <m/>
    <n v="4"/>
    <s v="N5"/>
  </r>
  <r>
    <m/>
    <x v="12"/>
    <s v="A-493-0331"/>
    <s v="10UG"/>
    <x v="0"/>
    <d v="2026-09-01T00:00:00"/>
    <d v="2026-09-03T00:00:00"/>
    <s v="Funded"/>
    <m/>
    <d v="1899-12-30T19:00:00"/>
    <d v="1899-12-30T16:00:00"/>
    <d v="1899-12-30T02:00:00"/>
    <d v="1899-12-30T00:00:00"/>
    <d v="1899-12-30T13:00:00"/>
    <d v="1899-12-30T08:00:00"/>
    <s v="A. Hardy"/>
    <m/>
    <m/>
    <n v="45"/>
    <n v="24"/>
    <n v="3"/>
    <n v="183"/>
    <m/>
    <m/>
    <m/>
    <m/>
    <m/>
    <m/>
    <m/>
    <m/>
    <n v="264"/>
    <n v="1"/>
    <n v="1"/>
    <n v="1"/>
    <n v="0"/>
    <n v="24"/>
    <m/>
    <n v="4"/>
    <s v="N3"/>
  </r>
  <r>
    <m/>
    <x v="1"/>
    <s v="A-493-0099"/>
    <s v="12JW"/>
    <x v="0"/>
    <d v="2026-09-02T00:00:00"/>
    <d v="2026-09-04T00:00:00"/>
    <s v="Funded"/>
    <m/>
    <d v="1899-12-30T19:00:00"/>
    <d v="1899-12-30T16:00:00"/>
    <d v="1899-12-30T02:00:00"/>
    <d v="1899-12-30T00:00:00"/>
    <d v="1899-12-30T13:00:00"/>
    <d v="1899-12-30T08:00:00"/>
    <s v="V. Kentish"/>
    <m/>
    <m/>
    <n v="45"/>
    <n v="24"/>
    <n v="3"/>
    <n v="224"/>
    <m/>
    <m/>
    <m/>
    <m/>
    <m/>
    <m/>
    <m/>
    <m/>
    <n v="265"/>
    <n v="1"/>
    <n v="1"/>
    <n v="1"/>
    <n v="0"/>
    <n v="24"/>
    <m/>
    <n v="4"/>
    <s v="N5"/>
  </r>
  <r>
    <s v="Labor Day"/>
    <x v="11"/>
    <s v="Holiday"/>
    <s v="Holiday"/>
    <x v="5"/>
    <d v="2026-09-07T00:00:00"/>
    <d v="2026-09-07T00:00:00"/>
    <s v="N/A"/>
    <m/>
    <m/>
    <m/>
    <m/>
    <m/>
    <m/>
    <m/>
    <s v="All Hands"/>
    <m/>
    <m/>
    <n v="0"/>
    <n v="0"/>
    <n v="0"/>
    <n v="0"/>
    <n v="0"/>
    <n v="0"/>
    <n v="0"/>
    <n v="0"/>
    <n v="0"/>
    <n v="0"/>
    <n v="0"/>
    <s v="Carter, Amanda"/>
    <n v="268"/>
    <n v="0"/>
    <n v="1"/>
    <n v="1"/>
    <n v="0"/>
    <n v="0"/>
    <m/>
    <n v="4"/>
    <s v="TSD"/>
  </r>
  <r>
    <m/>
    <x v="5"/>
    <s v="A-322-2604"/>
    <s v="10ZZ"/>
    <x v="0"/>
    <d v="2026-09-08T00:00:00"/>
    <d v="2026-09-10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21"/>
    <m/>
    <m/>
    <m/>
    <m/>
    <m/>
    <m/>
    <m/>
    <m/>
    <n v="271"/>
    <n v="1"/>
    <n v="1"/>
    <n v="1"/>
    <n v="0"/>
    <n v="24"/>
    <m/>
    <n v="4"/>
    <s v="N8"/>
  </r>
  <r>
    <s v="NAS Lemoore"/>
    <x v="50"/>
    <s v="A-493-0013"/>
    <n v="3683"/>
    <x v="35"/>
    <d v="2026-09-09T00:00:00"/>
    <d v="2026-09-11T00:00:00"/>
    <s v="Unfunded"/>
    <d v="1899-12-30T08:00:00"/>
    <m/>
    <m/>
    <m/>
    <m/>
    <m/>
    <m/>
    <s v="W. Bailey"/>
    <m/>
    <m/>
    <n v="40"/>
    <n v="24"/>
    <n v="3"/>
    <n v="10"/>
    <m/>
    <m/>
    <m/>
    <m/>
    <m/>
    <m/>
    <m/>
    <m/>
    <n v="272"/>
    <n v="1"/>
    <n v="1"/>
    <n v="1"/>
    <n v="0"/>
    <n v="24"/>
    <m/>
    <n v="4"/>
    <s v="N4"/>
  </r>
  <r>
    <m/>
    <x v="48"/>
    <s v="A-493-0077"/>
    <s v="0381"/>
    <x v="68"/>
    <d v="2026-09-09T00:00:00"/>
    <d v="2026-09-11T00:00:00"/>
    <s v="Unfunded"/>
    <d v="1899-12-30T08:00:00"/>
    <m/>
    <m/>
    <m/>
    <m/>
    <m/>
    <m/>
    <s v="ENV Contractor"/>
    <m/>
    <m/>
    <n v="25"/>
    <n v="24"/>
    <n v="3"/>
    <n v="10"/>
    <m/>
    <m/>
    <m/>
    <m/>
    <m/>
    <m/>
    <m/>
    <m/>
    <n v="272"/>
    <n v="1"/>
    <n v="1"/>
    <n v="1"/>
    <n v="0"/>
    <n v="24"/>
    <m/>
    <n v="4"/>
    <s v="N4"/>
  </r>
  <r>
    <m/>
    <x v="51"/>
    <s v="A-493-0092"/>
    <n v="5891"/>
    <x v="14"/>
    <d v="2026-09-09T00:00:00"/>
    <d v="2026-09-11T00:00:00"/>
    <s v="Funded"/>
    <d v="1899-12-30T08:00:00"/>
    <m/>
    <m/>
    <m/>
    <m/>
    <m/>
    <m/>
    <s v="A. Harris"/>
    <m/>
    <s v="T. White"/>
    <n v="25"/>
    <n v="24"/>
    <n v="3"/>
    <n v="63"/>
    <m/>
    <m/>
    <m/>
    <m/>
    <m/>
    <m/>
    <m/>
    <m/>
    <n v="272"/>
    <n v="1"/>
    <n v="1"/>
    <n v="1"/>
    <n v="0"/>
    <n v="24"/>
    <m/>
    <n v="4"/>
    <s v="N3"/>
  </r>
  <r>
    <m/>
    <x v="3"/>
    <s v="A-493-0103"/>
    <s v="12JY"/>
    <x v="27"/>
    <d v="2026-09-14T00:00:00"/>
    <d v="2026-09-18T00:00:00"/>
    <s v="Funded"/>
    <d v="1899-12-30T08:00:00"/>
    <m/>
    <m/>
    <m/>
    <m/>
    <m/>
    <m/>
    <s v="SOH Contractor"/>
    <m/>
    <m/>
    <n v="25"/>
    <n v="40"/>
    <n v="5"/>
    <n v="107"/>
    <m/>
    <m/>
    <m/>
    <m/>
    <m/>
    <m/>
    <m/>
    <m/>
    <n v="279"/>
    <n v="1"/>
    <n v="1"/>
    <n v="1"/>
    <n v="0"/>
    <n v="40"/>
    <m/>
    <n v="4"/>
    <s v="N5"/>
  </r>
  <r>
    <m/>
    <x v="3"/>
    <s v="A-493-0103"/>
    <s v="12JY"/>
    <x v="3"/>
    <d v="2026-09-14T00:00:00"/>
    <d v="2026-09-18T00:00:00"/>
    <s v="Funded"/>
    <d v="1899-12-30T08:00:00"/>
    <m/>
    <m/>
    <m/>
    <m/>
    <m/>
    <m/>
    <s v="SOH Contractor"/>
    <m/>
    <m/>
    <n v="25"/>
    <n v="40"/>
    <n v="5"/>
    <n v="512"/>
    <m/>
    <m/>
    <m/>
    <m/>
    <m/>
    <m/>
    <m/>
    <m/>
    <n v="279"/>
    <n v="1"/>
    <n v="1"/>
    <n v="1"/>
    <n v="0"/>
    <n v="40"/>
    <m/>
    <n v="4"/>
    <s v="N5"/>
  </r>
  <r>
    <m/>
    <x v="0"/>
    <s v="A-493-0550"/>
    <s v="09K5"/>
    <x v="0"/>
    <d v="2026-09-14T00:00:00"/>
    <d v="2026-09-17T00:00:00"/>
    <s v="Funded"/>
    <m/>
    <d v="1899-12-30T12:00:00"/>
    <d v="1899-12-30T09:00:00"/>
    <d v="1899-12-30T19:00:00"/>
    <d v="1899-12-30T18:00:00"/>
    <d v="1899-12-30T06:00:00"/>
    <d v="1899-12-30T01:00:00"/>
    <s v="N. DeCastro"/>
    <m/>
    <m/>
    <n v="45"/>
    <n v="32"/>
    <n v="4"/>
    <n v="864"/>
    <m/>
    <m/>
    <m/>
    <m/>
    <m/>
    <m/>
    <m/>
    <m/>
    <n v="278"/>
    <n v="1"/>
    <n v="1"/>
    <n v="1"/>
    <n v="0"/>
    <n v="32"/>
    <m/>
    <n v="4"/>
    <s v="N5"/>
  </r>
  <r>
    <m/>
    <x v="43"/>
    <s v="A-4J-0022"/>
    <s v="09ER"/>
    <x v="0"/>
    <d v="2026-09-14T00:00:00"/>
    <d v="2026-09-18T00:00:00"/>
    <s v="Funded"/>
    <m/>
    <d v="1899-12-30T19:00:00"/>
    <d v="1899-12-30T16:00:00"/>
    <d v="1899-12-30T02:00:00"/>
    <d v="1899-12-30T00:00:00"/>
    <d v="1899-12-30T13:00:00"/>
    <d v="1899-12-30T08:00:00"/>
    <s v="A. Hardy"/>
    <m/>
    <m/>
    <n v="45"/>
    <n v="16"/>
    <n v="2"/>
    <n v="63"/>
    <m/>
    <m/>
    <m/>
    <m/>
    <m/>
    <m/>
    <m/>
    <m/>
    <n v="279"/>
    <n v="1"/>
    <n v="1"/>
    <n v="1"/>
    <n v="0"/>
    <n v="16"/>
    <m/>
    <n v="4"/>
    <s v="N4"/>
  </r>
  <r>
    <m/>
    <x v="55"/>
    <s v="A-493-0021"/>
    <s v="18BN"/>
    <x v="4"/>
    <d v="2026-09-14T00:00:00"/>
    <d v="2026-09-18T00:00:00"/>
    <s v="Funded"/>
    <d v="1899-12-30T08:00:00"/>
    <m/>
    <m/>
    <m/>
    <m/>
    <m/>
    <m/>
    <s v="SOH Contractor"/>
    <m/>
    <m/>
    <n v="35"/>
    <n v="30"/>
    <n v="5"/>
    <n v="33"/>
    <m/>
    <m/>
    <m/>
    <m/>
    <m/>
    <m/>
    <m/>
    <m/>
    <n v="279"/>
    <n v="1"/>
    <n v="1"/>
    <n v="1"/>
    <n v="0"/>
    <n v="30"/>
    <m/>
    <n v="4"/>
    <s v="N5"/>
  </r>
  <r>
    <m/>
    <x v="15"/>
    <s v="A-493-0012"/>
    <n v="3682"/>
    <x v="34"/>
    <d v="2026-09-14T00:00:00"/>
    <d v="2026-09-18T00:00:00"/>
    <s v="Unfunded"/>
    <d v="1899-12-30T08:00:00"/>
    <m/>
    <m/>
    <m/>
    <m/>
    <m/>
    <m/>
    <s v="R. Hartel"/>
    <m/>
    <m/>
    <n v="40"/>
    <n v="40"/>
    <n v="5"/>
    <n v="30"/>
    <m/>
    <m/>
    <m/>
    <m/>
    <m/>
    <m/>
    <m/>
    <m/>
    <n v="279"/>
    <n v="1"/>
    <n v="1"/>
    <n v="1"/>
    <n v="0"/>
    <n v="40"/>
    <m/>
    <n v="4"/>
    <s v="N4"/>
  </r>
  <r>
    <s v="MCAS Iwakuni (USMC FUNDED)"/>
    <x v="15"/>
    <s v="A-493-0012"/>
    <n v="3682"/>
    <x v="71"/>
    <d v="2026-09-14T00:00:00"/>
    <d v="2026-09-18T00:00:00"/>
    <s v="Unfunded"/>
    <d v="1899-12-30T08:00:00"/>
    <m/>
    <m/>
    <m/>
    <m/>
    <m/>
    <m/>
    <s v="G. Jester"/>
    <m/>
    <m/>
    <n v="40"/>
    <n v="40"/>
    <n v="5"/>
    <n v="45"/>
    <m/>
    <m/>
    <m/>
    <m/>
    <m/>
    <m/>
    <m/>
    <m/>
    <n v="279"/>
    <n v="1"/>
    <n v="1"/>
    <n v="1"/>
    <n v="0"/>
    <n v="40"/>
    <m/>
    <n v="4"/>
    <s v="N4"/>
  </r>
  <r>
    <m/>
    <x v="4"/>
    <s v="A-493-0061"/>
    <s v="288E"/>
    <x v="0"/>
    <d v="2026-09-14T00:00:00"/>
    <d v="2026-09-17T00:00:00"/>
    <s v="Funded"/>
    <m/>
    <d v="1899-12-30T08:00:00"/>
    <d v="1899-12-30T05:00:00"/>
    <d v="1899-12-30T15:00:00"/>
    <d v="1899-12-30T13:00:00"/>
    <d v="1899-12-30T02:00:00"/>
    <d v="1899-12-30T21:00:00"/>
    <s v="S. Griffin"/>
    <m/>
    <m/>
    <n v="45"/>
    <n v="30"/>
    <n v="4"/>
    <n v="366"/>
    <m/>
    <m/>
    <m/>
    <m/>
    <m/>
    <m/>
    <m/>
    <m/>
    <n v="278"/>
    <n v="1"/>
    <n v="1"/>
    <n v="1"/>
    <n v="0"/>
    <n v="30"/>
    <m/>
    <n v="4"/>
    <s v="N5"/>
  </r>
  <r>
    <m/>
    <x v="48"/>
    <s v="A-493-0077"/>
    <s v="0381"/>
    <x v="10"/>
    <d v="2026-09-14T00:00:00"/>
    <d v="2026-09-16T00:00:00"/>
    <s v="Unfunded"/>
    <d v="1899-12-30T08:00:00"/>
    <m/>
    <m/>
    <m/>
    <m/>
    <m/>
    <m/>
    <s v="ENV Contractor"/>
    <m/>
    <m/>
    <n v="25"/>
    <n v="24"/>
    <n v="3"/>
    <n v="11"/>
    <m/>
    <m/>
    <m/>
    <m/>
    <m/>
    <m/>
    <m/>
    <m/>
    <n v="277"/>
    <n v="1"/>
    <n v="1"/>
    <n v="1"/>
    <n v="0"/>
    <n v="24"/>
    <m/>
    <n v="4"/>
    <s v="N4"/>
  </r>
  <r>
    <s v="Do not spread quotas. CCA approval required"/>
    <x v="54"/>
    <s v="A-493-0078"/>
    <s v="32FJ"/>
    <x v="14"/>
    <d v="2026-09-14T00:00:00"/>
    <d v="2026-09-18T00:00:00"/>
    <s v="Funded"/>
    <d v="1899-12-30T08:00:00"/>
    <m/>
    <m/>
    <m/>
    <m/>
    <m/>
    <m/>
    <s v="T. White"/>
    <m/>
    <m/>
    <n v="30"/>
    <n v="32"/>
    <n v="4"/>
    <n v="0"/>
    <m/>
    <m/>
    <m/>
    <m/>
    <m/>
    <m/>
    <m/>
    <m/>
    <n v="279"/>
    <n v="1"/>
    <n v="1"/>
    <n v="1"/>
    <n v="0"/>
    <n v="32"/>
    <m/>
    <n v="4"/>
    <s v="N5"/>
  </r>
  <r>
    <m/>
    <x v="38"/>
    <s v="A-570-0100"/>
    <s v="18B7"/>
    <x v="0"/>
    <d v="2026-09-14T00:00:00"/>
    <d v="2026-09-15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m/>
    <m/>
    <m/>
    <m/>
    <m/>
    <m/>
    <m/>
    <m/>
    <n v="276"/>
    <n v="1"/>
    <n v="1"/>
    <n v="1"/>
    <n v="0"/>
    <n v="16"/>
    <m/>
    <n v="4"/>
    <s v="N8"/>
  </r>
  <r>
    <m/>
    <x v="7"/>
    <s v="A-493-0072"/>
    <s v="713U"/>
    <x v="54"/>
    <d v="2026-09-14T00:00:00"/>
    <d v="2026-09-18T00:00:00"/>
    <s v="Funded"/>
    <d v="1899-12-30T08:00:00"/>
    <m/>
    <m/>
    <m/>
    <m/>
    <m/>
    <m/>
    <s v="W. Mitchell"/>
    <m/>
    <s v="LSC Kitivi"/>
    <n v="30"/>
    <n v="40"/>
    <n v="5"/>
    <n v="69"/>
    <m/>
    <m/>
    <m/>
    <m/>
    <m/>
    <m/>
    <m/>
    <m/>
    <n v="279"/>
    <n v="1"/>
    <n v="1"/>
    <n v="1"/>
    <n v="0"/>
    <n v="40"/>
    <m/>
    <n v="4"/>
    <s v="N3"/>
  </r>
  <r>
    <m/>
    <x v="7"/>
    <s v="A-493-0072"/>
    <s v="713U"/>
    <x v="14"/>
    <d v="2026-09-14T00:00:00"/>
    <d v="2026-09-18T00:00:00"/>
    <s v="Funded"/>
    <d v="1899-12-30T08:00:00"/>
    <m/>
    <m/>
    <m/>
    <m/>
    <m/>
    <m/>
    <s v="A. Harris"/>
    <m/>
    <s v="T. White"/>
    <n v="30"/>
    <n v="40"/>
    <n v="5"/>
    <n v="99"/>
    <m/>
    <m/>
    <m/>
    <m/>
    <m/>
    <m/>
    <m/>
    <m/>
    <n v="279"/>
    <n v="1"/>
    <n v="1"/>
    <n v="1"/>
    <n v="0"/>
    <n v="40"/>
    <m/>
    <n v="4"/>
    <s v="N3"/>
  </r>
  <r>
    <m/>
    <x v="8"/>
    <s v="A-493-2098"/>
    <s v="09WW"/>
    <x v="0"/>
    <d v="2026-09-14T00:00:00"/>
    <d v="2026-09-16T00:00:00"/>
    <s v="Funded"/>
    <m/>
    <d v="1899-12-30T19:00:00"/>
    <d v="1899-12-30T16:00:00"/>
    <d v="1899-12-30T02:00:00"/>
    <d v="1899-12-30T00:00:00"/>
    <d v="1899-12-30T13:00:00"/>
    <d v="1899-12-30T08:00:00"/>
    <s v="EMC Stroughn"/>
    <m/>
    <m/>
    <n v="100"/>
    <n v="16"/>
    <n v="3"/>
    <n v="356"/>
    <m/>
    <m/>
    <m/>
    <m/>
    <m/>
    <m/>
    <m/>
    <m/>
    <n v="277"/>
    <n v="1"/>
    <n v="1"/>
    <n v="1"/>
    <n v="0"/>
    <n v="16"/>
    <m/>
    <n v="4"/>
    <s v="N8"/>
  </r>
  <r>
    <m/>
    <x v="41"/>
    <s v="F-4J-0023"/>
    <s v="11A2"/>
    <x v="0"/>
    <d v="2026-09-14T00:00:00"/>
    <d v="2026-09-15T00:00:00"/>
    <s v="Funded"/>
    <m/>
    <d v="1899-12-30T08:00:00"/>
    <d v="1899-12-30T05:00:00"/>
    <d v="1899-12-30T15:00:00"/>
    <d v="1899-12-30T13:00:00"/>
    <d v="1899-12-30T02:00:00"/>
    <d v="1899-12-30T21:00:00"/>
    <s v="TBD"/>
    <m/>
    <m/>
    <n v="45"/>
    <n v="16"/>
    <n v="2"/>
    <n v="28"/>
    <m/>
    <m/>
    <m/>
    <m/>
    <m/>
    <m/>
    <m/>
    <m/>
    <n v="276"/>
    <n v="1"/>
    <n v="1"/>
    <n v="1"/>
    <n v="0"/>
    <n v="16"/>
    <m/>
    <n v="4"/>
    <s v="N8"/>
  </r>
  <r>
    <m/>
    <x v="12"/>
    <s v="A-493-0331"/>
    <s v="10UG"/>
    <x v="0"/>
    <d v="2026-09-15T00:00:00"/>
    <d v="2026-09-17T00:00:00"/>
    <s v="Funded"/>
    <m/>
    <d v="1899-12-30T12:00:00"/>
    <d v="1899-12-30T09:00:00"/>
    <d v="1899-12-30T19:00:00"/>
    <d v="1899-12-30T18:00:00"/>
    <d v="1899-12-30T06:00:00"/>
    <d v="1899-12-30T01:00:00"/>
    <s v="B. Jung"/>
    <m/>
    <m/>
    <n v="45"/>
    <n v="24"/>
    <n v="3"/>
    <n v="844"/>
    <m/>
    <m/>
    <m/>
    <m/>
    <m/>
    <m/>
    <m/>
    <m/>
    <n v="278"/>
    <n v="1"/>
    <n v="1"/>
    <n v="1"/>
    <n v="0"/>
    <n v="24"/>
    <m/>
    <n v="4"/>
    <s v="N3"/>
  </r>
  <r>
    <m/>
    <x v="1"/>
    <s v="A-493-0099"/>
    <s v="12JW"/>
    <x v="0"/>
    <d v="2026-09-16T00:00:00"/>
    <d v="2026-09-18T00:00:00"/>
    <s v="Funded"/>
    <m/>
    <d v="1899-12-30T08:00:00"/>
    <d v="1899-12-30T05:00:00"/>
    <d v="1899-12-30T15:00:00"/>
    <d v="1899-12-30T13:00:00"/>
    <d v="1899-12-30T02:00:00"/>
    <d v="1899-12-30T21:00:00"/>
    <s v="V. Kentish"/>
    <m/>
    <m/>
    <n v="45"/>
    <n v="24"/>
    <n v="3"/>
    <n v="334"/>
    <m/>
    <m/>
    <m/>
    <m/>
    <m/>
    <m/>
    <m/>
    <m/>
    <n v="279"/>
    <n v="1"/>
    <n v="1"/>
    <n v="1"/>
    <n v="0"/>
    <n v="24"/>
    <m/>
    <n v="4"/>
    <s v="N5"/>
  </r>
  <r>
    <m/>
    <x v="51"/>
    <s v="A-493-0092"/>
    <n v="5891"/>
    <x v="8"/>
    <d v="2026-09-16T00:00:00"/>
    <d v="2026-09-18T00:00:00"/>
    <s v="Funded"/>
    <d v="1899-12-30T08:00:00"/>
    <m/>
    <m/>
    <m/>
    <m/>
    <m/>
    <m/>
    <s v="W. Mitchell"/>
    <m/>
    <s v="Marie"/>
    <n v="25"/>
    <n v="24"/>
    <n v="3"/>
    <n v="114"/>
    <m/>
    <m/>
    <m/>
    <m/>
    <m/>
    <m/>
    <m/>
    <m/>
    <n v="279"/>
    <n v="1"/>
    <n v="1"/>
    <n v="1"/>
    <n v="0"/>
    <n v="24"/>
    <m/>
    <n v="4"/>
    <s v="N3"/>
  </r>
  <r>
    <m/>
    <x v="3"/>
    <s v="A-493-0103"/>
    <s v="12JY"/>
    <x v="27"/>
    <d v="2026-09-21T00:00:00"/>
    <d v="2026-09-25T00:00:00"/>
    <s v="Funded"/>
    <d v="1899-12-30T08:00:00"/>
    <m/>
    <m/>
    <m/>
    <m/>
    <m/>
    <m/>
    <s v="SOH Contractor"/>
    <m/>
    <m/>
    <n v="25"/>
    <n v="40"/>
    <n v="5"/>
    <n v="107"/>
    <m/>
    <m/>
    <m/>
    <m/>
    <m/>
    <m/>
    <m/>
    <m/>
    <n v="286"/>
    <n v="1"/>
    <n v="1"/>
    <n v="1"/>
    <n v="0"/>
    <n v="40"/>
    <m/>
    <n v="4"/>
    <s v="N5"/>
  </r>
  <r>
    <m/>
    <x v="5"/>
    <s v="A-322-2604"/>
    <s v="10ZZ"/>
    <x v="0"/>
    <d v="2026-09-21T00:00:00"/>
    <d v="2026-09-23T00:00:00"/>
    <s v="Funded"/>
    <m/>
    <d v="1899-12-30T12:00:00"/>
    <d v="1899-12-30T09:00:00"/>
    <d v="1899-12-30T19:00:00"/>
    <d v="1899-12-30T18:00:00"/>
    <d v="1899-12-30T06:00:00"/>
    <d v="1899-12-30T01:00:00"/>
    <s v="LSC Kitivi"/>
    <m/>
    <m/>
    <n v="45"/>
    <n v="24"/>
    <n v="3"/>
    <n v="621"/>
    <m/>
    <m/>
    <m/>
    <m/>
    <m/>
    <m/>
    <m/>
    <m/>
    <n v="284"/>
    <n v="1"/>
    <n v="1"/>
    <n v="1"/>
    <n v="0"/>
    <n v="24"/>
    <m/>
    <n v="4"/>
    <s v="N8"/>
  </r>
  <r>
    <m/>
    <x v="6"/>
    <s v="A-493-0078"/>
    <n v="1228"/>
    <x v="0"/>
    <d v="2026-09-21T00:00:00"/>
    <d v="2026-09-24T00:00:00"/>
    <s v="Funded"/>
    <m/>
    <d v="1899-12-30T08:00:00"/>
    <d v="1899-12-30T05:00:00"/>
    <d v="1899-12-30T15:00:00"/>
    <d v="1899-12-30T13:00:00"/>
    <d v="1899-12-30T02:00:00"/>
    <d v="1899-12-30T21:00:00"/>
    <s v="T. White"/>
    <m/>
    <m/>
    <n v="45"/>
    <n v="32"/>
    <n v="4"/>
    <n v="454"/>
    <m/>
    <m/>
    <m/>
    <m/>
    <m/>
    <m/>
    <m/>
    <m/>
    <n v="285"/>
    <n v="1"/>
    <n v="1"/>
    <n v="1"/>
    <n v="0"/>
    <n v="32"/>
    <m/>
    <n v="4"/>
    <s v="N5"/>
  </r>
  <r>
    <s v="MCB Hawaii (USMC FUNDED)"/>
    <x v="15"/>
    <s v="A-493-0012"/>
    <n v="3682"/>
    <x v="72"/>
    <d v="2026-09-21T00:00:00"/>
    <d v="2026-09-25T00:00:00"/>
    <s v="Unfunded"/>
    <d v="1899-12-30T08:00:00"/>
    <m/>
    <m/>
    <m/>
    <m/>
    <m/>
    <m/>
    <s v="W. Bailey"/>
    <m/>
    <m/>
    <n v="40"/>
    <n v="40"/>
    <n v="5"/>
    <n v="42"/>
    <m/>
    <m/>
    <m/>
    <m/>
    <m/>
    <m/>
    <m/>
    <m/>
    <n v="286"/>
    <n v="1"/>
    <n v="1"/>
    <n v="1"/>
    <n v="0"/>
    <n v="40"/>
    <m/>
    <n v="4"/>
    <s v="N4"/>
  </r>
  <r>
    <s v="CFA Okinawa"/>
    <x v="15"/>
    <s v="A-493-0012"/>
    <n v="3682"/>
    <x v="26"/>
    <d v="2026-09-21T00:00:00"/>
    <d v="2026-09-25T00:00:00"/>
    <s v="Unfunded"/>
    <d v="1899-12-30T08:00:00"/>
    <m/>
    <m/>
    <m/>
    <m/>
    <m/>
    <m/>
    <s v="G. Jester"/>
    <m/>
    <m/>
    <n v="40"/>
    <n v="40"/>
    <n v="5"/>
    <n v="32"/>
    <m/>
    <m/>
    <m/>
    <m/>
    <m/>
    <m/>
    <m/>
    <m/>
    <n v="286"/>
    <n v="1"/>
    <n v="1"/>
    <n v="1"/>
    <n v="0"/>
    <n v="40"/>
    <m/>
    <n v="4"/>
    <s v="N4"/>
  </r>
  <r>
    <m/>
    <x v="48"/>
    <s v="A-493-0077"/>
    <s v="0381"/>
    <x v="25"/>
    <d v="2026-09-21T00:00:00"/>
    <d v="2026-09-23T00:00:00"/>
    <s v="Unfunded"/>
    <d v="1899-12-30T08:00:00"/>
    <m/>
    <m/>
    <m/>
    <m/>
    <m/>
    <m/>
    <s v="ENV Contractor"/>
    <m/>
    <m/>
    <n v="25"/>
    <n v="24"/>
    <n v="3"/>
    <n v="31"/>
    <m/>
    <m/>
    <m/>
    <m/>
    <m/>
    <m/>
    <m/>
    <m/>
    <n v="284"/>
    <n v="1"/>
    <n v="1"/>
    <n v="1"/>
    <n v="0"/>
    <n v="24"/>
    <m/>
    <n v="4"/>
    <s v="N4"/>
  </r>
  <r>
    <m/>
    <x v="42"/>
    <s v="A-493-0085"/>
    <n v="3555"/>
    <x v="0"/>
    <d v="2026-09-21T00:00:00"/>
    <d v="2026-09-24T00:00:00"/>
    <s v="Funded"/>
    <m/>
    <d v="1899-12-30T19:00:00"/>
    <d v="1899-12-30T16:00:00"/>
    <d v="1899-12-30T02:00:00"/>
    <d v="1899-12-30T00:00:00"/>
    <d v="1899-12-30T13:00:00"/>
    <d v="1899-12-30T08:00:00"/>
    <s v="W. Mitchell"/>
    <m/>
    <m/>
    <n v="45"/>
    <n v="32"/>
    <n v="4"/>
    <n v="166"/>
    <m/>
    <m/>
    <m/>
    <m/>
    <m/>
    <m/>
    <m/>
    <m/>
    <n v="285"/>
    <n v="1"/>
    <n v="1"/>
    <n v="1"/>
    <n v="0"/>
    <n v="32"/>
    <m/>
    <n v="4"/>
    <s v="N3"/>
  </r>
  <r>
    <m/>
    <x v="7"/>
    <s v="A-493-0072"/>
    <s v="713U"/>
    <x v="3"/>
    <d v="2026-09-21T00:00:00"/>
    <d v="2026-09-25T00:00:00"/>
    <s v="Funded"/>
    <d v="1899-12-30T08:00:00"/>
    <m/>
    <m/>
    <m/>
    <m/>
    <m/>
    <m/>
    <s v="K. Seo"/>
    <m/>
    <m/>
    <n v="30"/>
    <n v="40"/>
    <n v="5"/>
    <n v="178"/>
    <m/>
    <m/>
    <m/>
    <m/>
    <m/>
    <m/>
    <m/>
    <m/>
    <n v="286"/>
    <n v="1"/>
    <n v="1"/>
    <n v="1"/>
    <n v="0"/>
    <n v="40"/>
    <m/>
    <n v="4"/>
    <s v="N3"/>
  </r>
  <r>
    <m/>
    <x v="40"/>
    <s v="A-493-0335"/>
    <s v="09ND"/>
    <x v="0"/>
    <d v="2026-09-22T00:00:00"/>
    <d v="2026-09-25T00:00:00"/>
    <s v="Funded"/>
    <m/>
    <d v="1899-12-30T08:00:00"/>
    <d v="1899-12-30T05:00:00"/>
    <d v="1899-12-30T15:00:00"/>
    <d v="1899-12-30T13:00:00"/>
    <d v="1899-12-30T02:00:00"/>
    <d v="1899-12-30T21:00:00"/>
    <s v="A. Harris"/>
    <m/>
    <m/>
    <n v="45"/>
    <n v="32"/>
    <n v="4"/>
    <n v="301"/>
    <m/>
    <m/>
    <m/>
    <m/>
    <m/>
    <m/>
    <m/>
    <m/>
    <n v="286"/>
    <n v="1"/>
    <n v="1"/>
    <n v="1"/>
    <n v="0"/>
    <n v="32"/>
    <m/>
    <n v="4"/>
    <s v="N3"/>
  </r>
  <r>
    <m/>
    <x v="3"/>
    <s v="A-493-0103"/>
    <s v="12JY"/>
    <x v="10"/>
    <d v="2026-09-28T00:00:00"/>
    <d v="2026-10-02T00:00:00"/>
    <s v="Funded"/>
    <d v="1899-12-30T08:00:00"/>
    <m/>
    <m/>
    <m/>
    <m/>
    <m/>
    <m/>
    <s v="SOH Contractor"/>
    <m/>
    <m/>
    <n v="25"/>
    <n v="40"/>
    <n v="5"/>
    <n v="225"/>
    <m/>
    <m/>
    <m/>
    <m/>
    <m/>
    <m/>
    <m/>
    <m/>
    <n v="293"/>
    <n v="1"/>
    <n v="1"/>
    <n v="1"/>
    <n v="0"/>
    <n v="40"/>
    <m/>
    <n v="4"/>
    <s v="N5"/>
  </r>
  <r>
    <s v="PMRF Barking Sands"/>
    <x v="50"/>
    <s v="A-493-0013"/>
    <n v="3683"/>
    <x v="20"/>
    <d v="2026-09-28T00:00:00"/>
    <d v="2026-09-30T00:00:00"/>
    <s v="Unfunded"/>
    <d v="1899-12-30T08:00:00"/>
    <m/>
    <m/>
    <m/>
    <m/>
    <m/>
    <m/>
    <s v="R. Hartel"/>
    <m/>
    <m/>
    <n v="40"/>
    <n v="24"/>
    <n v="3"/>
    <n v="30"/>
    <m/>
    <m/>
    <m/>
    <m/>
    <m/>
    <m/>
    <m/>
    <m/>
    <n v="291"/>
    <n v="1"/>
    <n v="1"/>
    <n v="1"/>
    <n v="0"/>
    <n v="24"/>
    <m/>
    <n v="4"/>
    <s v="N4"/>
  </r>
  <r>
    <m/>
    <x v="12"/>
    <s v="A-493-0331"/>
    <s v="10UG"/>
    <x v="0"/>
    <d v="2026-09-28T00:00:00"/>
    <d v="2026-09-30T00:00:00"/>
    <s v="Funded"/>
    <m/>
    <d v="1899-12-30T12:00:00"/>
    <d v="1899-12-30T09:00:00"/>
    <d v="1899-12-30T19:00:00"/>
    <d v="1899-12-30T18:00:00"/>
    <d v="1899-12-30T06:00:00"/>
    <d v="1899-12-30T01:00:00"/>
    <s v="A. Hardy"/>
    <m/>
    <m/>
    <n v="45"/>
    <n v="24"/>
    <n v="3"/>
    <n v="844"/>
    <m/>
    <m/>
    <m/>
    <m/>
    <m/>
    <m/>
    <m/>
    <m/>
    <n v="291"/>
    <n v="1"/>
    <n v="1"/>
    <n v="1"/>
    <n v="0"/>
    <n v="24"/>
    <m/>
    <n v="4"/>
    <s v="N3"/>
  </r>
  <r>
    <m/>
    <x v="38"/>
    <s v="A-570-0100"/>
    <s v="18B7"/>
    <x v="0"/>
    <d v="2026-09-28T00:00:00"/>
    <d v="2026-09-29T00:00:00"/>
    <s v="Funded"/>
    <m/>
    <d v="1899-12-30T12:00:00"/>
    <d v="1899-12-30T09:00:00"/>
    <d v="1899-12-30T19:00:00"/>
    <d v="1899-12-30T18:00:00"/>
    <d v="1899-12-30T06:00:00"/>
    <d v="1899-12-30T01:00:00"/>
    <s v="LS1 Scoggins"/>
    <m/>
    <m/>
    <n v="45"/>
    <n v="16"/>
    <n v="2"/>
    <n v="663"/>
    <m/>
    <m/>
    <m/>
    <m/>
    <m/>
    <m/>
    <m/>
    <m/>
    <n v="290"/>
    <n v="1"/>
    <n v="1"/>
    <n v="1"/>
    <n v="0"/>
    <n v="16"/>
    <m/>
    <n v="4"/>
    <s v="N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PivotTable1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D4" firstHeaderRow="0" firstDataRow="1" firstDataCol="0"/>
  <pivotFields count="39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"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Items count="1">
    <i/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Quotas" fld="18" baseField="0" baseItem="0"/>
    <dataField name="Sum of Graduates" fld="24" baseField="0" baseItem="0"/>
    <dataField name="Sum of Fail" fld="25" baseField="0" baseItem="0"/>
    <dataField name="Sum of No Shows" fld="26" baseField="0" baseItem="0"/>
  </dataFields>
  <formats count="1">
    <format dxfId="2254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7837C9-BFA1-4987-A836-1A6C413DB730}" name="PivotTable1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C25" firstHeaderRow="0" firstDataRow="1" firstDataCol="1" rowPageCount="1" colPageCount="1"/>
  <pivotFields count="39">
    <pivotField showAll="0"/>
    <pivotField axis="axisPage" showAll="0">
      <items count="59">
        <item x="43"/>
        <item x="36"/>
        <item x="46"/>
        <item x="39"/>
        <item x="47"/>
        <item x="13"/>
        <item x="45"/>
        <item x="37"/>
        <item x="44"/>
        <item x="3"/>
        <item x="14"/>
        <item x="55"/>
        <item x="52"/>
        <item x="1"/>
        <item x="4"/>
        <item x="5"/>
        <item x="48"/>
        <item x="10"/>
        <item x="11"/>
        <item x="51"/>
        <item x="12"/>
        <item x="40"/>
        <item x="0"/>
        <item x="6"/>
        <item x="54"/>
        <item x="42"/>
        <item x="38"/>
        <item x="56"/>
        <item x="7"/>
        <item x="21"/>
        <item x="8"/>
        <item x="9"/>
        <item x="41"/>
        <item x="2"/>
        <item x="16"/>
        <item x="17"/>
        <item x="18"/>
        <item x="19"/>
        <item x="20"/>
        <item x="15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50"/>
        <item x="53"/>
        <item x="57"/>
        <item x="49"/>
        <item t="default"/>
      </items>
    </pivotField>
    <pivotField showAll="0"/>
    <pivotField showAll="0"/>
    <pivotField axis="axisRow" showAll="0">
      <items count="85">
        <item m="1" x="80"/>
        <item x="21"/>
        <item x="58"/>
        <item x="36"/>
        <item x="18"/>
        <item x="69"/>
        <item x="25"/>
        <item x="1"/>
        <item x="13"/>
        <item x="67"/>
        <item x="39"/>
        <item x="63"/>
        <item x="41"/>
        <item x="24"/>
        <item x="33"/>
        <item m="1" x="74"/>
        <item x="29"/>
        <item x="23"/>
        <item x="30"/>
        <item x="0"/>
        <item x="51"/>
        <item m="1" x="77"/>
        <item x="17"/>
        <item x="34"/>
        <item x="12"/>
        <item x="53"/>
        <item x="47"/>
        <item x="5"/>
        <item x="64"/>
        <item x="70"/>
        <item x="71"/>
        <item x="16"/>
        <item x="46"/>
        <item x="11"/>
        <item x="35"/>
        <item x="57"/>
        <item x="28"/>
        <item x="72"/>
        <item x="6"/>
        <item x="48"/>
        <item x="52"/>
        <item x="42"/>
        <item m="1" x="83"/>
        <item x="50"/>
        <item m="1" x="79"/>
        <item x="38"/>
        <item x="3"/>
        <item x="4"/>
        <item x="7"/>
        <item x="9"/>
        <item m="1" x="82"/>
        <item x="26"/>
        <item m="1" x="78"/>
        <item x="37"/>
        <item x="19"/>
        <item x="14"/>
        <item x="15"/>
        <item x="20"/>
        <item x="10"/>
        <item x="32"/>
        <item m="1" x="75"/>
        <item x="2"/>
        <item x="8"/>
        <item x="22"/>
        <item m="1" x="81"/>
        <item x="40"/>
        <item x="66"/>
        <item x="61"/>
        <item x="49"/>
        <item m="1" x="76"/>
        <item x="54"/>
        <item x="65"/>
        <item x="27"/>
        <item x="56"/>
        <item x="43"/>
        <item m="1" x="73"/>
        <item x="31"/>
        <item x="55"/>
        <item x="44"/>
        <item x="59"/>
        <item x="60"/>
        <item x="62"/>
        <item x="68"/>
        <item x="45"/>
        <item t="default"/>
      </items>
    </pivotField>
    <pivotField numFmtId="14"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numFmtI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4"/>
  </rowFields>
  <rowItems count="22">
    <i>
      <x v="6"/>
    </i>
    <i>
      <x v="8"/>
    </i>
    <i>
      <x v="18"/>
    </i>
    <i>
      <x v="22"/>
    </i>
    <i>
      <x v="24"/>
    </i>
    <i>
      <x v="31"/>
    </i>
    <i>
      <x v="34"/>
    </i>
    <i>
      <x v="46"/>
    </i>
    <i>
      <x v="47"/>
    </i>
    <i>
      <x v="48"/>
    </i>
    <i>
      <x v="54"/>
    </i>
    <i>
      <x v="55"/>
    </i>
    <i>
      <x v="56"/>
    </i>
    <i>
      <x v="58"/>
    </i>
    <i>
      <x v="59"/>
    </i>
    <i>
      <x v="61"/>
    </i>
    <i>
      <x v="62"/>
    </i>
    <i>
      <x v="63"/>
    </i>
    <i>
      <x v="71"/>
    </i>
    <i>
      <x v="72"/>
    </i>
    <i>
      <x v="80"/>
    </i>
    <i t="grand">
      <x/>
    </i>
  </rowItems>
  <colFields count="1">
    <field x="-2"/>
  </colFields>
  <colItems count="2">
    <i>
      <x/>
    </i>
    <i i="1">
      <x v="1"/>
    </i>
  </colItems>
  <pageFields count="1">
    <pageField fld="1" item="9" hier="-1"/>
  </pageFields>
  <dataFields count="2">
    <dataField name="Total Planned Quotas in location" fld="18" baseField="0" baseItem="0"/>
    <dataField name="FY26 Quota Need" fld="21" subtotal="min" baseField="4" baseItem="4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79D96D-9457-4706-971C-1E87D7923AA3}" name="PivotTable2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G17" firstHeaderRow="0" firstDataRow="1" firstDataCol="1" rowPageCount="1" colPageCount="1"/>
  <pivotFields count="9">
    <pivotField axis="axisPage" showAll="0">
      <items count="57">
        <item x="0"/>
        <item x="2"/>
        <item x="18"/>
        <item x="19"/>
        <item x="8"/>
        <item x="11"/>
        <item x="21"/>
        <item x="23"/>
        <item x="6"/>
        <item x="20"/>
        <item x="22"/>
        <item x="7"/>
        <item x="15"/>
        <item x="17"/>
        <item x="9"/>
        <item x="10"/>
        <item x="4"/>
        <item x="12"/>
        <item x="13"/>
        <item x="14"/>
        <item x="16"/>
        <item x="5"/>
        <item x="1"/>
        <item x="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m="1" x="55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t="default"/>
      </items>
    </pivotField>
    <pivotField axis="axisRow" showAll="0">
      <items count="25">
        <item m="1" x="14"/>
        <item x="0"/>
        <item x="1"/>
        <item x="2"/>
        <item x="3"/>
        <item x="4"/>
        <item x="5"/>
        <item x="6"/>
        <item x="7"/>
        <item x="8"/>
        <item x="9"/>
        <item m="1" x="15"/>
        <item x="10"/>
        <item m="1" x="17"/>
        <item x="11"/>
        <item x="12"/>
        <item m="1" x="18"/>
        <item m="1" x="19"/>
        <item m="1" x="20"/>
        <item m="1" x="21"/>
        <item m="1" x="22"/>
        <item m="1" x="23"/>
        <item m="1" x="16"/>
        <item m="1" x="13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1"/>
  </rowFields>
  <rowItems count="14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>
      <x v="15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0" hier="-1"/>
  </pageFields>
  <dataFields count="6">
    <dataField name="Sum of AST" fld="2" baseField="0" baseItem="0"/>
    <dataField name="Sum of CET/CEST" fld="3" baseField="0" baseItem="0"/>
    <dataField name="Sum of EST/EDT" fld="4" baseField="0" baseItem="0"/>
    <dataField name="Sum of HST" fld="5" baseField="0" baseItem="0"/>
    <dataField name="Sum of JST" fld="6" baseField="0" baseItem="0"/>
    <dataField name="Sum of PST/PDT " fld="7" baseField="0" baseItem="0"/>
  </dataFields>
  <formats count="8">
    <format dxfId="1860">
      <pivotArea collapsedLevelsAreSubtotals="1" fieldPosition="0">
        <references count="1">
          <reference field="1" count="0"/>
        </references>
      </pivotArea>
    </format>
    <format dxfId="1859">
      <pivotArea dataOnly="0" labelOnly="1" fieldPosition="0">
        <references count="1">
          <reference field="1" count="0"/>
        </references>
      </pivotArea>
    </format>
    <format dxfId="1858">
      <pivotArea collapsedLevelsAreSubtotals="1" fieldPosition="0">
        <references count="1">
          <reference field="1" count="16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</reference>
        </references>
      </pivotArea>
    </format>
    <format dxfId="1857">
      <pivotArea dataOnly="0" labelOnly="1" fieldPosition="0">
        <references count="1">
          <reference field="1" count="16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</reference>
        </references>
      </pivotArea>
    </format>
    <format dxfId="1856">
      <pivotArea grandRow="1" outline="0" collapsedLevelsAreSubtotals="1" fieldPosition="0"/>
    </format>
    <format dxfId="1855">
      <pivotArea dataOnly="0" labelOnly="1" grandRow="1" outline="0" fieldPosition="0"/>
    </format>
    <format dxfId="1854">
      <pivotArea grandRow="1" outline="0" collapsedLevelsAreSubtotals="1" fieldPosition="0"/>
    </format>
    <format dxfId="1853">
      <pivotArea dataOnly="0" labelOnly="1" grandRow="1" outline="0" fieldPosition="0"/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DC9CC7-1F7D-4FE3-9828-4B7E37668A90}" name="PivotTable1" cacheId="0" dataOnRows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J20" firstHeaderRow="1" firstDataRow="2" firstDataCol="1" rowPageCount="1" colPageCount="1"/>
  <pivotFields count="19">
    <pivotField axis="axisPage" showAll="0">
      <items count="57">
        <item x="0"/>
        <item x="2"/>
        <item x="18"/>
        <item x="19"/>
        <item x="8"/>
        <item x="11"/>
        <item x="21"/>
        <item x="23"/>
        <item x="6"/>
        <item x="20"/>
        <item x="22"/>
        <item x="7"/>
        <item x="15"/>
        <item x="17"/>
        <item x="9"/>
        <item x="10"/>
        <item x="4"/>
        <item x="12"/>
        <item x="13"/>
        <item x="14"/>
        <item x="16"/>
        <item x="5"/>
        <item x="1"/>
        <item x="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t="default"/>
      </items>
    </pivotField>
    <pivotField axis="axisCol" showAll="0" sortType="ascending">
      <items count="87">
        <item x="62"/>
        <item x="0"/>
        <item x="1"/>
        <item x="2"/>
        <item x="3"/>
        <item x="4"/>
        <item x="5"/>
        <item x="73"/>
        <item x="72"/>
        <item x="63"/>
        <item x="55"/>
        <item x="83"/>
        <item x="6"/>
        <item x="7"/>
        <item x="8"/>
        <item x="9"/>
        <item x="10"/>
        <item x="82"/>
        <item x="11"/>
        <item x="85"/>
        <item x="12"/>
        <item x="13"/>
        <item x="56"/>
        <item x="14"/>
        <item x="76"/>
        <item x="15"/>
        <item x="16"/>
        <item x="17"/>
        <item x="18"/>
        <item x="19"/>
        <item x="20"/>
        <item x="21"/>
        <item x="57"/>
        <item x="22"/>
        <item x="23"/>
        <item x="77"/>
        <item x="24"/>
        <item x="25"/>
        <item x="26"/>
        <item x="69"/>
        <item x="67"/>
        <item x="65"/>
        <item x="70"/>
        <item x="68"/>
        <item x="66"/>
        <item x="71"/>
        <item x="52"/>
        <item x="81"/>
        <item x="58"/>
        <item x="27"/>
        <item x="84"/>
        <item x="28"/>
        <item x="78"/>
        <item x="29"/>
        <item x="59"/>
        <item x="30"/>
        <item x="31"/>
        <item x="32"/>
        <item x="33"/>
        <item x="34"/>
        <item x="79"/>
        <item x="35"/>
        <item x="36"/>
        <item x="53"/>
        <item x="37"/>
        <item x="38"/>
        <item x="39"/>
        <item x="54"/>
        <item x="64"/>
        <item x="61"/>
        <item x="40"/>
        <item x="41"/>
        <item x="42"/>
        <item x="43"/>
        <item x="44"/>
        <item x="45"/>
        <item x="74"/>
        <item x="46"/>
        <item x="80"/>
        <item x="47"/>
        <item x="48"/>
        <item x="49"/>
        <item x="50"/>
        <item x="60"/>
        <item x="75"/>
        <item x="51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-2"/>
  </rowFields>
  <row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rowItems>
  <colFields count="1">
    <field x="1"/>
  </colFields>
  <colItems count="8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 t="grand">
      <x/>
    </i>
  </colItems>
  <pageFields count="1">
    <pageField fld="0" hier="-1"/>
  </pageFields>
  <dataFields count="16">
    <dataField name="Sum of Asbestos Inspector" fld="2" baseField="0" baseItem="0"/>
    <dataField name="Sum of Asbestos Inspector Refresher" fld="3" baseField="0" baseItem="0"/>
    <dataField name="Sum of Asbestos Management Planner" fld="4" baseField="0" baseItem="0"/>
    <dataField name="Sum of Asbestos Management Planner Refresher" fld="5" baseField="0" baseItem="0"/>
    <dataField name="Sum of Asbestos Supervisor Initial" fld="6" baseField="0" baseItem="0"/>
    <dataField name="Sum of Asbestos Supervisor Refresher" fld="7" baseField="0" baseItem="0"/>
    <dataField name="Sum of Competent Person for Fall Protection Course" fld="8" baseField="0" baseItem="0"/>
    <dataField name="Sum of Confined Space Safety " fld="9" baseField="0" baseItem="0"/>
    <dataField name="Sum of Construction Safety Standards" fld="10" baseField="0" baseItem="0"/>
    <dataField name="Sum of Emergency Asbestos Response Team" fld="11" baseField="0" baseItem="0"/>
    <dataField name="Sum of Fire Protection &amp; Life Safety" fld="12" baseField="0" baseItem="0"/>
    <dataField name="Sum of Industrial Noise and Hearing Conservation Program" fld="13" baseField="0" baseItem="0"/>
    <dataField name="Sum of Occupational Health Program Manager (In development)" fld="14" baseField="0" baseItem="0"/>
    <dataField name="Sum of Respiratory Protection Program Management" fld="15" baseField="0" baseItem="0"/>
    <dataField name="Sum of Safety Managers Course " fld="16" baseField="0" baseItem="0"/>
    <dataField name="Sum of Workplace Inspection Course (In Development)" fld="17" baseField="0" baseItem="0"/>
  </dataFields>
  <formats count="26">
    <format dxfId="1852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8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1"/>
            <x v="53"/>
            <x v="54"/>
            <x v="55"/>
            <x v="56"/>
            <x v="57"/>
          </reference>
        </references>
      </pivotArea>
    </format>
    <format dxfId="1851">
      <pivotArea dataOnly="0" labelOnly="1" fieldPosition="0">
        <references count="1">
          <reference field="1" count="24">
            <x v="58"/>
            <x v="59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7"/>
            <x v="79"/>
            <x v="80"/>
            <x v="81"/>
            <x v="82"/>
            <x v="83"/>
            <x v="85"/>
          </reference>
        </references>
      </pivotArea>
    </format>
    <format dxfId="1850">
      <pivotArea dataOnly="0" labelOnly="1" grandCol="1" outline="0" fieldPosition="0"/>
    </format>
    <format dxfId="1849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8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1"/>
            <x v="53"/>
            <x v="54"/>
            <x v="55"/>
            <x v="56"/>
            <x v="57"/>
          </reference>
        </references>
      </pivotArea>
    </format>
    <format dxfId="1848">
      <pivotArea dataOnly="0" labelOnly="1" fieldPosition="0">
        <references count="1">
          <reference field="1" count="24">
            <x v="58"/>
            <x v="59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7"/>
            <x v="79"/>
            <x v="80"/>
            <x v="81"/>
            <x v="82"/>
            <x v="83"/>
            <x v="85"/>
          </reference>
        </references>
      </pivotArea>
    </format>
    <format dxfId="1847">
      <pivotArea dataOnly="0" labelOnly="1" grandCol="1" outline="0" fieldPosition="0"/>
    </format>
    <format dxfId="1846">
      <pivotArea outline="0" collapsedLevelsAreSubtotals="1" fieldPosition="0"/>
    </format>
    <format dxfId="1845">
      <pivotArea field="-2" type="button" dataOnly="0" labelOnly="1" outline="0" axis="axisRow" fieldPosition="0"/>
    </format>
    <format dxfId="1844">
      <pivotArea dataOnly="0" labelOnly="1" outline="0" fieldPosition="0">
        <references count="1">
          <reference field="4294967294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1843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8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1"/>
            <x v="53"/>
            <x v="54"/>
            <x v="55"/>
            <x v="56"/>
            <x v="57"/>
          </reference>
        </references>
      </pivotArea>
    </format>
    <format dxfId="1842">
      <pivotArea dataOnly="0" labelOnly="1" fieldPosition="0">
        <references count="1">
          <reference field="1" count="24">
            <x v="58"/>
            <x v="59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7"/>
            <x v="79"/>
            <x v="80"/>
            <x v="81"/>
            <x v="82"/>
            <x v="83"/>
            <x v="85"/>
          </reference>
        </references>
      </pivotArea>
    </format>
    <format dxfId="1841">
      <pivotArea dataOnly="0" labelOnly="1" grandCol="1" outline="0" fieldPosition="0"/>
    </format>
    <format dxfId="1840">
      <pivotArea dataOnly="0" labelOnly="1" fieldPosition="0">
        <references count="1">
          <reference field="1" count="12">
            <x v="11"/>
            <x v="17"/>
            <x v="19"/>
            <x v="24"/>
            <x v="35"/>
            <x v="47"/>
            <x v="50"/>
            <x v="52"/>
            <x v="60"/>
            <x v="76"/>
            <x v="78"/>
            <x v="84"/>
          </reference>
        </references>
      </pivotArea>
    </format>
    <format dxfId="1839">
      <pivotArea grandCol="1" outline="0" collapsedLevelsAreSubtotals="1" fieldPosition="0"/>
    </format>
    <format dxfId="1838">
      <pivotArea grandCol="1" outline="0" collapsedLevelsAreSubtotals="1" fieldPosition="0"/>
    </format>
    <format dxfId="1837">
      <pivotArea collapsedLevelsAreSubtotals="1" fieldPosition="0">
        <references count="1">
          <reference field="4294967294" count="1">
            <x v="6"/>
          </reference>
        </references>
      </pivotArea>
    </format>
    <format dxfId="1836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1835">
      <pivotArea grandCol="1" outline="0" collapsedLevelsAreSubtotals="1" fieldPosition="0"/>
    </format>
    <format dxfId="1834">
      <pivotArea dataOnly="0" labelOnly="1" grandCol="1" outline="0" fieldPosition="0"/>
    </format>
    <format dxfId="1833">
      <pivotArea grandCol="1" outline="0" collapsedLevelsAreSubtotals="1" fieldPosition="0"/>
    </format>
    <format dxfId="1832">
      <pivotArea dataOnly="0" labelOnly="1" grandCol="1" outline="0" fieldPosition="0"/>
    </format>
    <format dxfId="1831">
      <pivotArea grandCol="1" outline="0" collapsedLevelsAreSubtotals="1" fieldPosition="0"/>
    </format>
    <format dxfId="1830">
      <pivotArea dataOnly="0" labelOnly="1" grandCol="1" outline="0" fieldPosition="0"/>
    </format>
    <format dxfId="1829">
      <pivotArea dataOnly="0" labelOnly="1" fieldPosition="0">
        <references count="1">
          <reference field="1" count="50"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</reference>
        </references>
      </pivotArea>
    </format>
    <format dxfId="1828">
      <pivotArea dataOnly="0" labelOnly="1" fieldPosition="0">
        <references count="1">
          <reference field="1" count="25"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</reference>
        </references>
      </pivotArea>
    </format>
    <format dxfId="1827">
      <pivotArea dataOnly="0" labelOnly="1" grandCol="1" outline="0" fieldPosition="0"/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9C7571-4473-491E-9783-0FE1CA908D1D}" name="PivotTable1" cacheId="2" dataOnRows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T13" firstHeaderRow="1" firstDataRow="2" firstDataCol="1" rowPageCount="1" colPageCount="1"/>
  <pivotFields count="12">
    <pivotField axis="axisPage" showAll="0">
      <items count="12">
        <item x="1"/>
        <item x="0"/>
        <item x="9"/>
        <item x="2"/>
        <item x="3"/>
        <item x="4"/>
        <item m="1" x="10"/>
        <item x="6"/>
        <item x="7"/>
        <item x="8"/>
        <item x="5"/>
        <item t="default"/>
      </items>
    </pivotField>
    <pivotField axis="axisCol" showAll="0" sortType="ascending">
      <items count="98">
        <item x="78"/>
        <item x="0"/>
        <item x="1"/>
        <item x="2"/>
        <item x="3"/>
        <item x="4"/>
        <item x="5"/>
        <item x="88"/>
        <item x="52"/>
        <item x="67"/>
        <item x="6"/>
        <item x="68"/>
        <item x="7"/>
        <item x="8"/>
        <item x="9"/>
        <item x="10"/>
        <item x="69"/>
        <item x="11"/>
        <item x="70"/>
        <item x="12"/>
        <item x="13"/>
        <item x="71"/>
        <item x="14"/>
        <item x="15"/>
        <item x="16"/>
        <item x="17"/>
        <item x="82"/>
        <item x="83"/>
        <item x="18"/>
        <item x="19"/>
        <item x="20"/>
        <item x="21"/>
        <item x="72"/>
        <item x="22"/>
        <item x="23"/>
        <item x="24"/>
        <item x="25"/>
        <item x="87"/>
        <item x="26"/>
        <item x="94"/>
        <item x="56"/>
        <item x="57"/>
        <item x="59"/>
        <item x="58"/>
        <item x="65"/>
        <item x="53"/>
        <item x="93"/>
        <item x="90"/>
        <item x="54"/>
        <item x="61"/>
        <item x="64"/>
        <item x="91"/>
        <item x="60"/>
        <item x="89"/>
        <item x="92"/>
        <item x="55"/>
        <item x="62"/>
        <item x="66"/>
        <item x="63"/>
        <item x="73"/>
        <item x="27"/>
        <item x="81"/>
        <item x="74"/>
        <item x="28"/>
        <item x="29"/>
        <item x="75"/>
        <item x="30"/>
        <item x="31"/>
        <item x="32"/>
        <item x="33"/>
        <item x="34"/>
        <item x="35"/>
        <item x="36"/>
        <item x="37"/>
        <item x="38"/>
        <item x="39"/>
        <item x="76"/>
        <item x="40"/>
        <item x="41"/>
        <item x="42"/>
        <item x="43"/>
        <item m="1" x="96"/>
        <item x="44"/>
        <item x="45"/>
        <item x="80"/>
        <item x="77"/>
        <item x="46"/>
        <item x="85"/>
        <item x="84"/>
        <item x="47"/>
        <item x="48"/>
        <item x="49"/>
        <item x="50"/>
        <item x="79"/>
        <item x="51"/>
        <item x="86"/>
        <item x="95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-2"/>
  </rowFields>
  <rowItems count="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</rowItems>
  <colFields count="1">
    <field x="1"/>
  </colFields>
  <colItems count="9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 t="grand">
      <x/>
    </i>
  </colItems>
  <pageFields count="1">
    <pageField fld="0" hier="-1"/>
  </pageFields>
  <dataFields count="9">
    <dataField name="Sum of Facility Response Team Five Day" fld="2" baseField="0" baseItem="0"/>
    <dataField name="Sum of Facility Response Team Three Day" fld="3" baseField="0" baseItem="0"/>
    <dataField name="Sum of Hazardous Substance Incident Response Management" fld="4" baseField="0" baseItem="0"/>
    <dataField name="Sum of Hazardous Substance Incident Response Management  Refresher" fld="5" baseField="0" baseItem="0"/>
    <dataField name="Sum of Incident Command System 300 " fld="6" baseField="0" baseItem="0"/>
    <dataField name="Sum of Incident Command System 300 Refresher" fld="7" baseField="0" baseItem="0"/>
    <dataField name="Sum of Incident Command System 400 " fld="8" baseField="0" baseItem="0"/>
    <dataField name="Sum of Oil Hazardous Substance Spill Response Tabletop Exercise " fld="9" baseField="0" baseItem="0"/>
    <dataField name="Sum of Tank Managers Course" fld="10" baseField="0" baseItem="0"/>
  </dataFields>
  <formats count="153">
    <format dxfId="182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8"/>
            <x v="49"/>
            <x v="50"/>
            <x v="52"/>
            <x v="55"/>
          </reference>
        </references>
      </pivotArea>
    </format>
    <format dxfId="1825">
      <pivotArea dataOnly="0" labelOnly="1" fieldPosition="0">
        <references count="1">
          <reference field="1" count="41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824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8"/>
            <x v="49"/>
            <x v="50"/>
            <x v="52"/>
            <x v="55"/>
          </reference>
        </references>
      </pivotArea>
    </format>
    <format dxfId="1823">
      <pivotArea dataOnly="0" labelOnly="1" fieldPosition="0">
        <references count="1">
          <reference field="1" count="41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822">
      <pivotArea outline="0" collapsedLevelsAreSubtotals="1" fieldPosition="0">
        <references count="1">
          <reference field="1" count="0" selected="0"/>
        </references>
      </pivotArea>
    </format>
    <format dxfId="1821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820">
      <pivotArea collapsedLevelsAreSubtotals="1" fieldPosition="0">
        <references count="1">
          <reference field="4294967294" count="1">
            <x v="0"/>
          </reference>
        </references>
      </pivotArea>
    </format>
    <format dxfId="1819">
      <pivotArea collapsedLevelsAreSubtotals="1" fieldPosition="0">
        <references count="1">
          <reference field="4294967294" count="1">
            <x v="2"/>
          </reference>
        </references>
      </pivotArea>
    </format>
    <format dxfId="1818">
      <pivotArea collapsedLevelsAreSubtotals="1" fieldPosition="0">
        <references count="1">
          <reference field="4294967294" count="1">
            <x v="4"/>
          </reference>
        </references>
      </pivotArea>
    </format>
    <format dxfId="1817">
      <pivotArea outline="0" collapsedLevelsAreSubtotals="1" fieldPosition="0"/>
    </format>
    <format dxfId="1816">
      <pivotArea field="-2" type="button" dataOnly="0" labelOnly="1" outline="0" axis="axisRow" fieldPosition="0"/>
    </format>
    <format dxfId="1815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814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8"/>
            <x v="49"/>
            <x v="50"/>
            <x v="52"/>
            <x v="55"/>
          </reference>
        </references>
      </pivotArea>
    </format>
    <format dxfId="1813">
      <pivotArea dataOnly="0" labelOnly="1" fieldPosition="0">
        <references count="1">
          <reference field="1" count="41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812">
      <pivotArea dataOnly="0" labelOnly="1" grandCol="1" outline="0" fieldPosition="0"/>
    </format>
    <format dxfId="1811">
      <pivotArea dataOnly="0" labelOnly="1" fieldPosition="0">
        <references count="1">
          <reference field="1" count="16"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 dxfId="1810">
      <pivotArea grandCol="1" outline="0" collapsedLevelsAreSubtotals="1" fieldPosition="0"/>
    </format>
    <format dxfId="1809">
      <pivotArea dataOnly="0" labelOnly="1" grandCol="1" outline="0" fieldPosition="0"/>
    </format>
    <format dxfId="1808">
      <pivotArea grandCol="1" outline="0" collapsedLevelsAreSubtotals="1" fieldPosition="0"/>
    </format>
    <format dxfId="1807">
      <pivotArea dataOnly="0" labelOnly="1" grandCol="1" outline="0" fieldPosition="0"/>
    </format>
    <format dxfId="1806">
      <pivotArea dataOnly="0" labelOnly="1" fieldPosition="0">
        <references count="1">
          <reference field="1" count="50"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</reference>
        </references>
      </pivotArea>
    </format>
    <format dxfId="1805">
      <pivotArea dataOnly="0" labelOnly="1" fieldPosition="0">
        <references count="1">
          <reference field="1" count="33"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804">
      <pivotArea dataOnly="0" labelOnly="1" grandCol="1" outline="0" fieldPosition="0"/>
    </format>
    <format dxfId="1803">
      <pivotArea grandCol="1" outline="0" collapsedLevelsAreSubtotals="1" fieldPosition="0"/>
    </format>
    <format dxfId="1802">
      <pivotArea dataOnly="0" labelOnly="1" grandCol="1" outline="0" fieldPosition="0"/>
    </format>
    <format dxfId="1801">
      <pivotArea collapsedLevelsAreSubtotals="1" fieldPosition="0">
        <references count="2">
          <reference field="4294967294" count="1">
            <x v="6"/>
          </reference>
          <reference field="1" count="0" selected="0"/>
        </references>
      </pivotArea>
    </format>
    <format dxfId="1800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1799">
      <pivotArea collapsedLevelsAreSubtotals="1" fieldPosition="0">
        <references count="2">
          <reference field="4294967294" count="1">
            <x v="0"/>
          </reference>
          <reference field="1" count="1" selected="0">
            <x v="1"/>
          </reference>
        </references>
      </pivotArea>
    </format>
    <format dxfId="1798">
      <pivotArea collapsedLevelsAreSubtotals="1" fieldPosition="0">
        <references count="2">
          <reference field="4294967294" count="1">
            <x v="0"/>
          </reference>
          <reference field="1" count="1" selected="0">
            <x v="2"/>
          </reference>
        </references>
      </pivotArea>
    </format>
    <format dxfId="1797">
      <pivotArea collapsedLevelsAreSubtotals="1" fieldPosition="0">
        <references count="2">
          <reference field="4294967294" count="1">
            <x v="1"/>
          </reference>
          <reference field="1" count="1" selected="0">
            <x v="3"/>
          </reference>
        </references>
      </pivotArea>
    </format>
    <format dxfId="1796">
      <pivotArea collapsedLevelsAreSubtotals="1" fieldPosition="0">
        <references count="2">
          <reference field="4294967294" count="1">
            <x v="1"/>
          </reference>
          <reference field="1" count="1" selected="0">
            <x v="4"/>
          </reference>
        </references>
      </pivotArea>
    </format>
    <format dxfId="1795">
      <pivotArea collapsedLevelsAreSubtotals="1" fieldPosition="0">
        <references count="2">
          <reference field="4294967294" count="1">
            <x v="0"/>
          </reference>
          <reference field="1" count="1" selected="0">
            <x v="5"/>
          </reference>
        </references>
      </pivotArea>
    </format>
    <format dxfId="1794">
      <pivotArea collapsedLevelsAreSubtotals="1" fieldPosition="0">
        <references count="2">
          <reference field="4294967294" count="1">
            <x v="1"/>
          </reference>
          <reference field="1" count="1" selected="0">
            <x v="12"/>
          </reference>
        </references>
      </pivotArea>
    </format>
    <format dxfId="1793">
      <pivotArea collapsedLevelsAreSubtotals="1" fieldPosition="0">
        <references count="2">
          <reference field="4294967294" count="1">
            <x v="0"/>
          </reference>
          <reference field="1" count="1" selected="0">
            <x v="13"/>
          </reference>
        </references>
      </pivotArea>
    </format>
    <format dxfId="1792">
      <pivotArea collapsedLevelsAreSubtotals="1" fieldPosition="0">
        <references count="2">
          <reference field="4294967294" count="1">
            <x v="0"/>
          </reference>
          <reference field="1" count="1" selected="0">
            <x v="17"/>
          </reference>
        </references>
      </pivotArea>
    </format>
    <format dxfId="1791">
      <pivotArea collapsedLevelsAreSubtotals="1" fieldPosition="0">
        <references count="2">
          <reference field="4294967294" count="1">
            <x v="1"/>
          </reference>
          <reference field="1" count="1" selected="0">
            <x v="19"/>
          </reference>
        </references>
      </pivotArea>
    </format>
    <format dxfId="1790">
      <pivotArea collapsedLevelsAreSubtotals="1" fieldPosition="0">
        <references count="2">
          <reference field="4294967294" count="1">
            <x v="1"/>
          </reference>
          <reference field="1" count="1" selected="0">
            <x v="22"/>
          </reference>
        </references>
      </pivotArea>
    </format>
    <format dxfId="1789">
      <pivotArea collapsedLevelsAreSubtotals="1" fieldPosition="0">
        <references count="2">
          <reference field="4294967294" count="1">
            <x v="0"/>
          </reference>
          <reference field="1" count="1" selected="0">
            <x v="23"/>
          </reference>
        </references>
      </pivotArea>
    </format>
    <format dxfId="1788">
      <pivotArea collapsedLevelsAreSubtotals="1" fieldPosition="0">
        <references count="2">
          <reference field="4294967294" count="1">
            <x v="0"/>
          </reference>
          <reference field="1" count="1" selected="0">
            <x v="24"/>
          </reference>
        </references>
      </pivotArea>
    </format>
    <format dxfId="1787">
      <pivotArea collapsedLevelsAreSubtotals="1" fieldPosition="0">
        <references count="2">
          <reference field="4294967294" count="1">
            <x v="1"/>
          </reference>
          <reference field="1" count="4" selected="0">
            <x v="26"/>
            <x v="27"/>
            <x v="28"/>
            <x v="29"/>
          </reference>
        </references>
      </pivotArea>
    </format>
    <format dxfId="1786">
      <pivotArea collapsedLevelsAreSubtotals="1" fieldPosition="0">
        <references count="2">
          <reference field="4294967294" count="1">
            <x v="1"/>
          </reference>
          <reference field="1" count="1" selected="0">
            <x v="31"/>
          </reference>
        </references>
      </pivotArea>
    </format>
    <format dxfId="1785">
      <pivotArea collapsedLevelsAreSubtotals="1" fieldPosition="0">
        <references count="2">
          <reference field="4294967294" count="1">
            <x v="0"/>
          </reference>
          <reference field="1" count="1" selected="0">
            <x v="32"/>
          </reference>
        </references>
      </pivotArea>
    </format>
    <format dxfId="1784">
      <pivotArea collapsedLevelsAreSubtotals="1" fieldPosition="0">
        <references count="2">
          <reference field="4294967294" count="1">
            <x v="0"/>
          </reference>
          <reference field="1" count="1" selected="0">
            <x v="34"/>
          </reference>
        </references>
      </pivotArea>
    </format>
    <format dxfId="1783">
      <pivotArea collapsedLevelsAreSubtotals="1" fieldPosition="0">
        <references count="2">
          <reference field="4294967294" count="1">
            <x v="1"/>
          </reference>
          <reference field="1" count="1" selected="0">
            <x v="36"/>
          </reference>
        </references>
      </pivotArea>
    </format>
    <format dxfId="1782">
      <pivotArea collapsedLevelsAreSubtotals="1" fieldPosition="0">
        <references count="2">
          <reference field="4294967294" count="1">
            <x v="1"/>
          </reference>
          <reference field="1" count="1" selected="0">
            <x v="37"/>
          </reference>
        </references>
      </pivotArea>
    </format>
    <format dxfId="1781">
      <pivotArea collapsedLevelsAreSubtotals="1" fieldPosition="0">
        <references count="2">
          <reference field="4294967294" count="1">
            <x v="0"/>
          </reference>
          <reference field="1" count="1" selected="0">
            <x v="38"/>
          </reference>
        </references>
      </pivotArea>
    </format>
    <format dxfId="1780">
      <pivotArea collapsedLevelsAreSubtotals="1" fieldPosition="0">
        <references count="2">
          <reference field="4294967294" count="1">
            <x v="1"/>
          </reference>
          <reference field="1" count="1" selected="0">
            <x v="63"/>
          </reference>
        </references>
      </pivotArea>
    </format>
    <format dxfId="1779">
      <pivotArea collapsedLevelsAreSubtotals="1" fieldPosition="0">
        <references count="2">
          <reference field="4294967294" count="1">
            <x v="0"/>
          </reference>
          <reference field="1" count="1" selected="0">
            <x v="64"/>
          </reference>
        </references>
      </pivotArea>
    </format>
    <format dxfId="1778">
      <pivotArea collapsedLevelsAreSubtotals="1" fieldPosition="0">
        <references count="2">
          <reference field="4294967294" count="1">
            <x v="1"/>
          </reference>
          <reference field="1" count="1" selected="0">
            <x v="66"/>
          </reference>
        </references>
      </pivotArea>
    </format>
    <format dxfId="1777">
      <pivotArea collapsedLevelsAreSubtotals="1" fieldPosition="0">
        <references count="2">
          <reference field="4294967294" count="1">
            <x v="0"/>
          </reference>
          <reference field="1" count="1" selected="0">
            <x v="67"/>
          </reference>
        </references>
      </pivotArea>
    </format>
    <format dxfId="1776">
      <pivotArea collapsedLevelsAreSubtotals="1" fieldPosition="0">
        <references count="2">
          <reference field="4294967294" count="1">
            <x v="0"/>
          </reference>
          <reference field="1" count="1" selected="0">
            <x v="67"/>
          </reference>
        </references>
      </pivotArea>
    </format>
    <format dxfId="1775">
      <pivotArea collapsedLevelsAreSubtotals="1" fieldPosition="0">
        <references count="2">
          <reference field="4294967294" count="1">
            <x v="0"/>
          </reference>
          <reference field="1" count="1" selected="0">
            <x v="67"/>
          </reference>
        </references>
      </pivotArea>
    </format>
    <format dxfId="1774">
      <pivotArea collapsedLevelsAreSubtotals="1" fieldPosition="0">
        <references count="2">
          <reference field="4294967294" count="1">
            <x v="1"/>
          </reference>
          <reference field="1" count="1" selected="0">
            <x v="67"/>
          </reference>
        </references>
      </pivotArea>
    </format>
    <format dxfId="1773">
      <pivotArea collapsedLevelsAreSubtotals="1" fieldPosition="0">
        <references count="2">
          <reference field="4294967294" count="1">
            <x v="0"/>
          </reference>
          <reference field="1" count="1" selected="0">
            <x v="68"/>
          </reference>
        </references>
      </pivotArea>
    </format>
    <format dxfId="1772">
      <pivotArea collapsedLevelsAreSubtotals="1" fieldPosition="0">
        <references count="2">
          <reference field="4294967294" count="1">
            <x v="1"/>
          </reference>
          <reference field="1" count="2" selected="0">
            <x v="69"/>
            <x v="70"/>
          </reference>
        </references>
      </pivotArea>
    </format>
    <format dxfId="1771">
      <pivotArea collapsedLevelsAreSubtotals="1" fieldPosition="0">
        <references count="2">
          <reference field="4294967294" count="2">
            <x v="0"/>
            <x v="1"/>
          </reference>
          <reference field="1" count="1" selected="0">
            <x v="71"/>
          </reference>
        </references>
      </pivotArea>
    </format>
    <format dxfId="1770">
      <pivotArea collapsedLevelsAreSubtotals="1" fieldPosition="0">
        <references count="2">
          <reference field="4294967294" count="1">
            <x v="1"/>
          </reference>
          <reference field="1" count="1" selected="0">
            <x v="72"/>
          </reference>
        </references>
      </pivotArea>
    </format>
    <format dxfId="1769">
      <pivotArea collapsedLevelsAreSubtotals="1" fieldPosition="0">
        <references count="2">
          <reference field="4294967294" count="1">
            <x v="0"/>
          </reference>
          <reference field="1" count="1" selected="0">
            <x v="73"/>
          </reference>
        </references>
      </pivotArea>
    </format>
    <format dxfId="1768">
      <pivotArea collapsedLevelsAreSubtotals="1" fieldPosition="0">
        <references count="2">
          <reference field="4294967294" count="1">
            <x v="0"/>
          </reference>
          <reference field="1" count="1" selected="0">
            <x v="74"/>
          </reference>
        </references>
      </pivotArea>
    </format>
    <format dxfId="1767">
      <pivotArea collapsedLevelsAreSubtotals="1" fieldPosition="0">
        <references count="2">
          <reference field="4294967294" count="1">
            <x v="0"/>
          </reference>
          <reference field="1" count="1" selected="0">
            <x v="75"/>
          </reference>
        </references>
      </pivotArea>
    </format>
    <format dxfId="1766">
      <pivotArea collapsedLevelsAreSubtotals="1" fieldPosition="0">
        <references count="2">
          <reference field="4294967294" count="1">
            <x v="0"/>
          </reference>
          <reference field="1" count="1" selected="0">
            <x v="77"/>
          </reference>
        </references>
      </pivotArea>
    </format>
    <format dxfId="1765">
      <pivotArea collapsedLevelsAreSubtotals="1" fieldPosition="0">
        <references count="2">
          <reference field="4294967294" count="1">
            <x v="0"/>
          </reference>
          <reference field="1" count="1" selected="0">
            <x v="13"/>
          </reference>
        </references>
      </pivotArea>
    </format>
    <format dxfId="1764">
      <pivotArea collapsedLevelsAreSubtotals="1" fieldPosition="0">
        <references count="2">
          <reference field="4294967294" count="1">
            <x v="0"/>
          </reference>
          <reference field="1" count="1" selected="0">
            <x v="79"/>
          </reference>
        </references>
      </pivotArea>
    </format>
    <format dxfId="1763">
      <pivotArea collapsedLevelsAreSubtotals="1" fieldPosition="0">
        <references count="2">
          <reference field="4294967294" count="1">
            <x v="0"/>
          </reference>
          <reference field="1" count="1" selected="0">
            <x v="80"/>
          </reference>
        </references>
      </pivotArea>
    </format>
    <format dxfId="1762">
      <pivotArea collapsedLevelsAreSubtotals="1" fieldPosition="0">
        <references count="2">
          <reference field="4294967294" count="1">
            <x v="1"/>
          </reference>
          <reference field="1" count="1" selected="0">
            <x v="81"/>
          </reference>
        </references>
      </pivotArea>
    </format>
    <format dxfId="1761">
      <pivotArea collapsedLevelsAreSubtotals="1" fieldPosition="0">
        <references count="2">
          <reference field="4294967294" count="1">
            <x v="0"/>
          </reference>
          <reference field="1" count="1" selected="0">
            <x v="84"/>
          </reference>
        </references>
      </pivotArea>
    </format>
    <format dxfId="1760">
      <pivotArea collapsedLevelsAreSubtotals="1" fieldPosition="0">
        <references count="2">
          <reference field="4294967294" count="1">
            <x v="1"/>
          </reference>
          <reference field="1" count="1" selected="0">
            <x v="86"/>
          </reference>
        </references>
      </pivotArea>
    </format>
    <format dxfId="1759">
      <pivotArea collapsedLevelsAreSubtotals="1" fieldPosition="0">
        <references count="2">
          <reference field="4294967294" count="1">
            <x v="0"/>
          </reference>
          <reference field="1" count="1" selected="0">
            <x v="87"/>
          </reference>
        </references>
      </pivotArea>
    </format>
    <format dxfId="1758">
      <pivotArea collapsedLevelsAreSubtotals="1" fieldPosition="0">
        <references count="2">
          <reference field="4294967294" count="1">
            <x v="1"/>
          </reference>
          <reference field="1" count="1" selected="0">
            <x v="88"/>
          </reference>
        </references>
      </pivotArea>
    </format>
    <format dxfId="1757">
      <pivotArea collapsedLevelsAreSubtotals="1" fieldPosition="0">
        <references count="2">
          <reference field="4294967294" count="1">
            <x v="1"/>
          </reference>
          <reference field="1" count="1" selected="0">
            <x v="90"/>
          </reference>
        </references>
      </pivotArea>
    </format>
    <format dxfId="1756">
      <pivotArea collapsedLevelsAreSubtotals="1" fieldPosition="0">
        <references count="2">
          <reference field="4294967294" count="1">
            <x v="1"/>
          </reference>
          <reference field="1" count="1" selected="0">
            <x v="91"/>
          </reference>
        </references>
      </pivotArea>
    </format>
    <format dxfId="1755">
      <pivotArea collapsedLevelsAreSubtotals="1" fieldPosition="0">
        <references count="2">
          <reference field="4294967294" count="1">
            <x v="1"/>
          </reference>
          <reference field="1" count="1" selected="0">
            <x v="91"/>
          </reference>
        </references>
      </pivotArea>
    </format>
    <format dxfId="1754">
      <pivotArea collapsedLevelsAreSubtotals="1" fieldPosition="0">
        <references count="2">
          <reference field="4294967294" count="1">
            <x v="1"/>
          </reference>
          <reference field="1" count="1" selected="0">
            <x v="92"/>
          </reference>
        </references>
      </pivotArea>
    </format>
    <format dxfId="1753">
      <pivotArea collapsedLevelsAreSubtotals="1" fieldPosition="0">
        <references count="2">
          <reference field="4294967294" count="1">
            <x v="0"/>
          </reference>
          <reference field="1" count="1" selected="0">
            <x v="94"/>
          </reference>
        </references>
      </pivotArea>
    </format>
    <format dxfId="1752">
      <pivotArea collapsedLevelsAreSubtotals="1" fieldPosition="0">
        <references count="2">
          <reference field="4294967294" count="1">
            <x v="1"/>
          </reference>
          <reference field="1" count="1" selected="0">
            <x v="67"/>
          </reference>
        </references>
      </pivotArea>
    </format>
    <format dxfId="1751">
      <pivotArea collapsedLevelsAreSubtotals="1" fieldPosition="0">
        <references count="2">
          <reference field="4294967294" count="1">
            <x v="0"/>
          </reference>
          <reference field="1" count="1" selected="0">
            <x v="67"/>
          </reference>
        </references>
      </pivotArea>
    </format>
    <format dxfId="1750">
      <pivotArea collapsedLevelsAreSubtotals="1" fieldPosition="0">
        <references count="2">
          <reference field="4294967294" count="1">
            <x v="8"/>
          </reference>
          <reference field="1" count="1" selected="0">
            <x v="79"/>
          </reference>
        </references>
      </pivotArea>
    </format>
    <format dxfId="1749">
      <pivotArea collapsedLevelsAreSubtotals="1" fieldPosition="0">
        <references count="2">
          <reference field="4294967294" count="1">
            <x v="8"/>
          </reference>
          <reference field="1" count="1" selected="0">
            <x v="23"/>
          </reference>
        </references>
      </pivotArea>
    </format>
    <format dxfId="1748">
      <pivotArea collapsedLevelsAreSubtotals="1" fieldPosition="0">
        <references count="2">
          <reference field="4294967294" count="1">
            <x v="8"/>
          </reference>
          <reference field="1" count="1" selected="0">
            <x v="79"/>
          </reference>
        </references>
      </pivotArea>
    </format>
    <format dxfId="1747">
      <pivotArea collapsedLevelsAreSubtotals="1" fieldPosition="0">
        <references count="2">
          <reference field="4294967294" count="1">
            <x v="8"/>
          </reference>
          <reference field="1" count="1" selected="0">
            <x v="71"/>
          </reference>
        </references>
      </pivotArea>
    </format>
    <format dxfId="1746">
      <pivotArea collapsedLevelsAreSubtotals="1" fieldPosition="0">
        <references count="2">
          <reference field="4294967294" count="1">
            <x v="2"/>
          </reference>
          <reference field="1" count="5" selected="0">
            <x v="1"/>
            <x v="2"/>
            <x v="3"/>
            <x v="4"/>
            <x v="5"/>
          </reference>
        </references>
      </pivotArea>
    </format>
    <format dxfId="1745">
      <pivotArea collapsedLevelsAreSubtotals="1" fieldPosition="0">
        <references count="2">
          <reference field="4294967294" count="1">
            <x v="2"/>
          </reference>
          <reference field="1" count="1" selected="0">
            <x v="10"/>
          </reference>
        </references>
      </pivotArea>
    </format>
    <format dxfId="1744">
      <pivotArea collapsedLevelsAreSubtotals="1" fieldPosition="0">
        <references count="2">
          <reference field="4294967294" count="1">
            <x v="2"/>
          </reference>
          <reference field="1" count="2" selected="0">
            <x v="12"/>
            <x v="13"/>
          </reference>
        </references>
      </pivotArea>
    </format>
    <format dxfId="1743">
      <pivotArea collapsedLevelsAreSubtotals="1" fieldPosition="0">
        <references count="2">
          <reference field="4294967294" count="1">
            <x v="2"/>
          </reference>
          <reference field="1" count="3" selected="0">
            <x v="15"/>
            <x v="16"/>
            <x v="17"/>
          </reference>
        </references>
      </pivotArea>
    </format>
    <format dxfId="1742">
      <pivotArea collapsedLevelsAreSubtotals="1" fieldPosition="0">
        <references count="2">
          <reference field="4294967294" count="1">
            <x v="2"/>
          </reference>
          <reference field="1" count="2" selected="0">
            <x v="19"/>
            <x v="20"/>
          </reference>
        </references>
      </pivotArea>
    </format>
    <format dxfId="1741">
      <pivotArea collapsedLevelsAreSubtotals="1" fieldPosition="0">
        <references count="2">
          <reference field="4294967294" count="1">
            <x v="2"/>
          </reference>
          <reference field="1" count="2" selected="0">
            <x v="22"/>
            <x v="23"/>
          </reference>
        </references>
      </pivotArea>
    </format>
    <format dxfId="1740">
      <pivotArea collapsedLevelsAreSubtotals="1" fieldPosition="0">
        <references count="2">
          <reference field="4294967294" count="1">
            <x v="2"/>
          </reference>
          <reference field="1" count="1" selected="0">
            <x v="30"/>
          </reference>
        </references>
      </pivotArea>
    </format>
    <format dxfId="1739">
      <pivotArea collapsedLevelsAreSubtotals="1" fieldPosition="0">
        <references count="2">
          <reference field="4294967294" count="1">
            <x v="2"/>
          </reference>
          <reference field="1" count="1" selected="0">
            <x v="36"/>
          </reference>
        </references>
      </pivotArea>
    </format>
    <format dxfId="1738">
      <pivotArea collapsedLevelsAreSubtotals="1" fieldPosition="0">
        <references count="2">
          <reference field="4294967294" count="1">
            <x v="2"/>
          </reference>
          <reference field="1" count="2" selected="0">
            <x v="63"/>
            <x v="64"/>
          </reference>
        </references>
      </pivotArea>
    </format>
    <format dxfId="1737">
      <pivotArea collapsedLevelsAreSubtotals="1" fieldPosition="0">
        <references count="2">
          <reference field="4294967294" count="1">
            <x v="2"/>
          </reference>
          <reference field="1" count="3" selected="0">
            <x v="66"/>
            <x v="67"/>
            <x v="68"/>
          </reference>
        </references>
      </pivotArea>
    </format>
    <format dxfId="1736">
      <pivotArea collapsedLevelsAreSubtotals="1" fieldPosition="0">
        <references count="2">
          <reference field="4294967294" count="1">
            <x v="2"/>
          </reference>
          <reference field="1" count="2" selected="0">
            <x v="70"/>
            <x v="71"/>
          </reference>
        </references>
      </pivotArea>
    </format>
    <format dxfId="1735">
      <pivotArea collapsedLevelsAreSubtotals="1" fieldPosition="0">
        <references count="2">
          <reference field="4294967294" count="1">
            <x v="2"/>
          </reference>
          <reference field="1" count="5" selected="0">
            <x v="73"/>
            <x v="74"/>
            <x v="75"/>
            <x v="76"/>
            <x v="77"/>
          </reference>
        </references>
      </pivotArea>
    </format>
    <format dxfId="1734">
      <pivotArea collapsedLevelsAreSubtotals="1" fieldPosition="0">
        <references count="2">
          <reference field="4294967294" count="1">
            <x v="2"/>
          </reference>
          <reference field="1" count="2" selected="0">
            <x v="79"/>
            <x v="80"/>
          </reference>
        </references>
      </pivotArea>
    </format>
    <format dxfId="1733">
      <pivotArea collapsedLevelsAreSubtotals="1" fieldPosition="0">
        <references count="2">
          <reference field="4294967294" count="1">
            <x v="2"/>
          </reference>
          <reference field="1" count="1" selected="0">
            <x v="83"/>
          </reference>
        </references>
      </pivotArea>
    </format>
    <format dxfId="1732">
      <pivotArea collapsedLevelsAreSubtotals="1" fieldPosition="0">
        <references count="2">
          <reference field="4294967294" count="1">
            <x v="2"/>
          </reference>
          <reference field="1" count="2" selected="0">
            <x v="86"/>
            <x v="87"/>
          </reference>
        </references>
      </pivotArea>
    </format>
    <format dxfId="1731">
      <pivotArea collapsedLevelsAreSubtotals="1" fieldPosition="0">
        <references count="2">
          <reference field="4294967294" count="1">
            <x v="2"/>
          </reference>
          <reference field="1" count="2" selected="0">
            <x v="91"/>
            <x v="92"/>
          </reference>
        </references>
      </pivotArea>
    </format>
    <format dxfId="1730">
      <pivotArea collapsedLevelsAreSubtotals="1" fieldPosition="0">
        <references count="2">
          <reference field="4294967294" count="1">
            <x v="2"/>
          </reference>
          <reference field="1" count="1" selected="0">
            <x v="94"/>
          </reference>
        </references>
      </pivotArea>
    </format>
    <format dxfId="1729">
      <pivotArea collapsedLevelsAreSubtotals="1" fieldPosition="0">
        <references count="2">
          <reference field="4294967294" count="1">
            <x v="1"/>
          </reference>
          <reference field="1" count="1" selected="0">
            <x v="0"/>
          </reference>
        </references>
      </pivotArea>
    </format>
    <format dxfId="1728">
      <pivotArea collapsedLevelsAreSubtotals="1" fieldPosition="0">
        <references count="2">
          <reference field="4294967294" count="1">
            <x v="8"/>
          </reference>
          <reference field="1" count="1" selected="0">
            <x v="83"/>
          </reference>
        </references>
      </pivotArea>
    </format>
    <format dxfId="1727">
      <pivotArea collapsedLevelsAreSubtotals="1" fieldPosition="0">
        <references count="2">
          <reference field="4294967294" count="1">
            <x v="8"/>
          </reference>
          <reference field="1" count="1" selected="0">
            <x v="83"/>
          </reference>
        </references>
      </pivotArea>
    </format>
    <format dxfId="1726">
      <pivotArea collapsedLevelsAreSubtotals="1" fieldPosition="0">
        <references count="2">
          <reference field="4294967294" count="1">
            <x v="8"/>
          </reference>
          <reference field="1" count="1" selected="0">
            <x v="77"/>
          </reference>
        </references>
      </pivotArea>
    </format>
    <format dxfId="1725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1724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1723">
      <pivotArea collapsedLevelsAreSubtotals="1" fieldPosition="0">
        <references count="2">
          <reference field="4294967294" count="1">
            <x v="3"/>
          </reference>
          <reference field="1" count="0" selected="0"/>
        </references>
      </pivotArea>
    </format>
    <format dxfId="1722">
      <pivotArea collapsedLevelsAreSubtotals="1" fieldPosition="0">
        <references count="2">
          <reference field="4294967294" count="1">
            <x v="3"/>
          </reference>
          <reference field="1" count="0" selected="0"/>
        </references>
      </pivotArea>
    </format>
    <format dxfId="1721">
      <pivotArea collapsedLevelsAreSubtotals="1" fieldPosition="0">
        <references count="2">
          <reference field="4294967294" count="1">
            <x v="3"/>
          </reference>
          <reference field="1" count="1" selected="0">
            <x v="2"/>
          </reference>
        </references>
      </pivotArea>
    </format>
    <format dxfId="1720">
      <pivotArea collapsedLevelsAreSubtotals="1" fieldPosition="0">
        <references count="2">
          <reference field="4294967294" count="1">
            <x v="3"/>
          </reference>
          <reference field="1" count="1" selected="0">
            <x v="5"/>
          </reference>
        </references>
      </pivotArea>
    </format>
    <format dxfId="1719">
      <pivotArea collapsedLevelsAreSubtotals="1" fieldPosition="0">
        <references count="2">
          <reference field="4294967294" count="1">
            <x v="3"/>
          </reference>
          <reference field="1" count="1" selected="0">
            <x v="10"/>
          </reference>
        </references>
      </pivotArea>
    </format>
    <format dxfId="1718">
      <pivotArea collapsedLevelsAreSubtotals="1" fieldPosition="0">
        <references count="2">
          <reference field="4294967294" count="1">
            <x v="3"/>
          </reference>
          <reference field="1" count="1" selected="0">
            <x v="13"/>
          </reference>
        </references>
      </pivotArea>
    </format>
    <format dxfId="1717">
      <pivotArea collapsedLevelsAreSubtotals="1" fieldPosition="0">
        <references count="2">
          <reference field="4294967294" count="1">
            <x v="3"/>
          </reference>
          <reference field="1" count="1" selected="0">
            <x v="15"/>
          </reference>
        </references>
      </pivotArea>
    </format>
    <format dxfId="1716">
      <pivotArea collapsedLevelsAreSubtotals="1" fieldPosition="0">
        <references count="2">
          <reference field="4294967294" count="1">
            <x v="3"/>
          </reference>
          <reference field="1" count="1" selected="0">
            <x v="17"/>
          </reference>
        </references>
      </pivotArea>
    </format>
    <format dxfId="1715">
      <pivotArea collapsedLevelsAreSubtotals="1" fieldPosition="0">
        <references count="2">
          <reference field="4294967294" count="1">
            <x v="3"/>
          </reference>
          <reference field="1" count="1" selected="0">
            <x v="23"/>
          </reference>
        </references>
      </pivotArea>
    </format>
    <format dxfId="1714">
      <pivotArea collapsedLevelsAreSubtotals="1" fieldPosition="0">
        <references count="2">
          <reference field="4294967294" count="1">
            <x v="3"/>
          </reference>
          <reference field="1" count="1" selected="0">
            <x v="22"/>
          </reference>
        </references>
      </pivotArea>
    </format>
    <format dxfId="1713">
      <pivotArea collapsedLevelsAreSubtotals="1" fieldPosition="0">
        <references count="2">
          <reference field="4294967294" count="1">
            <x v="3"/>
          </reference>
          <reference field="1" count="1" selected="0">
            <x v="37"/>
          </reference>
        </references>
      </pivotArea>
    </format>
    <format dxfId="1712">
      <pivotArea collapsedLevelsAreSubtotals="1" fieldPosition="0">
        <references count="2">
          <reference field="4294967294" count="1">
            <x v="3"/>
          </reference>
          <reference field="1" count="1" selected="0">
            <x v="29"/>
          </reference>
        </references>
      </pivotArea>
    </format>
    <format dxfId="1711">
      <pivotArea collapsedLevelsAreSubtotals="1" fieldPosition="0">
        <references count="2">
          <reference field="4294967294" count="1">
            <x v="3"/>
          </reference>
          <reference field="1" count="1" selected="0">
            <x v="38"/>
          </reference>
        </references>
      </pivotArea>
    </format>
    <format dxfId="1710">
      <pivotArea collapsedLevelsAreSubtotals="1" fieldPosition="0">
        <references count="2">
          <reference field="4294967294" count="1">
            <x v="3"/>
          </reference>
          <reference field="1" count="1" selected="0">
            <x v="63"/>
          </reference>
        </references>
      </pivotArea>
    </format>
    <format dxfId="1709">
      <pivotArea collapsedLevelsAreSubtotals="1" fieldPosition="0">
        <references count="2">
          <reference field="4294967294" count="1">
            <x v="3"/>
          </reference>
          <reference field="1" count="1" selected="0">
            <x v="64"/>
          </reference>
        </references>
      </pivotArea>
    </format>
    <format dxfId="1708">
      <pivotArea collapsedLevelsAreSubtotals="1" fieldPosition="0">
        <references count="2">
          <reference field="4294967294" count="1">
            <x v="3"/>
          </reference>
          <reference field="1" count="1" selected="0">
            <x v="67"/>
          </reference>
        </references>
      </pivotArea>
    </format>
    <format dxfId="1707">
      <pivotArea collapsedLevelsAreSubtotals="1" fieldPosition="0">
        <references count="2">
          <reference field="4294967294" count="1">
            <x v="3"/>
          </reference>
          <reference field="1" count="1" selected="0">
            <x v="70"/>
          </reference>
        </references>
      </pivotArea>
    </format>
    <format dxfId="1706">
      <pivotArea collapsedLevelsAreSubtotals="1" fieldPosition="0">
        <references count="2">
          <reference field="4294967294" count="1">
            <x v="3"/>
          </reference>
          <reference field="1" count="1" selected="0">
            <x v="71"/>
          </reference>
        </references>
      </pivotArea>
    </format>
    <format dxfId="1705">
      <pivotArea collapsedLevelsAreSubtotals="1" fieldPosition="0">
        <references count="2">
          <reference field="4294967294" count="1">
            <x v="3"/>
          </reference>
          <reference field="1" count="1" selected="0">
            <x v="75"/>
          </reference>
        </references>
      </pivotArea>
    </format>
    <format dxfId="1704">
      <pivotArea collapsedLevelsAreSubtotals="1" fieldPosition="0">
        <references count="2">
          <reference field="4294967294" count="1">
            <x v="3"/>
          </reference>
          <reference field="1" count="1" selected="0">
            <x v="77"/>
          </reference>
        </references>
      </pivotArea>
    </format>
    <format dxfId="1703">
      <pivotArea collapsedLevelsAreSubtotals="1" fieldPosition="0">
        <references count="2">
          <reference field="4294967294" count="1">
            <x v="3"/>
          </reference>
          <reference field="1" count="1" selected="0">
            <x v="80"/>
          </reference>
        </references>
      </pivotArea>
    </format>
    <format dxfId="1702">
      <pivotArea collapsedLevelsAreSubtotals="1" fieldPosition="0">
        <references count="2">
          <reference field="4294967294" count="1">
            <x v="3"/>
          </reference>
          <reference field="1" count="1" selected="0">
            <x v="83"/>
          </reference>
        </references>
      </pivotArea>
    </format>
    <format dxfId="1701">
      <pivotArea collapsedLevelsAreSubtotals="1" fieldPosition="0">
        <references count="2">
          <reference field="4294967294" count="1">
            <x v="3"/>
          </reference>
          <reference field="1" count="1" selected="0">
            <x v="94"/>
          </reference>
        </references>
      </pivotArea>
    </format>
    <format dxfId="1700">
      <pivotArea collapsedLevelsAreSubtotals="1" fieldPosition="0">
        <references count="2">
          <reference field="4294967294" count="1">
            <x v="3"/>
          </reference>
          <reference field="1" count="1" selected="0">
            <x v="86"/>
          </reference>
        </references>
      </pivotArea>
    </format>
    <format dxfId="1699">
      <pivotArea collapsedLevelsAreSubtotals="1" fieldPosition="0">
        <references count="2">
          <reference field="4294967294" count="1">
            <x v="8"/>
          </reference>
          <reference field="1" count="1" selected="0">
            <x v="67"/>
          </reference>
        </references>
      </pivotArea>
    </format>
    <format dxfId="1698">
      <pivotArea collapsedLevelsAreSubtotals="1" fieldPosition="0">
        <references count="2">
          <reference field="4294967294" count="1">
            <x v="7"/>
          </reference>
          <reference field="1" count="1" selected="0">
            <x v="1"/>
          </reference>
        </references>
      </pivotArea>
    </format>
    <format dxfId="1697">
      <pivotArea collapsedLevelsAreSubtotals="1" fieldPosition="0">
        <references count="2">
          <reference field="4294967294" count="1">
            <x v="7"/>
          </reference>
          <reference field="1" count="1" selected="0">
            <x v="2"/>
          </reference>
        </references>
      </pivotArea>
    </format>
    <format dxfId="1696">
      <pivotArea collapsedLevelsAreSubtotals="1" fieldPosition="0">
        <references count="2">
          <reference field="4294967294" count="1">
            <x v="7"/>
          </reference>
          <reference field="1" count="3" selected="0">
            <x v="4"/>
            <x v="5"/>
            <x v="6"/>
          </reference>
        </references>
      </pivotArea>
    </format>
    <format dxfId="1695">
      <pivotArea collapsedLevelsAreSubtotals="1" fieldPosition="0">
        <references count="2">
          <reference field="4294967294" count="1">
            <x v="7"/>
          </reference>
          <reference field="1" count="1" selected="0">
            <x v="10"/>
          </reference>
        </references>
      </pivotArea>
    </format>
    <format dxfId="1694">
      <pivotArea collapsedLevelsAreSubtotals="1" fieldPosition="0">
        <references count="2">
          <reference field="4294967294" count="1">
            <x v="7"/>
          </reference>
          <reference field="1" count="2" selected="0">
            <x v="12"/>
            <x v="13"/>
          </reference>
        </references>
      </pivotArea>
    </format>
    <format dxfId="1693">
      <pivotArea collapsedLevelsAreSubtotals="1" fieldPosition="0">
        <references count="2">
          <reference field="4294967294" count="1">
            <x v="7"/>
          </reference>
          <reference field="1" count="1" selected="0">
            <x v="15"/>
          </reference>
        </references>
      </pivotArea>
    </format>
    <format dxfId="1692">
      <pivotArea collapsedLevelsAreSubtotals="1" fieldPosition="0">
        <references count="2">
          <reference field="4294967294" count="1">
            <x v="7"/>
          </reference>
          <reference field="1" count="1" selected="0">
            <x v="17"/>
          </reference>
        </references>
      </pivotArea>
    </format>
    <format dxfId="1691">
      <pivotArea collapsedLevelsAreSubtotals="1" fieldPosition="0">
        <references count="2">
          <reference field="4294967294" count="1">
            <x v="7"/>
          </reference>
          <reference field="1" count="1" selected="0">
            <x v="23"/>
          </reference>
        </references>
      </pivotArea>
    </format>
    <format dxfId="1690">
      <pivotArea collapsedLevelsAreSubtotals="1" fieldPosition="0">
        <references count="2">
          <reference field="4294967294" count="1">
            <x v="7"/>
          </reference>
          <reference field="1" count="1" selected="0">
            <x v="20"/>
          </reference>
        </references>
      </pivotArea>
    </format>
    <format dxfId="1689">
      <pivotArea collapsedLevelsAreSubtotals="1" fieldPosition="0">
        <references count="2">
          <reference field="4294967294" count="1">
            <x v="7"/>
          </reference>
          <reference field="1" count="1" selected="0">
            <x v="28"/>
          </reference>
        </references>
      </pivotArea>
    </format>
    <format dxfId="1688">
      <pivotArea collapsedLevelsAreSubtotals="1" fieldPosition="0">
        <references count="2">
          <reference field="4294967294" count="1">
            <x v="7"/>
          </reference>
          <reference field="1" count="1" selected="0">
            <x v="31"/>
          </reference>
        </references>
      </pivotArea>
    </format>
    <format dxfId="1687">
      <pivotArea collapsedLevelsAreSubtotals="1" fieldPosition="0">
        <references count="2">
          <reference field="4294967294" count="1">
            <x v="7"/>
          </reference>
          <reference field="1" count="1" selected="0">
            <x v="36"/>
          </reference>
        </references>
      </pivotArea>
    </format>
    <format dxfId="1686">
      <pivotArea collapsedLevelsAreSubtotals="1" fieldPosition="0">
        <references count="2">
          <reference field="4294967294" count="1">
            <x v="7"/>
          </reference>
          <reference field="1" count="1" selected="0">
            <x v="64"/>
          </reference>
        </references>
      </pivotArea>
    </format>
    <format dxfId="1685">
      <pivotArea collapsedLevelsAreSubtotals="1" fieldPosition="0">
        <references count="2">
          <reference field="4294967294" count="1">
            <x v="7"/>
          </reference>
          <reference field="1" count="3" selected="0">
            <x v="66"/>
            <x v="67"/>
            <x v="68"/>
          </reference>
        </references>
      </pivotArea>
    </format>
    <format dxfId="1684">
      <pivotArea collapsedLevelsAreSubtotals="1" fieldPosition="0">
        <references count="2">
          <reference field="4294967294" count="1">
            <x v="7"/>
          </reference>
          <reference field="1" count="2" selected="0">
            <x v="70"/>
            <x v="71"/>
          </reference>
        </references>
      </pivotArea>
    </format>
    <format dxfId="1683">
      <pivotArea collapsedLevelsAreSubtotals="1" fieldPosition="0">
        <references count="2">
          <reference field="4294967294" count="1">
            <x v="7"/>
          </reference>
          <reference field="1" count="1" selected="0">
            <x v="75"/>
          </reference>
        </references>
      </pivotArea>
    </format>
    <format dxfId="1682">
      <pivotArea collapsedLevelsAreSubtotals="1" fieldPosition="0">
        <references count="2">
          <reference field="4294967294" count="1">
            <x v="7"/>
          </reference>
          <reference field="1" count="2" selected="0">
            <x v="79"/>
            <x v="80"/>
          </reference>
        </references>
      </pivotArea>
    </format>
    <format dxfId="1681">
      <pivotArea collapsedLevelsAreSubtotals="1" fieldPosition="0">
        <references count="2">
          <reference field="4294967294" count="1">
            <x v="7"/>
          </reference>
          <reference field="1" count="1" selected="0">
            <x v="84"/>
          </reference>
        </references>
      </pivotArea>
    </format>
    <format dxfId="1680">
      <pivotArea collapsedLevelsAreSubtotals="1" fieldPosition="0">
        <references count="2">
          <reference field="4294967294" count="1">
            <x v="7"/>
          </reference>
          <reference field="1" count="1" selected="0">
            <x v="90"/>
          </reference>
        </references>
      </pivotArea>
    </format>
    <format dxfId="1679">
      <pivotArea collapsedLevelsAreSubtotals="1" fieldPosition="0">
        <references count="2">
          <reference field="4294967294" count="1">
            <x v="7"/>
          </reference>
          <reference field="1" count="1" selected="0">
            <x v="92"/>
          </reference>
        </references>
      </pivotArea>
    </format>
    <format dxfId="1678">
      <pivotArea collapsedLevelsAreSubtotals="1" fieldPosition="0">
        <references count="2">
          <reference field="4294967294" count="1">
            <x v="7"/>
          </reference>
          <reference field="1" count="2" selected="0">
            <x v="94"/>
            <x v="95"/>
          </reference>
        </references>
      </pivotArea>
    </format>
    <format dxfId="1677">
      <pivotArea dataOnly="0" labelOnly="1" fieldPosition="0">
        <references count="1">
          <reference field="1" count="2">
            <x v="46"/>
            <x v="47"/>
          </reference>
        </references>
      </pivotArea>
    </format>
    <format dxfId="1676">
      <pivotArea dataOnly="0" labelOnly="1" fieldPosition="0">
        <references count="1">
          <reference field="1" count="2">
            <x v="53"/>
            <x v="54"/>
          </reference>
        </references>
      </pivotArea>
    </format>
    <format dxfId="1675">
      <pivotArea outline="0" collapsedLevelsAreSubtotals="1" fieldPosition="0">
        <references count="1">
          <reference field="1" count="0" selected="0"/>
        </references>
      </pivotArea>
    </format>
    <format dxfId="1674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04209C4-8D0C-4689-9770-B085FC1F9B18}" name="PivotTable1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G6" firstHeaderRow="0" firstDataRow="1" firstDataCol="1" rowPageCount="1" colPageCount="1"/>
  <pivotFields count="9">
    <pivotField axis="axisPage" showAll="0">
      <items count="10">
        <item x="7"/>
        <item x="5"/>
        <item x="4"/>
        <item x="2"/>
        <item x="3"/>
        <item x="6"/>
        <item x="1"/>
        <item x="0"/>
        <item x="8"/>
        <item t="default"/>
      </items>
    </pivotField>
    <pivotField axis="axisRow" showAll="0">
      <items count="5">
        <item x="0"/>
        <item m="1" x="3"/>
        <item x="1"/>
        <item h="1" x="2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1"/>
  </rowFields>
  <rowItems count="3">
    <i>
      <x/>
    </i>
    <i>
      <x v="2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0" hier="-1"/>
  </pageFields>
  <dataFields count="6">
    <dataField name="Sum of AST" fld="2" baseField="0" baseItem="0"/>
    <dataField name="Sum of CET/CEST" fld="3" baseField="0" baseItem="0"/>
    <dataField name="Sum of EST/EDT" fld="4" baseField="0" baseItem="0"/>
    <dataField name="Sum of HST" fld="5" baseField="0" baseItem="0"/>
    <dataField name="Sum of JST" fld="6" baseField="0" baseItem="0"/>
    <dataField name="Sum of PST/PDT " fld="7" baseField="0" baseItem="0"/>
  </dataFields>
  <formats count="8">
    <format dxfId="1673">
      <pivotArea grandRow="1" outline="0" collapsedLevelsAreSubtotals="1" fieldPosition="0"/>
    </format>
    <format dxfId="1672">
      <pivotArea dataOnly="0" labelOnly="1" grandRow="1" outline="0" fieldPosition="0"/>
    </format>
    <format dxfId="1671">
      <pivotArea collapsedLevelsAreSubtotals="1" fieldPosition="0">
        <references count="1">
          <reference field="1" count="0"/>
        </references>
      </pivotArea>
    </format>
    <format dxfId="1670">
      <pivotArea dataOnly="0" labelOnly="1" fieldPosition="0">
        <references count="1">
          <reference field="1" count="0"/>
        </references>
      </pivotArea>
    </format>
    <format dxfId="1669">
      <pivotArea grandRow="1" outline="0" collapsedLevelsAreSubtotals="1" fieldPosition="0"/>
    </format>
    <format dxfId="1668">
      <pivotArea dataOnly="0" labelOnly="1" grandRow="1" outline="0" fieldPosition="0"/>
    </format>
    <format dxfId="1667">
      <pivotArea grandRow="1" outline="0" collapsedLevelsAreSubtotals="1" fieldPosition="0"/>
    </format>
    <format dxfId="1666">
      <pivotArea dataOnly="0" labelOnly="1" grandRow="1" outline="0" fieldPosition="0"/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0B422C7-8178-4A6E-A6BE-A72526B3692B}" name="Table6" displayName="Table6" ref="A3:Y15" totalsRowShown="0">
  <autoFilter ref="A3:Y15" xr:uid="{90B422C7-8178-4A6E-A6BE-A72526B3692B}"/>
  <sortState xmlns:xlrd2="http://schemas.microsoft.com/office/spreadsheetml/2017/richdata2" ref="A4:Y15">
    <sortCondition ref="K3:K15"/>
  </sortState>
  <tableColumns count="25">
    <tableColumn id="1" xr3:uid="{3D421DA6-E286-4B67-8246-33AE44F93D2F}" name="Command"/>
    <tableColumn id="2" xr3:uid="{921A1960-5C85-47F7-9734-14D85D21B7C1}" name="Location/Course Title"/>
    <tableColumn id="3" xr3:uid="{91B0E971-9D0F-48B6-A535-6B82B0B56CC0}" name="Asbestos Inspector"/>
    <tableColumn id="4" xr3:uid="{4C4B0716-6733-4F34-9EA0-6EDBA6EAEB43}" name="Asbestos Inspector Refresher"/>
    <tableColumn id="5" xr3:uid="{E977899F-A981-4606-8EFC-275BA329972B}" name="Asbestos Management Planner"/>
    <tableColumn id="6" xr3:uid="{E3F8035B-0CAC-422B-A4E7-60BF4F0AF8A0}" name="Asbestos Management Planner Refresher"/>
    <tableColumn id="7" xr3:uid="{E593043C-2002-4307-8639-EAEF02A5620E}" name="Asbestos Supervisor Initial"/>
    <tableColumn id="8" xr3:uid="{623059BD-D728-4D4A-A480-8DC11999F6C7}" name="Asbestos Supervisor Refresher"/>
    <tableColumn id="9" xr3:uid="{1E03F65C-2F06-482A-88B6-F97E68D0DFF8}" name="Competent Person for Fall Protection Course"/>
    <tableColumn id="10" xr3:uid="{07D3A5B0-0954-40B1-A8B0-A0279674F14D}" name="Confined Space Safety "/>
    <tableColumn id="11" xr3:uid="{E83727AD-5754-4E02-88F9-29DD47D5CA2B}" name="Construction Safety Standards"/>
    <tableColumn id="12" xr3:uid="{E2AEE1AB-461C-4C4B-B2CC-7EBA492E6979}" name="Emergency Asbestos Response Team"/>
    <tableColumn id="13" xr3:uid="{88D2550D-8290-4EB1-B606-37851D750C83}" name="Facility Response Team Five Day"/>
    <tableColumn id="14" xr3:uid="{A4D018A5-676E-4DF3-960E-634DF99D82F2}" name="Facility Response Team Three Day"/>
    <tableColumn id="15" xr3:uid="{51959371-55AE-47CD-BB01-EC7069AC59EA}" name="Fire Protection &amp; Life Safety"/>
    <tableColumn id="16" xr3:uid="{822E7226-EA13-4D29-AD19-AD29B9833EC2}" name="Hazardous Substance Incident Response Management"/>
    <tableColumn id="17" xr3:uid="{70321E44-8FC6-45E3-B220-2F0497B8285E}" name="Hazardous Substance Incident Response Management  Refresher"/>
    <tableColumn id="18" xr3:uid="{6AC8210E-8DBE-47FB-9AF1-E64BE72B883D}" name="Incident Command System 300 "/>
    <tableColumn id="19" xr3:uid="{61262390-9253-4766-A970-CE0BB066ADF2}" name="Incident Command System 300 Refresher"/>
    <tableColumn id="20" xr3:uid="{14EAFBDA-7A22-44F4-BB3E-37469E8EADE4}" name="Incident Command System 400 "/>
    <tableColumn id="21" xr3:uid="{A14D8C2D-AA3E-4CAF-859D-13E872D3F02C}" name="Industrial Noise and Hearing Conservation Program"/>
    <tableColumn id="22" xr3:uid="{8AC9B75B-19E2-4D61-8988-C190853B6A4C}" name="Oil Hazardous Substance Spill Response Tabletop Exercise "/>
    <tableColumn id="23" xr3:uid="{9EF6440F-CE15-4612-B188-20BD6CE9C980}" name="Respiratory Protection Program Management"/>
    <tableColumn id="24" xr3:uid="{3A2B8E6F-9652-4E82-BECC-9FC509EBDCF7}" name="Tank Managers Course"/>
    <tableColumn id="25" xr3:uid="{72BD6C81-8E37-4164-BC51-BBC6EB7319E9}" name="Totals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5000000}" name="Table2" displayName="Table2" ref="B3:AN610" totalsRowCount="1" headerRowDxfId="1970" dataDxfId="1968" totalsRowDxfId="1967" headerRowBorderDxfId="1969">
  <autoFilter ref="B3:AN609" xr:uid="{00000000-0009-0000-0100-000002000000}"/>
  <sortState xmlns:xlrd2="http://schemas.microsoft.com/office/spreadsheetml/2017/richdata2" ref="B47:AN559">
    <sortCondition ref="G3:G609"/>
  </sortState>
  <tableColumns count="39">
    <tableColumn id="1" xr3:uid="{00000000-0010-0000-0500-000001000000}" name="Comments" totalsRowLabel="Total" dataDxfId="77" totalsRowDxfId="38"/>
    <tableColumn id="2" xr3:uid="{00000000-0010-0000-0500-000002000000}" name="Course Title" totalsRowFunction="count" dataDxfId="76" totalsRowDxfId="37"/>
    <tableColumn id="3" xr3:uid="{00000000-0010-0000-0500-000003000000}" name="CIN" dataDxfId="75" totalsRowDxfId="36">
      <calculatedColumnFormula>VLOOKUP(Table2[[#This Row],[Course Title]],'TSD-Data'!$A$1:$E$80,2,FALSE)</calculatedColumnFormula>
    </tableColumn>
    <tableColumn id="4" xr3:uid="{00000000-0010-0000-0500-000004000000}" name="CDP " dataDxfId="74" totalsRowDxfId="35">
      <calculatedColumnFormula>VLOOKUP(Table2[[#This Row],[Course Title]],'TSD-Data'!$A$1:$E$80,3,FALSE)</calculatedColumnFormula>
    </tableColumn>
    <tableColumn id="5" xr3:uid="{00000000-0010-0000-0500-000005000000}" name="Location" dataDxfId="73" totalsRowDxfId="34"/>
    <tableColumn id="6" xr3:uid="{00000000-0010-0000-0500-000006000000}" name="Start Date" dataDxfId="72" totalsRowDxfId="33"/>
    <tableColumn id="7" xr3:uid="{00000000-0010-0000-0500-000007000000}" name="End Date" dataDxfId="71" totalsRowDxfId="32"/>
    <tableColumn id="39" xr3:uid="{E04993C6-4294-4873-9FA6-31F315986D81}" name="Funding Status" dataDxfId="70" totalsRowDxfId="31"/>
    <tableColumn id="26" xr3:uid="{00000000-0010-0000-0500-00001A000000}" name="Resident Local Start Time of location" dataDxfId="69" totalsRowDxfId="30"/>
    <tableColumn id="32" xr3:uid="{00000000-0010-0000-0500-000020000000}" name="EST/EDT Local Live Session Start Time " dataDxfId="68" totalsRowDxfId="29"/>
    <tableColumn id="28" xr3:uid="{00000000-0010-0000-0500-00001C000000}" name="PST/PDT Local Live Session Start Time " dataDxfId="67" totalsRowDxfId="28"/>
    <tableColumn id="29" xr3:uid="{00000000-0010-0000-0500-00001D000000}" name="AST Local Live Session Start Time " dataDxfId="66" totalsRowDxfId="27"/>
    <tableColumn id="30" xr3:uid="{00000000-0010-0000-0500-00001E000000}" name="CET/CEST Local Live Session Start Time " dataDxfId="65" totalsRowDxfId="26"/>
    <tableColumn id="27" xr3:uid="{00000000-0010-0000-0500-00001B000000}" name="HST Local Live Session Start Time " dataDxfId="64" totalsRowDxfId="25"/>
    <tableColumn id="31" xr3:uid="{00000000-0010-0000-0500-00001F000000}" name="JST Local Live Session Start Time " dataDxfId="63" totalsRowDxfId="24"/>
    <tableColumn id="8" xr3:uid="{00000000-0010-0000-0500-000008000000}" name="Primary Instructor" dataDxfId="62" totalsRowDxfId="23"/>
    <tableColumn id="9" xr3:uid="{00000000-0010-0000-0500-000009000000}" name="Instructor 2" dataDxfId="61" totalsRowDxfId="22"/>
    <tableColumn id="37" xr3:uid="{6148186B-A7FB-47A2-97C4-82AF31060797}" name=" Support" dataDxfId="60" totalsRowDxfId="21"/>
    <tableColumn id="22" xr3:uid="{00000000-0010-0000-0500-000016000000}" name="Quotas" totalsRowFunction="sum" dataDxfId="59" totalsRowDxfId="20">
      <calculatedColumnFormula>VLOOKUP(Table2[[#This Row],[Course Title]],'TSD-Data'!$A$1:$E$80,4,FALSE)</calculatedColumnFormula>
    </tableColumn>
    <tableColumn id="11" xr3:uid="{00000000-0010-0000-0500-00000B000000}" name="Course Length (Hours)" totalsRowFunction="sum" dataDxfId="58" totalsRowDxfId="19">
      <calculatedColumnFormula>VLOOKUP(Table2[[#This Row],[Course Title]],'TSD-Data'!$A$1:$F$80,6,FALSE)</calculatedColumnFormula>
    </tableColumn>
    <tableColumn id="10" xr3:uid="{00000000-0010-0000-0500-00000A000000}" name="Course Length (Days)" totalsRowFunction="sum" dataDxfId="57" totalsRowDxfId="18">
      <calculatedColumnFormula>VLOOKUP(Table2[[#This Row],[Course Title]],'TSD-Data'!$A$1:$F$80,5,FALSE)</calculatedColumnFormula>
    </tableColumn>
    <tableColumn id="12" xr3:uid="{21BFFE1C-0DFD-4247-9F4C-40FE9E4167CB}" name="FY26 Need" dataDxfId="56" totalsRowDxfId="17"/>
    <tableColumn id="13" xr3:uid="{A721A77A-8D69-4276-9351-50C0DE5E1918}" name="Registered" totalsRowFunction="sum" dataDxfId="55" totalsRowDxfId="16"/>
    <tableColumn id="14" xr3:uid="{59F4F846-4AAC-4B1E-BACA-9E42603D1953}" name="Waitlisted" totalsRowLabel="1" dataDxfId="54" totalsRowDxfId="15"/>
    <tableColumn id="16" xr3:uid="{00000000-0010-0000-0500-000010000000}" name="Graduates" totalsRowFunction="sum" dataDxfId="53" totalsRowDxfId="14"/>
    <tableColumn id="17" xr3:uid="{00000000-0010-0000-0500-000011000000}" name="Fail" totalsRowFunction="sum" dataDxfId="52" totalsRowDxfId="13"/>
    <tableColumn id="18" xr3:uid="{00000000-0010-0000-0500-000012000000}" name="No Shows" totalsRowFunction="sum" dataDxfId="51" totalsRowDxfId="12"/>
    <tableColumn id="19" xr3:uid="{00000000-0010-0000-0500-000013000000}" name="Walk-ins" totalsRowFunction="sum" dataDxfId="50" totalsRowDxfId="11"/>
    <tableColumn id="20" xr3:uid="{00000000-0010-0000-0500-000014000000}" name="Foreign Grads" totalsRowFunction="sum" dataDxfId="49" totalsRowDxfId="10"/>
    <tableColumn id="21" xr3:uid="{00000000-0010-0000-0500-000015000000}" name="Roster Received by" dataDxfId="48" totalsRowDxfId="9"/>
    <tableColumn id="23" xr3:uid="{00000000-0010-0000-0500-000017000000}" name="Roster Due" dataDxfId="47" totalsRowDxfId="8">
      <calculatedColumnFormula>Table2[[#This Row],[End Date]]+2-TODAY()</calculatedColumnFormula>
    </tableColumn>
    <tableColumn id="24" xr3:uid="{00000000-0010-0000-0500-000018000000}" name="Roster Status" dataDxfId="46" totalsRowDxfId="7">
      <calculatedColumnFormula>IF(ISBLANK(Table2[[#This Row],[Roster Received by]]),1,0)</calculatedColumnFormula>
    </tableColumn>
    <tableColumn id="33" xr3:uid="{36BCB078-BF54-4A0A-ACCB-03EDF08FCA74}" name="Remaining Courses" dataDxfId="45" totalsRowDxfId="6">
      <calculatedColumnFormula>IF(Table2[[#This Row],[Start Date]]&gt;TODAY(),1,)</calculatedColumnFormula>
    </tableColumn>
    <tableColumn id="36" xr3:uid="{A78DB514-4877-4DC5-964C-04D2F85726FB}" name="1" dataDxfId="44" totalsRowDxfId="5">
      <calculatedColumnFormula>IF(ISBLANK(Table2[[#This Row],[Primary Instructor]]),0,1)</calculatedColumnFormula>
    </tableColumn>
    <tableColumn id="35" xr3:uid="{8CE0A7B7-E4D7-4F25-B570-80DA9EC4BF30}" name="2" dataDxfId="43" totalsRowDxfId="4">
      <calculatedColumnFormula>IF(ISBLANK(Table2[[#This Row],[Instructor 2]]),0,1)</calculatedColumnFormula>
    </tableColumn>
    <tableColumn id="34" xr3:uid="{0CD40F24-74B8-40FD-886D-07A1C314B27B}" name="Total" dataDxfId="42" totalsRowDxfId="3">
      <calculatedColumnFormula>Table2[[#This Row],[Course Length (Hours)]]/(SUM(Table2[[#This Row],[1]:[2]]))</calculatedColumnFormula>
    </tableColumn>
    <tableColumn id="25" xr3:uid="{00000000-0010-0000-0500-000019000000}" name="Open Quotas" dataDxfId="41" totalsRowDxfId="2"/>
    <tableColumn id="15" xr3:uid="{F566B582-F1BF-4E5C-9C87-144958A9FE2C}" name="QTR" dataDxfId="40" totalsRowDxfId="1"/>
    <tableColumn id="38" xr3:uid="{3E0E683E-3ACA-430F-8A2E-F2D6B9E5099E}" name="Department" dataDxfId="39" totalsRowDxfId="0">
      <calculatedColumnFormula>VLOOKUP(Table2[[#This Row],[Course Title]],'TSD-Data'!$A$1:$G$80,7,FALSE)</calculatedColumnFormula>
    </tableColumn>
  </tableColumns>
  <tableStyleInfo name="TableStyleMedium15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63242128-953E-4481-9593-EBFC69CE1FCF}" name="Table119" displayName="Table119" ref="A1:AX61" totalsRowCount="1" headerRowDxfId="1966" dataDxfId="1964" totalsRowDxfId="1962" headerRowBorderDxfId="1965" tableBorderDxfId="1963" totalsRowBorderDxfId="1961">
  <autoFilter ref="A1:AX60" xr:uid="{00000000-0009-0000-0100-000001000000}"/>
  <sortState xmlns:xlrd2="http://schemas.microsoft.com/office/spreadsheetml/2017/richdata2" ref="A2:AX60">
    <sortCondition ref="A1:A60"/>
  </sortState>
  <tableColumns count="50">
    <tableColumn id="1" xr3:uid="{5DE21DDE-1C89-495B-8381-07C199290CB1}" name="Course" totalsRowLabel="Total" dataDxfId="1960" totalsRowDxfId="1959"/>
    <tableColumn id="21" xr3:uid="{7D518124-F71D-44BD-A2C2-45CBDDD6EA91}" name="Dept" dataDxfId="1958" totalsRowDxfId="1957">
      <calculatedColumnFormula>VLOOKUP(Table119[[#This Row],[Course]],'TSD-Data'!$A$1:$G$95,7,FALSE)</calculatedColumnFormula>
    </tableColumn>
    <tableColumn id="8" xr3:uid="{F3B2F834-811A-407B-BC5D-6D64DFD9AE2F}" name="Format" dataDxfId="1956" totalsRowDxfId="1955"/>
    <tableColumn id="2" xr3:uid="{BC8FED00-26F2-4309-9D22-7CB9C96E2B49}" name="CIN" dataDxfId="1954" totalsRowDxfId="1953">
      <calculatedColumnFormula>VLOOKUP(Table119[[#This Row],[Course]],'TSD-Data'!$A$1:$G$90,2,FALSE)</calculatedColumnFormula>
    </tableColumn>
    <tableColumn id="3" xr3:uid="{DD39FB7D-7198-4FAE-B379-5545F294A3F4}" name="CDP" dataDxfId="1952" totalsRowDxfId="1951">
      <calculatedColumnFormula>VLOOKUP(Table119[[#This Row],[Course]],'TSD-Data'!$A$1:$G$90,3,FALSE)</calculatedColumnFormula>
    </tableColumn>
    <tableColumn id="43" xr3:uid="{ABFD1430-827C-4B99-A947-C8A132C1841B}" name="FY26 FLT Quota Need" totalsRowFunction="sum" dataDxfId="1950" totalsRowDxfId="1949"/>
    <tableColumn id="46" xr3:uid="{21D39B7F-4426-4129-AC71-EE401668ED52}" name="FY26 Quota Per course" dataDxfId="1948" totalsRowDxfId="1947">
      <calculatedColumnFormula>VLOOKUP(Table119[[#This Row],[Course]],'TSD-Data'!$A$1:$G$90,4,FALSE)</calculatedColumnFormula>
    </tableColumn>
    <tableColumn id="45" xr3:uid="{8924EB65-25ED-4AB8-9D4A-DD652A32C090}" name="FY26 Courses Needed" totalsRowFunction="sum" dataDxfId="1946" totalsRowDxfId="1945">
      <calculatedColumnFormula>Table119[[#This Row],[FY26 FLT Quota Need]]/Table119[[#This Row],[FY26 Quota Per course]]</calculatedColumnFormula>
    </tableColumn>
    <tableColumn id="54" xr3:uid="{D83B7A93-2DDF-42A8-A8C4-78DF09943966}" name="FY26 Courses Needed Round UP" totalsRowFunction="sum" dataDxfId="1944" totalsRowDxfId="1943">
      <calculatedColumnFormula>ROUNDUP(Table119[[#This Row],[FY26 Courses Needed]],0)</calculatedColumnFormula>
    </tableColumn>
    <tableColumn id="53" xr3:uid="{770F04C8-A8D6-44D0-9519-B966D0492EBF}" name="FY26 NSETC Course # projections" totalsRowFunction="sum" dataDxfId="1942" totalsRowDxfId="1941"/>
    <tableColumn id="55" xr3:uid="{D5F732EB-4957-4CC4-A624-2F748A01F6BD}" name="FY26 Hours Per Course" dataDxfId="1940" totalsRowDxfId="1939">
      <calculatedColumnFormula>VLOOKUP(Table119[[#This Row],[Course]],'TSD-Data'!$A$1:$G$90,6,FALSE)</calculatedColumnFormula>
    </tableColumn>
    <tableColumn id="56" xr3:uid="{1B2E8EAC-2E53-4024-8AA5-4B950FD79700}" name="FY26 Total Hours to instruct" dataDxfId="1938" totalsRowDxfId="1937">
      <calculatedColumnFormula>Table119[[#This Row],[FY26 NSETC Course '# projections]]*Table119[[#This Row],[FY26 Hours Per Course]]</calculatedColumnFormula>
    </tableColumn>
    <tableColumn id="57" xr3:uid="{F7D71315-EB08-4C05-A187-629D9218E586}" name="FY 26 NSETC FLT Needs deicit" dataDxfId="1936" totalsRowDxfId="1935">
      <calculatedColumnFormula>Table119[[#This Row],[FY26 NSETC Course '# projections]]-Table119[[#This Row],[FY26 Courses Needed Round UP]]</calculatedColumnFormula>
    </tableColumn>
    <tableColumn id="44" xr3:uid="{FC5BEF44-61B0-4AC2-99BF-E8B8C76B9F92}" name="FY26 NSETC % towards fleet need" dataDxfId="1934" totalsRowDxfId="1933" dataCellStyle="Percent">
      <calculatedColumnFormula>IFERROR(J2*G2/F2, "N/A")</calculatedColumnFormula>
    </tableColumn>
    <tableColumn id="39" xr3:uid="{7277C6C3-2497-49CC-9EF5-28D4F7649E86}" name="Column3" dataDxfId="1932" totalsRowDxfId="1931"/>
    <tableColumn id="48" xr3:uid="{2C6A8E64-35DF-44BE-A03C-42E6A6401C2E}" name="FY25 Total Courses" totalsRowFunction="sum" dataDxfId="1930" totalsRowDxfId="1929"/>
    <tableColumn id="5" xr3:uid="{3994B820-48A3-4993-9B89-699336C710C3}" name="FY25 Quota Per Course" totalsRowFunction="sum" dataDxfId="1928" totalsRowDxfId="1927"/>
    <tableColumn id="49" xr3:uid="{17837056-4605-469B-80E9-9765A315EC42}" name="FY25 Grads" totalsRowFunction="sum" dataDxfId="1926" totalsRowDxfId="1925"/>
    <tableColumn id="50" xr3:uid="{BF02E37F-6716-4062-AF32-673CEC977920}" name="FY25 Fails" totalsRowFunction="sum" dataDxfId="1924" totalsRowDxfId="1923"/>
    <tableColumn id="59" xr3:uid="{C340754F-EA6C-4CBD-8542-8520C67D4CF2}" name="FY25 No Shows" totalsRowFunction="sum" dataDxfId="1922" totalsRowDxfId="1921"/>
    <tableColumn id="51" xr3:uid="{6BF3AFFA-7820-4914-AFC6-2FA9EC36878E}" name="FY25 Average class size" dataDxfId="1920" totalsRowDxfId="1919">
      <calculatedColumnFormula>(Table119[[#This Row],[FY25 Grads]]+Table119[[#This Row],[FY25 Fails]])/Table119[[#This Row],[FY25 Total Courses]]</calculatedColumnFormula>
    </tableColumn>
    <tableColumn id="52" xr3:uid="{35A864B4-8265-4B85-B6CF-1C2B3E6C3178}" name="FY25 FLT Quota Need" dataDxfId="1918" totalsRowDxfId="1917"/>
    <tableColumn id="58" xr3:uid="{EDB1328E-4BA6-45DA-ACC9-D7D47C8EC73A}" name="FY25 NSETC % towards fleet need" dataDxfId="1916" totalsRowDxfId="1915" dataCellStyle="Percent">
      <calculatedColumnFormula>IFERROR((R2+S2)/V2, "N/A")</calculatedColumnFormula>
    </tableColumn>
    <tableColumn id="9" xr3:uid="{7DC90EE6-484C-4D3C-A87D-C77E0D4FF30B}" name="Quotas: All Data" totalsRowFunction="sum" dataDxfId="1914" totalsRowDxfId="1913"/>
    <tableColumn id="10" xr3:uid="{187D4068-685C-4B68-A4BF-8057A32E4490}" name="Courses Needed: All Data" totalsRowFunction="sum" dataDxfId="1912" totalsRowDxfId="1911"/>
    <tableColumn id="20" xr3:uid="{731D765C-39ED-4A42-9196-4285D832B23C}" name="Column1" dataDxfId="1910" totalsRowDxfId="1909"/>
    <tableColumn id="11" xr3:uid="{B3131F06-2E27-42E2-9466-B5D7F0CC93D2}" name="FY24 Total Courses" totalsRowFunction="custom" dataDxfId="1908" totalsRowDxfId="1907">
      <totalsRowFormula>SUM(AA2:AA60)</totalsRowFormula>
    </tableColumn>
    <tableColumn id="16" xr3:uid="{13EB8F2E-5666-4E33-B48E-2780DBCE33CE}" name="FY24 Quotas Per Course" totalsRowFunction="custom" dataDxfId="1906" totalsRowDxfId="1905">
      <totalsRowFormula>SUM(AB2:AB60)</totalsRowFormula>
    </tableColumn>
    <tableColumn id="38" xr3:uid="{8CD6012D-A593-45C7-90DD-B4AE712F75BC}" name="FY24 Grads" totalsRowFunction="custom" dataDxfId="1904" totalsRowDxfId="1903">
      <totalsRowFormula>SUM(AC2:AC60)</totalsRowFormula>
    </tableColumn>
    <tableColumn id="37" xr3:uid="{70A92902-3F5D-450C-922E-438F3D54263D}" name="FY24 Fails" totalsRowFunction="custom" dataDxfId="1902" totalsRowDxfId="1901">
      <totalsRowFormula>SUBTOTAL(109,AD2:AD60)</totalsRowFormula>
    </tableColumn>
    <tableColumn id="17" xr3:uid="{0D1DDA85-393C-4E5E-8D27-C30215363DD2}" name="FY24 Average class size" dataDxfId="1900" totalsRowDxfId="1899">
      <calculatedColumnFormula>AVERAGE(AC2+AD2)/AA2</calculatedColumnFormula>
    </tableColumn>
    <tableColumn id="18" xr3:uid="{A28CC44C-4BE5-40C6-94D1-2AEB279C96F5}" name="FY24 FLT Quota Need" totalsRowFunction="custom" dataDxfId="1898" totalsRowDxfId="1897">
      <totalsRowFormula>SUM(AF2:AF60)</totalsRowFormula>
    </tableColumn>
    <tableColumn id="19" xr3:uid="{5B96E9E9-BD81-4DA8-A884-DDB65095A7DD}" name="FY24 NSETC % towards fleet need" dataDxfId="1896" totalsRowDxfId="1895">
      <calculatedColumnFormula>SUM(AC2+AD2)/AF2</calculatedColumnFormula>
    </tableColumn>
    <tableColumn id="31" xr3:uid="{D2FBB141-7AD4-4296-ADB7-297841E66BDC}" name="Column2" dataDxfId="1894" totalsRowDxfId="1893"/>
    <tableColumn id="29" xr3:uid="{1A2E5926-4A8C-4A4F-8B7A-882AA94DBB96}" name="FY23 Total Courses" totalsRowFunction="custom" dataDxfId="1892" totalsRowDxfId="1891">
      <totalsRowFormula>SUM(AI2:AI60)</totalsRowFormula>
    </tableColumn>
    <tableColumn id="15" xr3:uid="{3CA16644-1596-48DF-8795-C09EE3F42835}" name="FY23 Quotas Per Course" totalsRowFunction="custom" dataDxfId="1890" totalsRowDxfId="1889">
      <totalsRowFormula>SUM(AJ2:AJ60)</totalsRowFormula>
    </tableColumn>
    <tableColumn id="14" xr3:uid="{E40F803B-86F2-4FC2-85D6-2E3D3ADB91F8}" name="FY23 Grads" totalsRowFunction="custom" dataDxfId="1888" totalsRowDxfId="1887">
      <totalsRowFormula>SUM(AK2:AK60)</totalsRowFormula>
    </tableColumn>
    <tableColumn id="13" xr3:uid="{A9107747-AD8A-445A-9D63-B0B3C38DE30B}" name="FY23 Fails" totalsRowFunction="custom" dataDxfId="1886" totalsRowDxfId="1885">
      <totalsRowFormula>SUM(AT2:AT60)</totalsRowFormula>
    </tableColumn>
    <tableColumn id="12" xr3:uid="{3697AB69-AE05-4886-A4C9-0DBEA3AAD7E9}" name="FY23 Average class size" dataDxfId="1884" totalsRowDxfId="1883">
      <calculatedColumnFormula>AVERAGE(AK2+AL2)/AI2</calculatedColumnFormula>
    </tableColumn>
    <tableColumn id="34" xr3:uid="{C8DD9B6C-714F-4936-818B-2BE2CF259193}" name="FY23 FLT Quota Need" totalsRowFunction="custom" dataDxfId="1882" totalsRowDxfId="1881">
      <totalsRowFormula>SUM(AN2:AN60)</totalsRowFormula>
    </tableColumn>
    <tableColumn id="33" xr3:uid="{6225ABCC-E99B-4BC6-BBB1-DDFB664A79F2}" name="FY23 NSETC % towards fleet need" dataDxfId="1880" totalsRowDxfId="1879">
      <calculatedColumnFormula>SUM(AK2+AL2)/AN2</calculatedColumnFormula>
    </tableColumn>
    <tableColumn id="32" xr3:uid="{412B0686-B577-435C-9FC8-36B7E40E847A}" name="Column122" dataDxfId="1878" totalsRowDxfId="1877"/>
    <tableColumn id="30" xr3:uid="{833248E2-59ED-4580-ABF8-D94E79AEC124}" name="FY22 Total Courses" totalsRowFunction="sum" dataDxfId="1876" totalsRowDxfId="1875"/>
    <tableColumn id="28" xr3:uid="{846EB57B-B4C1-4EBB-A5E7-5E3646F4D947}" name="FY22 Quotas Per Course" totalsRowFunction="custom" dataDxfId="1874" totalsRowDxfId="1873">
      <totalsRowFormula>SUM(AR2:AR60)</totalsRowFormula>
    </tableColumn>
    <tableColumn id="24" xr3:uid="{3F9FA3D9-5BF6-4498-A5B8-8DC7CD473AA0}" name="FY22 Grads" totalsRowFunction="custom" dataDxfId="1872" totalsRowDxfId="1871">
      <totalsRowFormula>SUM(AS2:AS60)</totalsRowFormula>
    </tableColumn>
    <tableColumn id="36" xr3:uid="{2D07C787-7F35-4A4D-B418-64FD91BA87C4}" name="FY22 Fails" totalsRowFunction="custom" dataDxfId="1870" totalsRowDxfId="1869">
      <totalsRowFormula>SUM(AT2:AT60)</totalsRowFormula>
    </tableColumn>
    <tableColumn id="35" xr3:uid="{5415F141-01B5-4BCF-94B0-38968F0BCB8F}" name="FY22 Average class size" dataDxfId="1868" totalsRowDxfId="1867"/>
    <tableColumn id="23" xr3:uid="{AA499A51-E86B-4C1E-A74D-930978F05062}" name="FY22 FLT Quota Need" totalsRowFunction="custom" dataDxfId="1866" totalsRowDxfId="1865">
      <totalsRowFormula>SUM(AV2:AV60)</totalsRowFormula>
    </tableColumn>
    <tableColumn id="22" xr3:uid="{8096F8D5-5E5C-4D57-BA74-418CF207EA3D}" name="FY22 NSETC % towards fleet need" dataDxfId="1864" totalsRowDxfId="1863">
      <calculatedColumnFormula>SUM(AS2+AT2)/AV2</calculatedColumnFormula>
    </tableColumn>
    <tableColumn id="42" xr3:uid="{D768DDF1-FBB8-4B0B-AC5C-D6932F878BB2}" name="Course2" totalsRowLabel="Total" dataDxfId="1862" totalsRowDxfId="1861"/>
  </tableColumns>
  <tableStyleInfo name="TableStyleLight8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99537816-584E-45BC-8B79-A6E26D29FB1D}" name="Table13" displayName="Table13" ref="A3:Y4" totalsRowShown="0">
  <autoFilter ref="A3:Y4" xr:uid="{99537816-584E-45BC-8B79-A6E26D29FB1D}"/>
  <sortState xmlns:xlrd2="http://schemas.microsoft.com/office/spreadsheetml/2017/richdata2" ref="A4:Y4">
    <sortCondition ref="N3:N4"/>
  </sortState>
  <tableColumns count="25">
    <tableColumn id="1" xr3:uid="{0D4818A8-0613-4907-83B7-3351C78B3D36}" name="Command"/>
    <tableColumn id="2" xr3:uid="{3E296298-B26A-46E0-87D8-EB8F4C7A42B5}" name="Location/Course Title"/>
    <tableColumn id="3" xr3:uid="{76F957E1-68DE-4E1B-9579-70F51AC117FF}" name="Asbestos Inspector"/>
    <tableColumn id="4" xr3:uid="{F51396D4-E231-4BB6-98AD-F19562E0F26F}" name="Asbestos Inspector Refresher"/>
    <tableColumn id="5" xr3:uid="{19C52C31-B759-4DB0-9F4D-CC86F5D7EEF8}" name="Asbestos Management Planner"/>
    <tableColumn id="6" xr3:uid="{CCBE4131-BBCE-4A37-BC7A-28C47A25CDEB}" name="Asbestos Management Planner Refresher"/>
    <tableColumn id="7" xr3:uid="{B308F5D2-4789-40B7-9644-1FA1D58C1F75}" name="Asbestos Supervisor Initial"/>
    <tableColumn id="8" xr3:uid="{6777534C-018B-4C2D-8AF0-402140A8BBB7}" name="Asbestos Supervisor Refresher"/>
    <tableColumn id="9" xr3:uid="{DDD20D20-C9BE-4EB2-B41B-7992D8E01D09}" name="Competent Person for Fall Protection Course"/>
    <tableColumn id="10" xr3:uid="{1EC46675-1198-4EB4-AA7E-3353BD861F30}" name="Confined Space Safety "/>
    <tableColumn id="11" xr3:uid="{8EEA679E-A7CA-46ED-87E0-13F347667290}" name="Construction Safety Standards"/>
    <tableColumn id="12" xr3:uid="{98842E77-2B4B-48D1-93D2-4E71D033D94F}" name="Emergency Asbestos Response Team"/>
    <tableColumn id="13" xr3:uid="{BC636471-49A6-4D1E-94A8-14166515797E}" name="Facility Response Team Five Day"/>
    <tableColumn id="14" xr3:uid="{AF9AB3CD-EC8A-4D94-A813-F8714ECCBFD7}" name="Facility Response Team Three Day"/>
    <tableColumn id="15" xr3:uid="{B84476DD-4B47-475C-AF48-FA1E9843C641}" name="Fire Protection &amp; Life Safety"/>
    <tableColumn id="16" xr3:uid="{A46108EB-19C8-4B7B-BBD9-2FBDAA4F47BE}" name="Hazardous Substance Incident Response Management"/>
    <tableColumn id="17" xr3:uid="{781AF24F-FC75-4ACD-92EB-FF2059E9F1BB}" name="Hazardous Substance Incident Response Management  Refresher"/>
    <tableColumn id="18" xr3:uid="{7685E2D4-5238-46C6-B9AB-59480B4EE57A}" name="Incident Command System 300 "/>
    <tableColumn id="19" xr3:uid="{12AB6EEF-C6F0-4921-929F-B11CEC4CFC2C}" name="Incident Command System 300 Refresher"/>
    <tableColumn id="20" xr3:uid="{99FCD6E1-6374-4629-A850-A81E4F9583EC}" name="Incident Command System 400 "/>
    <tableColumn id="21" xr3:uid="{5EC60A3E-AE28-4C94-8EC9-28C2746575E9}" name="Industrial Noise and Hearing Conservation Program"/>
    <tableColumn id="22" xr3:uid="{C7C229FC-99B3-4A7F-83C4-AF2895FE22D6}" name="Oil Hazardous Substance Spill Response Tabletop Exercise "/>
    <tableColumn id="23" xr3:uid="{F26C1772-6DFA-406F-8692-C0828AA48BA8}" name="Respiratory Protection Program Management"/>
    <tableColumn id="24" xr3:uid="{07574640-39C6-4737-BBEF-8382785FD841}" name="Tank Managers Course"/>
    <tableColumn id="25" xr3:uid="{7F612C68-7104-44E4-A5E3-82E823CA10C6}" name="Totals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319E4743-4130-4D92-AD83-3A3839BE8249}" name="Table14" displayName="Table14" ref="A3:Y16" totalsRowShown="0">
  <autoFilter ref="A3:Y16" xr:uid="{319E4743-4130-4D92-AD83-3A3839BE8249}"/>
  <sortState xmlns:xlrd2="http://schemas.microsoft.com/office/spreadsheetml/2017/richdata2" ref="A4:Y16">
    <sortCondition ref="I3:I16"/>
  </sortState>
  <tableColumns count="25">
    <tableColumn id="1" xr3:uid="{A5FE80CB-5560-4C47-A00B-129469F88A33}" name="Command"/>
    <tableColumn id="2" xr3:uid="{4596AE97-1666-4502-9BFC-26875C2933EF}" name="Location/Course Title"/>
    <tableColumn id="3" xr3:uid="{0A6DED73-A464-40F7-825B-2B19F1192CAC}" name="Asbestos Inspector"/>
    <tableColumn id="4" xr3:uid="{977083E6-823D-4C67-83FD-409241327E21}" name="Asbestos Inspector Refresher"/>
    <tableColumn id="5" xr3:uid="{81AD8009-ED8C-430A-9D1F-A56E020BA073}" name="Asbestos Management Planner"/>
    <tableColumn id="6" xr3:uid="{E3F31221-79EC-4006-94F5-3E009DC99344}" name="Asbestos Management Planner Refresher"/>
    <tableColumn id="7" xr3:uid="{048E75A7-82F0-4F16-9BA1-8E2E70B5C6D7}" name="Asbestos Supervisor Initial"/>
    <tableColumn id="8" xr3:uid="{D970964B-FC1B-44FA-9DD1-9B52B0E0464B}" name="Asbestos Supervisor Refresher"/>
    <tableColumn id="9" xr3:uid="{6B5273FF-9DA0-4D9B-84E8-B9DB019E5C6C}" name="Competent Person for Fall Protection Course"/>
    <tableColumn id="10" xr3:uid="{34E3ED6A-8CA2-4B4B-AC72-FFD010E2A7CC}" name="Confined Space Safety "/>
    <tableColumn id="11" xr3:uid="{7421D481-FBB0-4A8E-950A-C0B01107F651}" name="Construction Safety Standards"/>
    <tableColumn id="12" xr3:uid="{A8943F39-2078-4531-A2C3-E2047D05EE3C}" name="Emergency Asbestos Response Team"/>
    <tableColumn id="13" xr3:uid="{FB978321-6DC7-45CD-A2B4-333887E8A2C4}" name="Facility Response Team Five Day"/>
    <tableColumn id="14" xr3:uid="{03BA62D7-3518-463E-9361-4B78AE033671}" name="Facility Response Team Three Day"/>
    <tableColumn id="15" xr3:uid="{6CD1C29A-BA47-4AD7-9162-DDDE144EAF91}" name="Fire Protection &amp; Life Safety"/>
    <tableColumn id="16" xr3:uid="{F6EE51FA-C165-4F30-8B29-25D9DF49CA13}" name="Hazardous Substance Incident Response Management"/>
    <tableColumn id="17" xr3:uid="{EFA455DC-434A-4E99-AF0C-FCE578842501}" name="Hazardous Substance Incident Response Management  Refresher"/>
    <tableColumn id="18" xr3:uid="{DAA27C04-0E11-4A71-85C9-23CB99C535BD}" name="Incident Command System 300 "/>
    <tableColumn id="19" xr3:uid="{35577BE4-B23C-41F2-B9A3-056E45440D68}" name="Incident Command System 300 Refresher"/>
    <tableColumn id="20" xr3:uid="{74577DCC-3DA5-4A1B-8E9A-499E7A3196EA}" name="Incident Command System 400 "/>
    <tableColumn id="21" xr3:uid="{0920A710-57DA-4286-B79D-B958778CFFD2}" name="Industrial Noise and Hearing Conservation Program"/>
    <tableColumn id="22" xr3:uid="{E754A833-4F7A-4AF1-91B9-6A8663C5FF26}" name="Oil Hazardous Substance Spill Response Tabletop Exercise "/>
    <tableColumn id="23" xr3:uid="{6D230E40-FB5B-4E6B-AA33-FAF6E2788EBC}" name="Respiratory Protection Program Management"/>
    <tableColumn id="24" xr3:uid="{6B9BA8DA-F822-4334-96C8-ECA995DA2936}" name="Tank Managers Course"/>
    <tableColumn id="25" xr3:uid="{6F2BDA51-1E8E-4E2B-9F10-C95DB5246AAF}" name="Totals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5E9D6244-F96B-4F9C-8F2D-EEB8EC6EBEEE}" name="Table15" displayName="Table15" ref="A3:Y16" totalsRowShown="0">
  <autoFilter ref="A3:Y16" xr:uid="{5E9D6244-F96B-4F9C-8F2D-EEB8EC6EBEEE}"/>
  <sortState xmlns:xlrd2="http://schemas.microsoft.com/office/spreadsheetml/2017/richdata2" ref="A4:Y16">
    <sortCondition ref="I3:I16"/>
  </sortState>
  <tableColumns count="25">
    <tableColumn id="1" xr3:uid="{C4EBF9C7-B051-49F0-8408-CAEEA8212BD6}" name="Command"/>
    <tableColumn id="2" xr3:uid="{2D2E791E-042D-46C5-AC8F-2523E070747A}" name="Location/Course Title"/>
    <tableColumn id="3" xr3:uid="{EFDC29C2-A34F-4503-AA89-2894BFD6BF80}" name="Asbestos Inspector"/>
    <tableColumn id="4" xr3:uid="{65888510-5CA7-43B6-AB85-2346DE638340}" name="Asbestos Inspector Refresher"/>
    <tableColumn id="5" xr3:uid="{8B60FD59-75A5-41EA-8F7A-38BDA0A0908E}" name="Asbestos Management Planner"/>
    <tableColumn id="6" xr3:uid="{60BBD7DC-B103-44B4-923C-A63B11DC90F0}" name="Asbestos Management Planner Refresher"/>
    <tableColumn id="7" xr3:uid="{09CDA64D-3CAF-45FC-BBF8-A63A9D54FAC1}" name="Asbestos Supervisor Initial"/>
    <tableColumn id="8" xr3:uid="{D7B3D767-693C-410C-B96D-A0E1885303D2}" name="Asbestos Supervisor Refresher"/>
    <tableColumn id="9" xr3:uid="{975A4CEF-F613-498B-87B9-AFA977BDE54C}" name="Competent Person for Fall Protection Course"/>
    <tableColumn id="10" xr3:uid="{815D23B9-8A90-4202-8197-53CEB9630EBA}" name="Confined Space Safety "/>
    <tableColumn id="11" xr3:uid="{01731274-14CE-4FDE-8DEE-EFAB0D7156AF}" name="Construction Safety Standards"/>
    <tableColumn id="12" xr3:uid="{04664E09-1A05-4E17-AE0B-CEBEC80F3B6C}" name="Emergency Asbestos Response Team"/>
    <tableColumn id="13" xr3:uid="{A9EABD99-692A-45CF-8CE8-17449998EC01}" name="Facility Response Team Five Day"/>
    <tableColumn id="14" xr3:uid="{FB263A2B-4A4B-4144-9DE3-1F99A95D6721}" name="Facility Response Team Three Day"/>
    <tableColumn id="15" xr3:uid="{EE9B185A-7D0A-4156-801A-5A4CF101A7B4}" name="Fire Protection &amp; Life Safety"/>
    <tableColumn id="16" xr3:uid="{3B475B83-A950-4A1F-A3AF-5BB6EA781357}" name="Hazardous Substance Incident Response Management"/>
    <tableColumn id="17" xr3:uid="{AF267EB6-916A-4F70-92D8-0E75CD538506}" name="Hazardous Substance Incident Response Management  Refresher"/>
    <tableColumn id="18" xr3:uid="{A91FC45C-EE33-400C-A793-6CE8091E22BF}" name="Incident Command System 300 "/>
    <tableColumn id="19" xr3:uid="{A92E60F2-97AC-49E4-B1CF-7F5F1FBD8FDB}" name="Incident Command System 300 Refresher"/>
    <tableColumn id="20" xr3:uid="{CBB9CB94-EB74-4B5A-B156-8017E4A8F9AD}" name="Incident Command System 400 "/>
    <tableColumn id="21" xr3:uid="{2270F2AA-0FA9-44D1-B1CF-D90C9D05098E}" name="Industrial Noise and Hearing Conservation Program"/>
    <tableColumn id="22" xr3:uid="{867E2E16-37C4-4BA7-929A-4158CDF479DA}" name="Oil Hazardous Substance Spill Response Tabletop Exercise "/>
    <tableColumn id="23" xr3:uid="{7D22CCB0-3AE5-4641-8995-CA3A932EAFC1}" name="Respiratory Protection Program Management"/>
    <tableColumn id="24" xr3:uid="{18E07E93-776D-410F-B07B-74EA4416C947}" name="Tank Managers Course"/>
    <tableColumn id="25" xr3:uid="{171D8D4C-1478-4E01-9AF0-ABBD59945B5C}" name="Totals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16EDB5DD-DA60-4B72-B8A7-AA0DAC1BF15F}" name="Table16" displayName="Table16" ref="A3:Y15" totalsRowShown="0">
  <autoFilter ref="A3:Y15" xr:uid="{16EDB5DD-DA60-4B72-B8A7-AA0DAC1BF15F}"/>
  <sortState xmlns:xlrd2="http://schemas.microsoft.com/office/spreadsheetml/2017/richdata2" ref="A4:Y15">
    <sortCondition ref="Q3:Q15"/>
  </sortState>
  <tableColumns count="25">
    <tableColumn id="1" xr3:uid="{4CCA47A7-1E64-4866-AECF-97355BE6DABF}" name="Command"/>
    <tableColumn id="2" xr3:uid="{1370DB97-3716-4B6A-A3DE-9247713F3EEE}" name="Location/Course Title"/>
    <tableColumn id="3" xr3:uid="{B156F5EE-F050-4B7A-B07B-6F12E550E8C6}" name="Asbestos Inspector"/>
    <tableColumn id="4" xr3:uid="{DFE5EF05-360A-430D-95D9-CD0FB9DFB27E}" name="Asbestos Inspector Refresher"/>
    <tableColumn id="5" xr3:uid="{2C0498B5-EE35-4DAD-BDE0-C603B64C0FF8}" name="Asbestos Management Planner"/>
    <tableColumn id="6" xr3:uid="{C29E64D8-E080-4D84-87AA-88E06EA47C66}" name="Asbestos Management Planner Refresher"/>
    <tableColumn id="7" xr3:uid="{122E6C15-8391-4DEC-8E92-40494569B2C0}" name="Asbestos Supervisor Initial"/>
    <tableColumn id="8" xr3:uid="{95F8F474-5EBE-469B-828F-E4537FE9AF3F}" name="Asbestos Supervisor Refresher"/>
    <tableColumn id="9" xr3:uid="{02C91983-D313-469D-BD68-BEBB7209B1E4}" name="Competent Person for Fall Protection Course"/>
    <tableColumn id="10" xr3:uid="{12AC4B62-B0FD-470F-B902-BAC4C8BB05BE}" name="Confined Space Safety "/>
    <tableColumn id="11" xr3:uid="{B76BBB8F-ADD1-4F53-9D14-F6CA5852D5E7}" name="Construction Safety Standards"/>
    <tableColumn id="12" xr3:uid="{23B3AD00-51BD-410F-A704-B5DD0077C4A4}" name="Emergency Asbestos Response Team"/>
    <tableColumn id="13" xr3:uid="{12AA430A-876F-462D-9240-9889F88BC742}" name="Facility Response Team Five Day"/>
    <tableColumn id="14" xr3:uid="{90D460CE-949F-49E1-AF7A-D099C50E0ABB}" name="Facility Response Team Three Day"/>
    <tableColumn id="15" xr3:uid="{EA0558CB-A3EE-41D1-8270-387B65429745}" name="Fire Protection &amp; Life Safety"/>
    <tableColumn id="16" xr3:uid="{ED04441E-39EC-488D-A492-C74992A2BC35}" name="Hazardous Substance Incident Response Management"/>
    <tableColumn id="17" xr3:uid="{D9D030FE-EC0F-482D-A3DE-DA62E4F3A753}" name="Hazardous Substance Incident Response Management  Refresher"/>
    <tableColumn id="18" xr3:uid="{D4EA12FA-BBEB-40A7-9591-40AB54B24217}" name="Incident Command System 300 "/>
    <tableColumn id="19" xr3:uid="{7FA5D622-7D92-4E11-914F-714FD89DCF59}" name="Incident Command System 300 Refresher"/>
    <tableColumn id="20" xr3:uid="{C4E52DFA-BE1F-4350-B6FC-2C756C4BE3DE}" name="Incident Command System 400 "/>
    <tableColumn id="21" xr3:uid="{78FC86D6-04E5-46ED-8AC4-E927E0BD8628}" name="Industrial Noise and Hearing Conservation Program"/>
    <tableColumn id="22" xr3:uid="{71D7CCE6-73C2-4A31-B2D6-BCC80E535B76}" name="Oil Hazardous Substance Spill Response Tabletop Exercise "/>
    <tableColumn id="23" xr3:uid="{A720F4B2-1462-473D-A64E-FC5B74141AFC}" name="Respiratory Protection Program Management"/>
    <tableColumn id="24" xr3:uid="{4C8C235A-FDA9-4A1D-8F3B-4F810EEA6DC5}" name="Tank Managers Course"/>
    <tableColumn id="25" xr3:uid="{502AB6FD-0AEB-4404-AA31-41005DCB5B44}" name="Totals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7DD5C06B-5EB6-44C4-AAC0-D050087E4BE4}" name="Table17" displayName="Table17" ref="A3:Y16" totalsRowShown="0">
  <autoFilter ref="A3:Y16" xr:uid="{7DD5C06B-5EB6-44C4-AAC0-D050087E4BE4}"/>
  <sortState xmlns:xlrd2="http://schemas.microsoft.com/office/spreadsheetml/2017/richdata2" ref="A4:Y16">
    <sortCondition ref="Q3:Q16"/>
  </sortState>
  <tableColumns count="25">
    <tableColumn id="1" xr3:uid="{00D6977A-4596-4E0B-A4DF-BD8701EF6CFE}" name="Command"/>
    <tableColumn id="2" xr3:uid="{444C7B10-8F6B-45B2-92CC-A04F643E92BC}" name="Location/Course Title"/>
    <tableColumn id="3" xr3:uid="{C2220971-5D51-4C03-A929-B063231B599F}" name="Asbestos Inspector"/>
    <tableColumn id="4" xr3:uid="{82943CE1-2872-40A7-BEF5-72DB1284CF6F}" name="Asbestos Inspector Refresher"/>
    <tableColumn id="5" xr3:uid="{F420A72E-B2DA-419F-A002-CA674D87FC7A}" name="Asbestos Management Planner"/>
    <tableColumn id="6" xr3:uid="{FBF48DB3-5B9D-4A0F-9739-C610B83EC478}" name="Asbestos Management Planner Refresher"/>
    <tableColumn id="7" xr3:uid="{AF3673DD-F6CB-4E78-9E63-29020F7D7D0D}" name="Asbestos Supervisor Initial"/>
    <tableColumn id="8" xr3:uid="{84B176C3-F81E-41CF-9C47-02316C1906F7}" name="Asbestos Supervisor Refresher"/>
    <tableColumn id="9" xr3:uid="{54DAC1C2-4623-428D-8BB8-5ED7D4D9AE01}" name="Competent Person for Fall Protection Course"/>
    <tableColumn id="10" xr3:uid="{ED9BFA56-EC38-4F99-B0E7-E6D7DB023964}" name="Confined Space Safety "/>
    <tableColumn id="11" xr3:uid="{D5FBF7FD-9E12-4F20-BA7F-16B2D6D9D244}" name="Construction Safety Standards"/>
    <tableColumn id="12" xr3:uid="{A605C438-CC2A-4DFC-86B6-C4D7D40940D1}" name="Emergency Asbestos Response Team"/>
    <tableColumn id="13" xr3:uid="{7CD2495D-229D-4628-85C3-B567E09BF6BF}" name="Facility Response Team Five Day"/>
    <tableColumn id="14" xr3:uid="{CA7A45F0-E9BF-43C8-9AE5-76D3948CEAE8}" name="Facility Response Team Three Day"/>
    <tableColumn id="15" xr3:uid="{470BC212-9C78-4160-AE88-3A2800F884F1}" name="Fire Protection &amp; Life Safety"/>
    <tableColumn id="16" xr3:uid="{E1F69284-5360-4C78-A9B2-B6AEE1290B34}" name="Hazardous Substance Incident Response Management"/>
    <tableColumn id="17" xr3:uid="{7668F74A-3205-4E25-B241-B8E31BC044AF}" name="Hazardous Substance Incident Response Management  Refresher"/>
    <tableColumn id="18" xr3:uid="{66C10CDD-8DCF-4685-B8C1-A4D4CB0B4864}" name="Incident Command System 300 "/>
    <tableColumn id="19" xr3:uid="{2BD69F0D-C745-404C-8D0A-530CBB995A77}" name="Incident Command System 300 Refresher"/>
    <tableColumn id="20" xr3:uid="{3135D483-675A-4858-8E6B-BED3A8B6C7A6}" name="Incident Command System 400 "/>
    <tableColumn id="21" xr3:uid="{DF756E25-7301-4097-8CA4-33C6692647DF}" name="Industrial Noise and Hearing Conservation Program"/>
    <tableColumn id="22" xr3:uid="{B7E8F1C8-8072-4757-92C2-F05D9D0B71A4}" name="Oil Hazardous Substance Spill Response Tabletop Exercise "/>
    <tableColumn id="23" xr3:uid="{1F2E392B-E9C8-4F1F-8CE7-22A7826D2896}" name="Respiratory Protection Program Management"/>
    <tableColumn id="24" xr3:uid="{EFF7FD89-B5F8-4E81-9CCE-99B53CD040F7}" name="Tank Managers Course"/>
    <tableColumn id="25" xr3:uid="{CDDC9169-7109-4CE6-A3EB-45CFD8D071A6}" name="Total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4D3AAA6-D87B-4AD0-B345-E17FCDBF3401}" name="Table7" displayName="Table7" ref="A3:Y15" totalsRowShown="0">
  <autoFilter ref="A3:Y15" xr:uid="{F4D3AAA6-D87B-4AD0-B345-E17FCDBF3401}"/>
  <sortState xmlns:xlrd2="http://schemas.microsoft.com/office/spreadsheetml/2017/richdata2" ref="A4:Y15">
    <sortCondition ref="I3:I15"/>
  </sortState>
  <tableColumns count="25">
    <tableColumn id="1" xr3:uid="{E766E59A-8A96-4795-A6BB-730C8F5B3D92}" name="Command"/>
    <tableColumn id="2" xr3:uid="{92536367-24D1-4DFE-896C-975BCBFB7935}" name="Location/Course Title"/>
    <tableColumn id="3" xr3:uid="{35476E06-EEB0-4680-A712-20D90362147B}" name="Asbestos Inspector"/>
    <tableColumn id="4" xr3:uid="{5CF48CA8-321C-46F3-BCB6-297439F12BBB}" name="Asbestos Inspector Refresher"/>
    <tableColumn id="5" xr3:uid="{F2E00528-D4FF-40E8-A17E-D1538CE63758}" name="Asbestos Management Planner"/>
    <tableColumn id="6" xr3:uid="{E1C991AD-491D-4E1E-B8EF-C7884AF716BD}" name="Asbestos Management Planner Refresher"/>
    <tableColumn id="7" xr3:uid="{132A6DCF-684F-4B22-8880-BE73BAD809CE}" name="Asbestos Supervisor Initial"/>
    <tableColumn id="8" xr3:uid="{2BAB1A3F-55A5-44B0-9C9D-547BC149648B}" name="Asbestos Supervisor Refresher"/>
    <tableColumn id="9" xr3:uid="{A28B2E9A-7F80-4DCC-A7D8-761B9D752676}" name="Competent Person for Fall Protection Course"/>
    <tableColumn id="10" xr3:uid="{AC1AE372-2363-46ED-ADD0-5C90973A232B}" name="Confined Space Safety "/>
    <tableColumn id="11" xr3:uid="{CE1EAF60-5EF0-4BE8-8BA7-FFE8622BCDDD}" name="Construction Safety Standards"/>
    <tableColumn id="12" xr3:uid="{0D3E761F-0C28-44A3-AAD2-FD4A13DDDD87}" name="Emergency Asbestos Response Team"/>
    <tableColumn id="13" xr3:uid="{224BA0B1-C48B-4C7B-94B6-EBFED82DC4BB}" name="Facility Response Team Five Day"/>
    <tableColumn id="14" xr3:uid="{3553C414-676A-4C61-AEBB-9264184FBFAD}" name="Facility Response Team Three Day"/>
    <tableColumn id="15" xr3:uid="{5AB617AB-665A-411D-93DB-8F26EA67DADD}" name="Fire Protection &amp; Life Safety"/>
    <tableColumn id="16" xr3:uid="{128A4561-D818-4368-B51E-256E2F660A90}" name="Hazardous Substance Incident Response Management"/>
    <tableColumn id="17" xr3:uid="{094F4E89-A5D1-4650-81F5-D3B427C63428}" name="Hazardous Substance Incident Response Management  Refresher"/>
    <tableColumn id="18" xr3:uid="{24FB481A-1B5D-4A67-A940-92A6419FA7FB}" name="Incident Command System 300 "/>
    <tableColumn id="19" xr3:uid="{02A6E327-1665-4258-9619-4589D41AF807}" name="Incident Command System 300 Refresher"/>
    <tableColumn id="20" xr3:uid="{719AB886-8D3B-4B5B-AE83-55DADCD0442A}" name="Incident Command System 400 "/>
    <tableColumn id="21" xr3:uid="{278FD186-93E5-40EB-8010-BE9AA760A2FC}" name="Industrial Noise and Hearing Conservation Program"/>
    <tableColumn id="22" xr3:uid="{C28E94D3-DFE4-463F-AC43-02B42E4D1A03}" name="Oil Hazardous Substance Spill Response Tabletop Exercise "/>
    <tableColumn id="23" xr3:uid="{33587C8E-A082-433E-9D5B-76276FA572A1}" name="Respiratory Protection Program Management"/>
    <tableColumn id="24" xr3:uid="{D2B92A64-1E79-4B5B-9665-A68EF87B6879}" name="Tank Managers Course"/>
    <tableColumn id="25" xr3:uid="{57AD49A1-B2F2-4975-A748-CE6475F1001E}" name="Total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3BDB62BC-12AB-41C4-B63B-93E766567BDD}" name="Table12" displayName="Table12" ref="A3:H16" totalsRowShown="0">
  <autoFilter ref="A3:H16" xr:uid="{3BDB62BC-12AB-41C4-B63B-93E766567BDD}"/>
  <sortState xmlns:xlrd2="http://schemas.microsoft.com/office/spreadsheetml/2017/richdata2" ref="A4:H16">
    <sortCondition ref="C3:C16"/>
  </sortState>
  <tableColumns count="8">
    <tableColumn id="1" xr3:uid="{69BAA560-E615-4C4C-A6C6-92AD5BEC184D}" name="Command"/>
    <tableColumn id="2" xr3:uid="{B973BD34-E7DF-4943-9A73-B8424CAE24BE}" name="Course Title/Preferred Time Zone"/>
    <tableColumn id="3" xr3:uid="{CF04A1E6-C0C9-4D24-A5A2-F66463CC66B8}" name="AST (Arabian Standard Time)"/>
    <tableColumn id="4" xr3:uid="{0A94480C-449F-4ECB-A8ED-930438B9E7F4}" name="CET/CEST (Central European Standard Time)"/>
    <tableColumn id="5" xr3:uid="{A93F64DD-E57D-4286-BE27-105865660EDE}" name="EST/EDT (Eastern Standard Time)"/>
    <tableColumn id="6" xr3:uid="{B55EBEDB-2D9B-4A47-855C-C4649890C138}" name="HST (Hawaii Standard Time)"/>
    <tableColumn id="7" xr3:uid="{67ABF3DC-D55A-4B8F-9C58-12EE306A5D84}" name="JST (Japan Standard Time)"/>
    <tableColumn id="8" xr3:uid="{B142A742-C3F1-457B-9536-9DF04C44A114}" name="PST/PDT (Pacific Standard Time)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3A3C4CD-1AEA-456F-8412-1F06E9A3464F}" name="Table210" displayName="Table210" ref="A3:AA98" totalsRowCount="1" headerRowDxfId="2253" dataDxfId="2251" totalsRowDxfId="2250" headerRowBorderDxfId="2252">
  <autoFilter ref="A3:AA97" xr:uid="{00000000-0009-0000-0100-000002000000}"/>
  <sortState xmlns:xlrd2="http://schemas.microsoft.com/office/spreadsheetml/2017/richdata2" ref="A4:AA97">
    <sortCondition ref="B3:B97"/>
  </sortState>
  <tableColumns count="27">
    <tableColumn id="1" xr3:uid="{BAAFD926-C9A0-428C-B15B-5AE0D4441A78}" name="Comments" totalsRowLabel="Total" dataDxfId="2249" totalsRowDxfId="2248"/>
    <tableColumn id="2" xr3:uid="{C9C57765-0894-4081-B097-E75909F9477E}" name="Course Title" totalsRowFunction="count" dataDxfId="2247" totalsRowDxfId="2246"/>
    <tableColumn id="3" xr3:uid="{9AD2E90B-E624-4AD8-AA66-86C468D308B6}" name="CIN" dataDxfId="2245" totalsRowDxfId="2244"/>
    <tableColumn id="4" xr3:uid="{2059424E-4D38-4A3D-A11E-FB5EAA05A845}" name="CDP " dataDxfId="2243" totalsRowDxfId="2242"/>
    <tableColumn id="5" xr3:uid="{F7F4FA51-D11C-4625-B18C-A9D9123D27AB}" name="Location" dataDxfId="2241" totalsRowDxfId="2240"/>
    <tableColumn id="6" xr3:uid="{5E81E744-317D-463F-9389-C5B09B3DF59A}" name="Start Date" dataDxfId="2239" totalsRowDxfId="2238"/>
    <tableColumn id="7" xr3:uid="{497A73EC-3068-4F85-8286-58EBC84E5760}" name="End Date" dataDxfId="2237" totalsRowDxfId="2236"/>
    <tableColumn id="26" xr3:uid="{38300BF7-BB27-404B-8134-9D9CA61B2979}" name="Resident Local Start Time of location" dataDxfId="2235" totalsRowDxfId="2234"/>
    <tableColumn id="32" xr3:uid="{25F8C40B-A54D-4C3B-8AF7-ED62F5050D03}" name="EST/EDT Local Live Session Start Time " dataDxfId="2233" totalsRowDxfId="2232"/>
    <tableColumn id="28" xr3:uid="{D52CFE58-A040-46A0-87D4-3CF2E58CAD91}" name="PST/PDT Local Live Session Start Time " dataDxfId="2231" totalsRowDxfId="2230"/>
    <tableColumn id="29" xr3:uid="{27BBFDE4-5D64-451B-AE0D-58261BD2FB64}" name="AST Local Live Session Start Time " dataDxfId="2229" totalsRowDxfId="2228"/>
    <tableColumn id="30" xr3:uid="{FE06AA5B-6C4A-4CD0-BD20-35D0B5B2FAB3}" name="CET/CEST Local Live Session Start Time " dataDxfId="2227" totalsRowDxfId="2226"/>
    <tableColumn id="27" xr3:uid="{AFDE156D-3260-4D6D-AF9C-E213438F87FC}" name="HST Local Live Session Start Time " dataDxfId="2225" totalsRowDxfId="2224"/>
    <tableColumn id="31" xr3:uid="{4CB8A3F0-7857-414F-8249-9D81779473BC}" name="JST Local Live Session Start Time " dataDxfId="2223" totalsRowDxfId="2222"/>
    <tableColumn id="8" xr3:uid="{74037211-E78B-4B02-8F45-4BAF18730BA6}" name="Primary Instructor" dataDxfId="2221" totalsRowDxfId="2220"/>
    <tableColumn id="9" xr3:uid="{99231029-F15D-47CD-8C8B-207611B0BFBB}" name="Instructor 2" dataDxfId="2219" totalsRowDxfId="2218"/>
    <tableColumn id="22" xr3:uid="{47D38A33-73A7-4413-BB6A-5C3FB5FBAA12}" name="Quotas" totalsRowFunction="custom" dataDxfId="2217" totalsRowDxfId="2216">
      <totalsRowFormula>SUBTOTAL(109,Q4:Q97)</totalsRowFormula>
    </tableColumn>
    <tableColumn id="10" xr3:uid="{C018C331-9720-40EE-B6A0-B97372963E2F}" name="Course Length (Days)" totalsRowFunction="sum" dataDxfId="2215" totalsRowDxfId="2214"/>
    <tableColumn id="16" xr3:uid="{376DFCC7-8235-4054-B060-C1BE514DC236}" name="Graduates" totalsRowFunction="custom" dataDxfId="2213" totalsRowDxfId="2212">
      <totalsRowFormula>SUBTOTAL(109,S4:S97)</totalsRowFormula>
    </tableColumn>
    <tableColumn id="17" xr3:uid="{3281B6D9-AEA6-4B9E-B002-4AB8024BDB53}" name="Fail" totalsRowFunction="custom" dataDxfId="2211" totalsRowDxfId="2210">
      <totalsRowFormula>SUBTOTAL(109,T4:T97)</totalsRowFormula>
    </tableColumn>
    <tableColumn id="18" xr3:uid="{746F0B67-7804-4CE8-A1B3-410E28E6D21C}" name="No Shows" totalsRowFunction="custom" dataDxfId="2209" totalsRowDxfId="2208">
      <totalsRowFormula>SUBTOTAL(109,U4:U97)</totalsRowFormula>
    </tableColumn>
    <tableColumn id="19" xr3:uid="{4DA2642C-2B8C-4ED7-B8D2-0280EBB93A1A}" name="Walk-ins" totalsRowFunction="custom" dataDxfId="2207" totalsRowDxfId="2206">
      <totalsRowFormula>SUBTOTAL(109,V4:V97)</totalsRowFormula>
    </tableColumn>
    <tableColumn id="20" xr3:uid="{E7FB79F0-1B30-401D-BBEA-45BCD5DDB5D6}" name="Foreign Grads" totalsRowFunction="custom" dataDxfId="2205" totalsRowDxfId="2204">
      <totalsRowFormula>SUBTOTAL(109,W4:W97)</totalsRowFormula>
    </tableColumn>
    <tableColumn id="21" xr3:uid="{3004AB1E-319E-4220-816D-F0FF56E63E83}" name="Roster Received By" totalsRowFunction="count" dataDxfId="2203" totalsRowDxfId="2202"/>
    <tableColumn id="23" xr3:uid="{5E958FDC-F631-4C7F-A94B-08800003986B}" name="Roster Due" dataDxfId="2201" totalsRowDxfId="2200">
      <calculatedColumnFormula>Table210[[#This Row],[End Date]]+2-TODAY()</calculatedColumnFormula>
    </tableColumn>
    <tableColumn id="24" xr3:uid="{E703E1BA-4AC8-480D-855F-DF04885D67E2}" name="Roster Status" dataDxfId="2199" totalsRowDxfId="2198">
      <calculatedColumnFormula>IF(ISBLANK(Table210[[#This Row],[Roster Received By]]),1,0)</calculatedColumnFormula>
    </tableColumn>
    <tableColumn id="25" xr3:uid="{F4B656DB-AFB0-4A51-81AA-302D7743E75A}" name="Remaining Courses" dataDxfId="2197" totalsRowDxfId="2196">
      <calculatedColumnFormula>IF(Table210[[#This Row],[Start Date]]&gt;TODAY(),1,)</calculatedColumnFormula>
    </tableColumn>
  </tableColumns>
  <tableStyleInfo name="TableStyleMedium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86E6F5B-088A-40BF-9C3A-F5C6AB6AA07B}" name="Table25" displayName="Table25" ref="A3:AA459" totalsRowCount="1" headerRowDxfId="2195" dataDxfId="2193" totalsRowDxfId="2192" headerRowBorderDxfId="2194">
  <autoFilter ref="A3:AA458" xr:uid="{00000000-0009-0000-0100-000002000000}">
    <filterColumn colId="1">
      <filters>
        <filter val="Respiratory Protection Program Management"/>
      </filters>
    </filterColumn>
  </autoFilter>
  <sortState xmlns:xlrd2="http://schemas.microsoft.com/office/spreadsheetml/2017/richdata2" ref="A4:AA458">
    <sortCondition ref="E3:E458"/>
  </sortState>
  <tableColumns count="27">
    <tableColumn id="1" xr3:uid="{C2342F55-DFE4-488E-B515-415ECDB9DFEE}" name="Comments" totalsRowLabel="Total" dataDxfId="2191" totalsRowDxfId="2190"/>
    <tableColumn id="2" xr3:uid="{FADA44B4-44D0-4589-ACE3-E057D0EE9ED2}" name="Course Title" totalsRowFunction="count" dataDxfId="2189" totalsRowDxfId="2188"/>
    <tableColumn id="3" xr3:uid="{9036CA69-9069-4D5E-874C-7662361EE35C}" name="CIN" dataDxfId="2187" totalsRowDxfId="2186"/>
    <tableColumn id="4" xr3:uid="{F6D05D52-65CC-46CE-A322-D3833B543092}" name="CDP " dataDxfId="2185" totalsRowDxfId="2184"/>
    <tableColumn id="5" xr3:uid="{84494C77-A354-48DD-A68C-B34126F79399}" name="Location" dataDxfId="2183" totalsRowDxfId="2182"/>
    <tableColumn id="6" xr3:uid="{6B344705-02DB-4A3E-B950-29A59BECB7AE}" name="Start Date" dataDxfId="2181" totalsRowDxfId="2180"/>
    <tableColumn id="7" xr3:uid="{A94CB4AD-FEBF-4542-9853-FE4AFAB695DD}" name="End Date" dataDxfId="2179" totalsRowDxfId="2178"/>
    <tableColumn id="26" xr3:uid="{CEE49FCC-B7FD-48D9-86A7-497778C9B402}" name="Resident Local Start Time of location" dataDxfId="2177" totalsRowDxfId="2176"/>
    <tableColumn id="32" xr3:uid="{28D528AC-46D1-4984-89F5-C8AA57BB3C78}" name="EST/EDT Local Live Session Start Time " dataDxfId="2175" totalsRowDxfId="2174"/>
    <tableColumn id="28" xr3:uid="{CCD46A9A-8C5F-4B65-A2E4-15C78A2EFFDE}" name="PST/PDT Local Live Session Start Time " dataDxfId="2173" totalsRowDxfId="2172"/>
    <tableColumn id="29" xr3:uid="{993A5040-29B2-4086-8997-65ECC5101CE9}" name="AST Local Live Session Start Time " dataDxfId="2171" totalsRowDxfId="2170"/>
    <tableColumn id="30" xr3:uid="{F63275D8-949E-444B-B741-EB3B1B312C30}" name="CET/CEST Local Live Session Start Time " dataDxfId="2169" totalsRowDxfId="2168"/>
    <tableColumn id="27" xr3:uid="{1F2AC858-CEFC-461C-BEB6-3F9F980B98D0}" name="HST Local Live Session Start Time " dataDxfId="2167" totalsRowDxfId="2166"/>
    <tableColumn id="31" xr3:uid="{811944FF-34B9-4111-9789-402790D81347}" name="JST Local Live Session Start Time " dataDxfId="2165" totalsRowDxfId="2164"/>
    <tableColumn id="8" xr3:uid="{26A837A7-512E-4002-A5EA-E17F742A40B3}" name="Primary Instructor" dataDxfId="2163" totalsRowDxfId="2162"/>
    <tableColumn id="9" xr3:uid="{110ADADB-8A5F-413E-9B6D-D3510F201E55}" name="Instructor 2" dataDxfId="2161" totalsRowDxfId="2160"/>
    <tableColumn id="22" xr3:uid="{314E8877-A83D-4F89-9A04-C49FA04A9C00}" name="Quotas" totalsRowFunction="custom" dataDxfId="2159" totalsRowDxfId="2158">
      <totalsRowFormula>SUBTOTAL(109,Q4:Q458)</totalsRowFormula>
    </tableColumn>
    <tableColumn id="10" xr3:uid="{070B6AB2-187B-4D15-8583-80D8D7BAEF51}" name="Course Length (Days)" totalsRowFunction="sum" dataDxfId="2157" totalsRowDxfId="2156"/>
    <tableColumn id="16" xr3:uid="{59EF79D6-4759-4961-B4E4-C84D569CC012}" name="Graduates" totalsRowFunction="custom" dataDxfId="2155" totalsRowDxfId="2154">
      <totalsRowFormula>SUBTOTAL(109,S4:S458)</totalsRowFormula>
    </tableColumn>
    <tableColumn id="17" xr3:uid="{456FDA1F-D6E9-4ADB-8ED7-487AD8006452}" name="Fail" totalsRowFunction="custom" dataDxfId="2153" totalsRowDxfId="2152">
      <totalsRowFormula>SUBTOTAL(109,T4:T458)</totalsRowFormula>
    </tableColumn>
    <tableColumn id="18" xr3:uid="{E99A8EEE-FD20-4520-8338-07DE4C36BB10}" name="No Shows" totalsRowFunction="custom" dataDxfId="2151" totalsRowDxfId="2150">
      <totalsRowFormula>SUBTOTAL(109,U4:U458)</totalsRowFormula>
    </tableColumn>
    <tableColumn id="19" xr3:uid="{F6D0F8D9-B85B-4A04-B855-7C32689CC1D3}" name="Walk-ins" totalsRowFunction="custom" dataDxfId="2149" totalsRowDxfId="2148">
      <totalsRowFormula>SUBTOTAL(109,V4:V458)</totalsRowFormula>
    </tableColumn>
    <tableColumn id="20" xr3:uid="{2972677F-C901-4563-B7AA-465DF536AC9B}" name="Foreign Grads" totalsRowFunction="custom" dataDxfId="2147" totalsRowDxfId="2146">
      <totalsRowFormula>SUBTOTAL(109,W4:W458)</totalsRowFormula>
    </tableColumn>
    <tableColumn id="21" xr3:uid="{998C0827-BA12-4F50-BEA2-964641788D4D}" name="Roster Received By" totalsRowFunction="count" dataDxfId="2145" totalsRowDxfId="2144"/>
    <tableColumn id="23" xr3:uid="{82FA31EB-B1DA-4D72-BC1B-6A746B50E502}" name="Roster Due" dataDxfId="2143" totalsRowDxfId="2142">
      <calculatedColumnFormula>Table25[[#This Row],[End Date]]+2-TODAY()</calculatedColumnFormula>
    </tableColumn>
    <tableColumn id="24" xr3:uid="{06F0B8B2-51E0-478B-A50A-B49B83291699}" name="Roster Status" dataDxfId="2141" totalsRowDxfId="2140">
      <calculatedColumnFormula>IF(ISBLANK(Table25[[#This Row],[Roster Received By]]),1,0)</calculatedColumnFormula>
    </tableColumn>
    <tableColumn id="25" xr3:uid="{2C2F4313-A044-43BA-9248-3798C2B624F2}" name="Remaining Courses" dataDxfId="2139" totalsRowDxfId="2138">
      <calculatedColumnFormula>IF(Table25[[#This Row],[Start Date]]&gt;TODAY(),1,)</calculatedColumnFormula>
    </tableColumn>
  </tableColumns>
  <tableStyleInfo name="TableStyleMedium1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85C658B-52C9-44EA-956B-750298760CCD}" name="Table24" displayName="Table24" ref="A3:AA459" totalsRowCount="1" headerRowDxfId="2137" dataDxfId="2135" totalsRowDxfId="2134" headerRowBorderDxfId="2136">
  <autoFilter ref="A3:AA458" xr:uid="{00000000-0009-0000-0100-000002000000}"/>
  <sortState xmlns:xlrd2="http://schemas.microsoft.com/office/spreadsheetml/2017/richdata2" ref="A4:AF458">
    <sortCondition ref="F3:F458"/>
  </sortState>
  <tableColumns count="27">
    <tableColumn id="1" xr3:uid="{79149F88-7EB9-4500-98DE-34ACE96F92DF}" name="Comments" totalsRowLabel="Total" dataDxfId="2133" totalsRowDxfId="2132"/>
    <tableColumn id="2" xr3:uid="{F6626155-689F-42BD-B038-A9B6806D808B}" name="Course Title" totalsRowFunction="count" dataDxfId="2131" totalsRowDxfId="2130"/>
    <tableColumn id="3" xr3:uid="{2BC95441-E66A-4135-8D3C-CDB15DB807EB}" name="CIN" dataDxfId="2129" totalsRowDxfId="2128"/>
    <tableColumn id="4" xr3:uid="{5F4B4B93-BD47-404A-8200-98910040B224}" name="CDP " dataDxfId="2127" totalsRowDxfId="2126"/>
    <tableColumn id="5" xr3:uid="{75B93F82-D13A-48E6-A447-867B8BB4C082}" name="Location" dataDxfId="2125" totalsRowDxfId="2124"/>
    <tableColumn id="6" xr3:uid="{86ACFDED-2593-4FC8-81CA-6390274D7A4F}" name="Start Date" dataDxfId="2123" totalsRowDxfId="2122"/>
    <tableColumn id="7" xr3:uid="{A6DA2D01-C088-4F58-8562-2F71A85EC272}" name="End Date" dataDxfId="2121" totalsRowDxfId="2120"/>
    <tableColumn id="26" xr3:uid="{2D89D048-98FA-4BEA-AF58-DD1A02D5E0E9}" name="Resident Local Start Time of location" dataDxfId="2119" totalsRowDxfId="2118"/>
    <tableColumn id="32" xr3:uid="{63F1EBA8-4CC8-40EB-B334-FDEC4434C6F8}" name="EST/EDT Local Live Session Start Time " dataDxfId="2117" totalsRowDxfId="2116"/>
    <tableColumn id="28" xr3:uid="{1D59791F-65C2-4033-BA1D-526F41A66111}" name="PST/PDT Local Live Session Start Time " dataDxfId="2115" totalsRowDxfId="2114"/>
    <tableColumn id="29" xr3:uid="{FDBC9AC7-3DA8-4EDC-B313-6C1EC42A0724}" name="AST Local Live Session Start Time " dataDxfId="2113" totalsRowDxfId="2112"/>
    <tableColumn id="30" xr3:uid="{B4537B98-89A4-4540-9610-33CC67D27420}" name="CET/CEST Local Live Session Start Time " dataDxfId="2111" totalsRowDxfId="2110"/>
    <tableColumn id="27" xr3:uid="{DC4F443E-C5C8-4650-985A-64A74A57F0ED}" name="HST Local Live Session Start Time " dataDxfId="2109" totalsRowDxfId="2108"/>
    <tableColumn id="31" xr3:uid="{A3EC9C9C-E6B5-400C-8DB0-D74AC3C55418}" name="JST Local Live Session Start Time " dataDxfId="2107" totalsRowDxfId="2106"/>
    <tableColumn id="8" xr3:uid="{BD02D554-0329-4AF6-8DCE-00A7A796FA67}" name="Primary Instructor" dataDxfId="2105" totalsRowDxfId="2104"/>
    <tableColumn id="9" xr3:uid="{6D45BB7D-3A95-43F2-8E16-75C8992FC1E6}" name="Instructor 2" dataDxfId="2103" totalsRowDxfId="2102"/>
    <tableColumn id="22" xr3:uid="{FB315DE8-C79B-4703-A2BA-1F6096A58C1C}" name="Quotas" totalsRowFunction="custom" dataDxfId="2101" totalsRowDxfId="2100">
      <totalsRowFormula>SUBTOTAL(109,Q4:Q458)</totalsRowFormula>
    </tableColumn>
    <tableColumn id="10" xr3:uid="{6FA31DB2-CC19-45F3-AC84-953C36C2A2CC}" name="Course Length (Days)" totalsRowFunction="sum" dataDxfId="2099" totalsRowDxfId="2098"/>
    <tableColumn id="16" xr3:uid="{7D216D85-CEB5-4FB8-8CE9-417C5E68CD91}" name="Graduates" totalsRowFunction="custom" dataDxfId="2097" totalsRowDxfId="2096">
      <totalsRowFormula>SUBTOTAL(109,S4:S458)</totalsRowFormula>
    </tableColumn>
    <tableColumn id="17" xr3:uid="{471F56FE-F439-4B07-921D-CBB3611086BE}" name="Fail" totalsRowFunction="custom" dataDxfId="2095" totalsRowDxfId="2094">
      <totalsRowFormula>SUBTOTAL(109,T4:T458)</totalsRowFormula>
    </tableColumn>
    <tableColumn id="18" xr3:uid="{CD9CAB05-4592-4199-97AF-F24CD2C37859}" name="No Shows" totalsRowFunction="custom" dataDxfId="2093" totalsRowDxfId="2092">
      <totalsRowFormula>SUBTOTAL(109,U4:U458)</totalsRowFormula>
    </tableColumn>
    <tableColumn id="19" xr3:uid="{E508046D-5F43-4F5D-ADC6-09456C05B40C}" name="Walk-ins" totalsRowFunction="custom" dataDxfId="2091" totalsRowDxfId="2090">
      <totalsRowFormula>SUBTOTAL(109,V4:V458)</totalsRowFormula>
    </tableColumn>
    <tableColumn id="20" xr3:uid="{16429556-E9E1-4650-9FA8-7E088FD9ED28}" name="Foreign Grads" totalsRowFunction="custom" dataDxfId="2089" totalsRowDxfId="2088">
      <totalsRowFormula>SUBTOTAL(109,W4:W458)</totalsRowFormula>
    </tableColumn>
    <tableColumn id="21" xr3:uid="{0CB98322-C372-4A0A-932D-68FE742BCA16}" name="Roster Received By" totalsRowFunction="count" dataDxfId="2087" totalsRowDxfId="2086"/>
    <tableColumn id="23" xr3:uid="{47BF087B-B81F-40F2-AD60-EE1F11A5135E}" name="Roster Due" dataDxfId="2085" totalsRowDxfId="2084">
      <calculatedColumnFormula>Table24[[#This Row],[End Date]]+2-TODAY()</calculatedColumnFormula>
    </tableColumn>
    <tableColumn id="24" xr3:uid="{402A7A19-6D60-4923-A13A-58BD63FC3167}" name="Roster Status" dataDxfId="2083" totalsRowDxfId="2082">
      <calculatedColumnFormula>IF(ISBLANK(Table24[[#This Row],[Roster Received By]]),1,0)</calculatedColumnFormula>
    </tableColumn>
    <tableColumn id="25" xr3:uid="{BC58C9C5-5716-41F8-BDD7-54CA141C56B2}" name="Remaining Courses" dataDxfId="2081" totalsRowDxfId="2080">
      <calculatedColumnFormula>IF(Table24[[#This Row],[Start Date]]&gt;TODAY(),1,)</calculatedColumnFormula>
    </tableColumn>
  </tableColumns>
  <tableStyleInfo name="TableStyleMedium1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02DC828-C589-4D99-87A8-A672DC7588DB}" name="Table29" displayName="Table29" ref="A3:AA163" totalsRowCount="1" headerRowDxfId="2079" dataDxfId="2077" totalsRowDxfId="2076" headerRowBorderDxfId="2078">
  <autoFilter ref="A3:AA162" xr:uid="{00000000-000C-0000-FFFF-FFFF05000000}"/>
  <sortState xmlns:xlrd2="http://schemas.microsoft.com/office/spreadsheetml/2017/richdata2" ref="A4:AA162">
    <sortCondition ref="B3:B162"/>
  </sortState>
  <tableColumns count="27">
    <tableColumn id="1" xr3:uid="{1C63BBBF-F354-4DD8-97A5-E14E8DC06BD5}" name="Comments" totalsRowLabel="Total" dataDxfId="2075" totalsRowDxfId="2074"/>
    <tableColumn id="2" xr3:uid="{EC508BA6-6C72-4335-91E0-3C34E2FA5459}" name="Course Title" totalsRowFunction="count" dataDxfId="2073" totalsRowDxfId="2072"/>
    <tableColumn id="3" xr3:uid="{14C72745-D101-4D90-811B-D00E2A84DB86}" name="CIN" dataDxfId="2071" totalsRowDxfId="2070"/>
    <tableColumn id="4" xr3:uid="{BE43C45C-F539-4156-A513-F6F46D511BBF}" name="CDP " dataDxfId="2069" totalsRowDxfId="2068"/>
    <tableColumn id="5" xr3:uid="{EEA99D01-363C-402D-84CA-D2BA8060717B}" name="Location" dataDxfId="2067" totalsRowDxfId="2066"/>
    <tableColumn id="6" xr3:uid="{93912A40-5270-402E-9EB6-B7175BE72777}" name="5/5/2025" dataDxfId="2065" totalsRowDxfId="2064"/>
    <tableColumn id="7" xr3:uid="{D8270151-992F-4341-8241-43E92185F552}" name="5/9/2025" dataDxfId="2063" totalsRowDxfId="2062"/>
    <tableColumn id="26" xr3:uid="{D5E0F6FC-5AB0-4179-8C79-410B617C8137}" name="Resident Local Start Time of location" dataDxfId="2061" totalsRowDxfId="2060"/>
    <tableColumn id="32" xr3:uid="{DA8C4426-E87C-408D-AABA-5BE1F2F0E858}" name="EST/EDT Local Live Session Start Time " dataDxfId="2059" totalsRowDxfId="2058"/>
    <tableColumn id="28" xr3:uid="{52767868-9CC6-449B-9860-D651EE14A705}" name="PST/PDT Local Live Session Start Time " dataDxfId="2057" totalsRowDxfId="2056"/>
    <tableColumn id="29" xr3:uid="{BF01AB4E-5396-4307-BCD9-799BF9B3EDE9}" name="AST Local Live Session Start Time " dataDxfId="2055" totalsRowDxfId="2054"/>
    <tableColumn id="30" xr3:uid="{4F050953-EEEB-4365-8396-3D078FE84B26}" name="CET/CEST Local Live Session Start Time " dataDxfId="2053" totalsRowDxfId="2052"/>
    <tableColumn id="27" xr3:uid="{06592FA7-19AC-4CFE-B34A-B515EE59458F}" name="HST Local Live Session Start Time " dataDxfId="2051" totalsRowDxfId="2050"/>
    <tableColumn id="31" xr3:uid="{9A334D73-E6D4-4AAA-8B87-D2750573D432}" name="JST Local Live Session Start Time " dataDxfId="2049" totalsRowDxfId="2048"/>
    <tableColumn id="8" xr3:uid="{D50F1A1A-BAD0-4C81-B1AE-79BB42BAE0AB}" name="Primary Instructor" dataDxfId="2047" totalsRowDxfId="2046"/>
    <tableColumn id="9" xr3:uid="{44080DAF-27C5-42A6-B324-B71AA7B2D720}" name="Instructor 2" dataDxfId="2045" totalsRowDxfId="2044"/>
    <tableColumn id="22" xr3:uid="{1F2F7EA8-BFBA-4C90-9472-5AC738C1BDC9}" name="Quotas" totalsRowFunction="custom" dataDxfId="2043" totalsRowDxfId="2042">
      <totalsRowFormula>SUBTOTAL(109,Q4:Q162)</totalsRowFormula>
    </tableColumn>
    <tableColumn id="10" xr3:uid="{9682ED1C-EBEE-42D9-873B-DC07BF105003}" name="Course Length (Days)" totalsRowFunction="sum" dataDxfId="2041" totalsRowDxfId="2040"/>
    <tableColumn id="16" xr3:uid="{89EB158D-8004-44B7-BD60-DA7F8BD931E3}" name="Graduates" totalsRowFunction="custom" dataDxfId="2039" totalsRowDxfId="2038">
      <totalsRowFormula>SUBTOTAL(109,S4:S162)</totalsRowFormula>
    </tableColumn>
    <tableColumn id="17" xr3:uid="{5CE7BB19-592D-4A30-A3FC-93CB553BECF1}" name="Fail" totalsRowFunction="custom" dataDxfId="2037" totalsRowDxfId="2036">
      <totalsRowFormula>SUBTOTAL(109,T4:T162)</totalsRowFormula>
    </tableColumn>
    <tableColumn id="18" xr3:uid="{E969121D-9457-4E40-8774-BE009C76FE20}" name="No Shows" totalsRowFunction="custom" dataDxfId="2035" totalsRowDxfId="2034">
      <totalsRowFormula>SUBTOTAL(109,U4:U162)</totalsRowFormula>
    </tableColumn>
    <tableColumn id="19" xr3:uid="{59CBB9DB-0E58-45F1-949F-1DDBB3492686}" name="Walk-ins" totalsRowFunction="custom" dataDxfId="2033" totalsRowDxfId="2032">
      <totalsRowFormula>SUBTOTAL(109,V4:V162)</totalsRowFormula>
    </tableColumn>
    <tableColumn id="20" xr3:uid="{2F720BE5-6E9B-485D-A6F1-A12B193EFF55}" name="Foreign Grads" totalsRowFunction="custom" dataDxfId="2031" totalsRowDxfId="2030">
      <totalsRowFormula>SUBTOTAL(109,W4:W162)</totalsRowFormula>
    </tableColumn>
    <tableColumn id="21" xr3:uid="{2BA7E8B0-27F0-4CD2-A350-2024873826D4}" name="Roster Received By" totalsRowFunction="count" dataDxfId="2029" totalsRowDxfId="2028"/>
    <tableColumn id="23" xr3:uid="{8823BE56-DA54-47E0-89A0-59A877FAB73F}" name="Roster Due" dataDxfId="2027" totalsRowDxfId="2026">
      <calculatedColumnFormula>Table29[[#This Row],[5/9/2025]]+2-TODAY()</calculatedColumnFormula>
    </tableColumn>
    <tableColumn id="24" xr3:uid="{E18F92EF-46B0-4D15-B0E4-51F4BD1CF898}" name="Roster Status" dataDxfId="2025" totalsRowDxfId="2024">
      <calculatedColumnFormula>IF(ISBLANK(Table29[[#This Row],[Roster Received By]]),1,0)</calculatedColumnFormula>
    </tableColumn>
    <tableColumn id="25" xr3:uid="{BBFDC5C5-2741-4D98-92A9-5CAF33C3723D}" name="Remaining Courses" dataDxfId="2023" totalsRowDxfId="2022">
      <calculatedColumnFormula>IF(Table29[[#This Row],[5/5/2025]]&gt;TODAY(),1,)</calculatedColumnFormula>
    </tableColumn>
  </tableColumns>
  <tableStyleInfo name="TableStyleMedium15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6B8DAAA6-B7E9-46ED-93A3-B30D988DBD52}" name="Table11" displayName="Table11" ref="A3:Y16" totalsRowShown="0">
  <autoFilter ref="A3:Y16" xr:uid="{6B8DAAA6-B7E9-46ED-93A3-B30D988DBD52}"/>
  <sortState xmlns:xlrd2="http://schemas.microsoft.com/office/spreadsheetml/2017/richdata2" ref="A4:Y16">
    <sortCondition ref="R3:R16"/>
  </sortState>
  <tableColumns count="25">
    <tableColumn id="1" xr3:uid="{CDF5F771-AD95-4A46-9AE3-73CD6C0312AE}" name="Command"/>
    <tableColumn id="2" xr3:uid="{46F831B0-A1B3-451B-9702-71B4A5AD2810}" name="Location/Course Title"/>
    <tableColumn id="3" xr3:uid="{1D5AA204-6333-47C0-A18E-DF37AE2DC8C9}" name="Asbestos Inspector"/>
    <tableColumn id="4" xr3:uid="{E29B3809-4E14-46C6-B483-E5ABA6825C5B}" name="Asbestos Inspector Refresher"/>
    <tableColumn id="5" xr3:uid="{012FFC54-1F86-461F-9CAF-4874947EF0B8}" name="Asbestos Management Planner"/>
    <tableColumn id="6" xr3:uid="{2FE9E155-4CA0-4ED9-B8BF-34AF5CBFC9FA}" name="Asbestos Management Planner Refresher"/>
    <tableColumn id="7" xr3:uid="{AD414EC2-0976-45BD-93F7-0B4E047D7A22}" name="Asbestos Supervisor Initial"/>
    <tableColumn id="8" xr3:uid="{36507EE7-3AB9-4B70-BCFA-C86C679E2C56}" name="Asbestos Supervisor Refresher"/>
    <tableColumn id="9" xr3:uid="{49F8A813-45DE-40EC-8F5B-85500334DFCF}" name="Competent Person for Fall Protection Course"/>
    <tableColumn id="10" xr3:uid="{AA2C009E-A57E-4907-9851-9DE41E9E6D26}" name="Confined Space Safety "/>
    <tableColumn id="11" xr3:uid="{3F2E6A39-03F0-4934-BB86-5938D558E026}" name="Construction Safety Standards"/>
    <tableColumn id="12" xr3:uid="{CA23CE34-B319-4A38-B43F-BA77C967C4DB}" name="Emergency Asbestos Response Team"/>
    <tableColumn id="13" xr3:uid="{E77D8881-37E0-4F1B-88AB-5431B9785B97}" name="Facility Response Team Five Day"/>
    <tableColumn id="14" xr3:uid="{01B31410-72C9-45A4-AFDD-5E754ED342F3}" name="Facility Response Team Three Day"/>
    <tableColumn id="15" xr3:uid="{20993F47-1F49-46A4-86E3-6050C6EA9745}" name="Fire Protection &amp; Life Safety"/>
    <tableColumn id="16" xr3:uid="{5C00E780-0E8C-429A-85B3-80E5B74B8005}" name="Hazardous Substance Incident Response Management"/>
    <tableColumn id="17" xr3:uid="{20DEC377-DF65-419B-B124-C3615DC4E93F}" name="Hazardous Substance Incident Response Management  Refresher"/>
    <tableColumn id="18" xr3:uid="{97CB522F-60D0-4F5E-BCFE-BA1EDE69908A}" name="Incident Command System 300 "/>
    <tableColumn id="19" xr3:uid="{4711C7D9-A517-4747-B51C-2E09614D7834}" name="Incident Command System 300 Refresher"/>
    <tableColumn id="20" xr3:uid="{56398BD3-BD08-4813-81D2-AAC365976642}" name="Incident Command System 400 "/>
    <tableColumn id="21" xr3:uid="{9F4CFF51-DA05-4690-86C3-371F9E2A61CA}" name="Industrial Noise and Hearing Conservation Program"/>
    <tableColumn id="22" xr3:uid="{EBABE466-8182-4359-B99E-6B6659007381}" name="Oil Hazardous Substance Spill Response Tabletop Exercise "/>
    <tableColumn id="23" xr3:uid="{1649359E-F490-4C42-BF94-7D9080A5DCF6}" name="Respiratory Protection Program Management"/>
    <tableColumn id="24" xr3:uid="{0D475DC8-8292-4E05-A7FD-B2D28DEA2BAE}" name="Tank Managers Course"/>
    <tableColumn id="25" xr3:uid="{380ECDA6-0033-412A-9B47-F3AC5403B3BA}" name="Totals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3000000}" name="Table311" displayName="Table311" ref="B4:AA61" headerRowDxfId="2021" dataDxfId="2020" totalsRowDxfId="2018" tableBorderDxfId="2019" totalsRowBorderDxfId="2017">
  <autoFilter ref="B4:AA61" xr:uid="{00000000-0009-0000-0100-00000A000000}"/>
  <sortState xmlns:xlrd2="http://schemas.microsoft.com/office/spreadsheetml/2017/richdata2" ref="B5:AA61">
    <sortCondition ref="B4:B61"/>
  </sortState>
  <tableColumns count="26">
    <tableColumn id="1" xr3:uid="{00000000-0010-0000-0300-000001000000}" name="Courses - Planned vs Need (Active Courses)" totalsRowLabel="Total" dataDxfId="2016" totalsRowDxfId="2015"/>
    <tableColumn id="2" xr3:uid="{00000000-0010-0000-0300-000002000000}" name="CTR" dataDxfId="2014" totalsRowDxfId="2013"/>
    <tableColumn id="3" xr3:uid="{00000000-0010-0000-0300-000003000000}" name="Dept" dataDxfId="2012" totalsRowDxfId="2011"/>
    <tableColumn id="4" xr3:uid="{00000000-0010-0000-0300-000004000000}" name="Course Offerings" totalsRowFunction="sum" dataDxfId="2010" totalsRowDxfId="2009">
      <calculatedColumnFormula>COUNTIF(Table2[Course Title],Table311[[#This Row],[Courses - Planned vs Need (Active Courses)]])</calculatedColumnFormula>
    </tableColumn>
    <tableColumn id="5" xr3:uid="{00000000-0010-0000-0300-000005000000}" name="Quota per Offering" totalsRowFunction="sum" dataDxfId="2008" totalsRowDxfId="2007"/>
    <tableColumn id="6" xr3:uid="{00000000-0010-0000-0300-000006000000}" name="Planned Quotas" totalsRowFunction="sum" dataDxfId="2006" totalsRowDxfId="2005">
      <calculatedColumnFormula>Table311[[#This Row],[Course Offerings]]*Table311[[#This Row],[Quota per Offering]]</calculatedColumnFormula>
    </tableColumn>
    <tableColumn id="7" xr3:uid="{00000000-0010-0000-0300-000007000000}" name="Fleet Quota Need" totalsRowFunction="sum" dataDxfId="2004"/>
    <tableColumn id="8" xr3:uid="{00000000-0010-0000-0300-000008000000}" name="Difference" totalsRowFunction="sum" dataDxfId="2003" totalsRowDxfId="2002">
      <calculatedColumnFormula>SUM(G5-H5)</calculatedColumnFormula>
    </tableColumn>
    <tableColumn id="9" xr3:uid="{00000000-0010-0000-0300-000009000000}" name="%" totalsRowFunction="average" dataDxfId="2001" dataCellStyle="Percent">
      <calculatedColumnFormula>IFERROR(Table311[[#This Row],[Planned Quotas]]/Table311[[#This Row],[Fleet Quota Need]],100%)</calculatedColumnFormula>
    </tableColumn>
    <tableColumn id="10" xr3:uid="{00000000-0010-0000-0300-00000A000000}" name="Total Grads" totalsRowFunction="sum" dataDxfId="2000" totalsRowDxfId="1999">
      <calculatedColumnFormula>SUMIF(Table2[Course Title],Table311[[#This Row],[Courses - Planned vs Need (Active Courses)]],Table2[Graduates])</calculatedColumnFormula>
    </tableColumn>
    <tableColumn id="22" xr3:uid="{28CA42B6-D4D4-43E5-B7D1-ED8C085ACFF6}" name="Total Registered" dataDxfId="1998" totalsRowDxfId="1997">
      <calculatedColumnFormula>SUMIF(Table2[Course Title],Table311[[#This Row],[Courses - Planned vs Need (Active Courses)]],Table2[Registered])</calculatedColumnFormula>
    </tableColumn>
    <tableColumn id="25" xr3:uid="{0C2E10DF-0E69-47FB-9063-74F8200FB154}" name="Total Waitlisted" dataDxfId="1996" totalsRowDxfId="1995">
      <calculatedColumnFormula>SUMIF(Table2[Course Title],Table311[[#This Row],[Courses - Planned vs Need (Active Courses)]],Table2[Waitlisted])</calculatedColumnFormula>
    </tableColumn>
    <tableColumn id="26" xr3:uid="{D9C2BAD8-88E1-4594-B8B1-60C41F062128}" name="Total Walk-in" dataDxfId="1994" totalsRowDxfId="1993">
      <calculatedColumnFormula>SUMIF(Table2[Course Title],Table311[[#This Row],[Courses - Planned vs Need (Active Courses)]],Table2[Walk-ins])</calculatedColumnFormula>
    </tableColumn>
    <tableColumn id="11" xr3:uid="{00000000-0010-0000-0300-00000B000000}" name="No Shows" totalsRowFunction="sum" dataDxfId="1992">
      <calculatedColumnFormula>SUMIF(Table2[Course Title],Table311[[#This Row],[Courses - Planned vs Need (Active Courses)]],Table2[No Shows])</calculatedColumnFormula>
    </tableColumn>
    <tableColumn id="12" xr3:uid="{00000000-0010-0000-0300-00000C000000}" name="To date quotas unused (Open quotas+ no shows)" totalsRowFunction="sum" dataDxfId="1991">
      <calculatedColumnFormula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calculatedColumnFormula>
    </tableColumn>
    <tableColumn id="20" xr3:uid="{00000000-0010-0000-0300-000014000000}" name="Sunk Courses due to unused quotas todate" dataDxfId="1990">
      <calculatedColumnFormula>ROUNDDOWN(Table311[[#This Row],[To date quotas unused (Open quotas+ no shows)]]/Table311[[#This Row],[Quota per Offering]],0)</calculatedColumnFormula>
    </tableColumn>
    <tableColumn id="13" xr3:uid="{00000000-0010-0000-0300-00000D000000}" name="Grads needed this FY towards planned quotas" totalsRowFunction="sum" dataDxfId="1989" totalsRowDxfId="1988">
      <calculatedColumnFormula>SUM(G5-K5)</calculatedColumnFormula>
    </tableColumn>
    <tableColumn id="14" xr3:uid="{00000000-0010-0000-0300-00000E000000}" name="# of course completion reports to be processed" totalsRowFunction="sum" dataDxfId="1987">
      <calculatedColumnFormula>COUNTIFS(Table2[Course Title],Table311[[#This Row],[Courses - Planned vs Need (Active Courses)]],Table2[Roster Status],"1",Table2[Remaining Courses],"0")</calculatedColumnFormula>
    </tableColumn>
    <tableColumn id="15" xr3:uid="{00000000-0010-0000-0300-00000F000000}" name="# of courses remaining" totalsRowFunction="sum" dataDxfId="1986" totalsRowDxfId="1985">
      <calculatedColumnFormula>COUNTIFS(Table2[Course Title],Table311[[#This Row],[Courses - Planned vs Need (Active Courses)]],Table2[Remaining Courses],"1")</calculatedColumnFormula>
    </tableColumn>
    <tableColumn id="16" xr3:uid="{00000000-0010-0000-0300-000010000000}" name="To date % of graduates towards Fleet Need" totalsRowFunction="average" dataDxfId="1984" totalsRowDxfId="1983" dataCellStyle="Percent">
      <calculatedColumnFormula>IFERROR((K5/H5),100%)</calculatedColumnFormula>
    </tableColumn>
    <tableColumn id="23" xr3:uid="{00000000-0010-0000-0300-000017000000}" name="% of available quotas used" totalsRowFunction="custom" dataDxfId="1982" totalsRowDxfId="1981" dataCellStyle="Percent">
      <calculatedColumnFormula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calculatedColumnFormula>
      <totalsRowFormula>IFERROR((Table311[[#This Row],[Total Grads]]/((Table311[[#This Row],[Course Offerings]]-Table311[[#This Row],['# of course completion reports to be processed]]-Table311[[#This Row],['# of courses remaining]])*Table311[[#This Row],[Quota per Offering]])),0)</totalsRowFormula>
    </tableColumn>
    <tableColumn id="21" xr3:uid="{00000000-0010-0000-0300-000015000000}" name="% of available quotas used counting in no shows" dataDxfId="1980" totalsRowDxfId="1979" dataCellStyle="Percent">
      <calculatedColumnFormula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calculatedColumnFormula>
    </tableColumn>
    <tableColumn id="24" xr3:uid="{00000000-0010-0000-0300-000018000000}" name="Remaining FY26 QTR 1 and 2 Open Quotas" dataDxfId="1978" totalsRowDxfId="1977" dataCellStyle="Percent">
      <calculatedColumnFormula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calculatedColumnFormula>
    </tableColumn>
    <tableColumn id="17" xr3:uid="{00000000-0010-0000-0300-000011000000}" name="# of additional grads if all quotas are filled of course results remaining to be processed" totalsRowFunction="sum" dataDxfId="1976" totalsRowDxfId="1975">
      <calculatedColumnFormula>SUM(S5,T5)*F5</calculatedColumnFormula>
    </tableColumn>
    <tableColumn id="18" xr3:uid="{00000000-0010-0000-0300-000012000000}" name="Difference between completed and fleet need of completed, potentially remaining quotas, and processed courses" totalsRowFunction="sum" dataDxfId="1974" totalsRowDxfId="1973">
      <calculatedColumnFormula>Table311[[#This Row],[Fleet Quota Need]]-Table311[[#This Row],[Total Grads]]</calculatedColumnFormula>
    </tableColumn>
    <tableColumn id="19" xr3:uid="{00000000-0010-0000-0300-000013000000}" name="Comments" dataDxfId="1972" totalsRowDxfId="1971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2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5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</sheetPr>
  <dimension ref="A3:F8"/>
  <sheetViews>
    <sheetView workbookViewId="0">
      <selection activeCell="B4" sqref="B4"/>
    </sheetView>
  </sheetViews>
  <sheetFormatPr defaultRowHeight="15" x14ac:dyDescent="0.25"/>
  <cols>
    <col min="1" max="1" width="14" bestFit="1" customWidth="1"/>
    <col min="2" max="2" width="16.85546875" bestFit="1" customWidth="1"/>
    <col min="3" max="3" width="10.7109375" bestFit="1" customWidth="1"/>
    <col min="4" max="4" width="16.42578125" bestFit="1" customWidth="1"/>
    <col min="5" max="7" width="18.28515625" bestFit="1" customWidth="1"/>
    <col min="8" max="8" width="11.28515625" bestFit="1" customWidth="1"/>
  </cols>
  <sheetData>
    <row r="3" spans="1:6" x14ac:dyDescent="0.25">
      <c r="A3" t="s">
        <v>0</v>
      </c>
      <c r="B3" t="s">
        <v>1</v>
      </c>
      <c r="C3" t="s">
        <v>2</v>
      </c>
      <c r="D3" t="s">
        <v>3</v>
      </c>
    </row>
    <row r="4" spans="1:6" x14ac:dyDescent="0.25">
      <c r="A4" s="661">
        <v>126250</v>
      </c>
      <c r="B4" s="662">
        <v>3105</v>
      </c>
      <c r="C4" s="661">
        <v>27</v>
      </c>
      <c r="D4" s="661">
        <v>117</v>
      </c>
    </row>
    <row r="5" spans="1:6" x14ac:dyDescent="0.25">
      <c r="B5" s="5" t="s">
        <v>4</v>
      </c>
    </row>
    <row r="7" spans="1:6" x14ac:dyDescent="0.25">
      <c r="D7" s="50" t="s">
        <v>5</v>
      </c>
      <c r="E7" s="50">
        <f>GETPIVOTDATA("Sum of Graduates",$A$3)+GETPIVOTDATA("Sum of Fail",$A$3)</f>
        <v>3132</v>
      </c>
      <c r="F7" s="51">
        <f>E7/GETPIVOTDATA("Sum of Quotas",$A$3)</f>
        <v>2.4807920792079208E-2</v>
      </c>
    </row>
    <row r="8" spans="1:6" x14ac:dyDescent="0.25">
      <c r="D8" s="50" t="s">
        <v>6</v>
      </c>
      <c r="E8" s="50">
        <f>GETPIVOTDATA("Sum of Graduates",$A$3)+GETPIVOTDATA("Sum of Fail",$A$3)+GETPIVOTDATA("Sum of No Shows",$A$3)</f>
        <v>3249</v>
      </c>
      <c r="F8" s="51">
        <f>E8/GETPIVOTDATA("Sum of Quotas",$A$3)</f>
        <v>2.5734653465346535E-2</v>
      </c>
    </row>
  </sheetData>
  <pageMargins left="0.7" right="0.7" top="0.75" bottom="0.75" header="0.3" footer="0.3"/>
  <pageSetup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CE9E8-13EC-4B9E-A279-9E528C42A9C8}">
  <sheetPr>
    <pageSetUpPr fitToPage="1"/>
  </sheetPr>
  <dimension ref="A1:AA163"/>
  <sheetViews>
    <sheetView zoomScale="85" zoomScaleNormal="85" workbookViewId="0">
      <selection activeCell="A3" sqref="A3"/>
    </sheetView>
  </sheetViews>
  <sheetFormatPr defaultColWidth="8.7109375" defaultRowHeight="15" x14ac:dyDescent="0.25"/>
  <cols>
    <col min="1" max="1" width="29" style="8" customWidth="1"/>
    <col min="2" max="2" width="68.5703125" style="9" bestFit="1" customWidth="1"/>
    <col min="3" max="3" width="14.28515625" style="2" customWidth="1"/>
    <col min="4" max="4" width="16.28515625" style="11" customWidth="1"/>
    <col min="5" max="5" width="22.7109375" style="9" customWidth="1"/>
    <col min="6" max="6" width="17" style="10" customWidth="1"/>
    <col min="7" max="7" width="15.7109375" style="10" customWidth="1"/>
    <col min="8" max="9" width="14.7109375" style="33" bestFit="1" customWidth="1"/>
    <col min="10" max="14" width="14.7109375" style="33" hidden="1" customWidth="1"/>
    <col min="15" max="15" width="20" style="9" bestFit="1" customWidth="1"/>
    <col min="16" max="16" width="18.42578125" style="9" hidden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2" hidden="1" customWidth="1"/>
    <col min="21" max="21" width="12.28515625" style="32" hidden="1" customWidth="1"/>
    <col min="22" max="22" width="16.42578125" style="32" hidden="1" customWidth="1"/>
    <col min="23" max="23" width="15.7109375" style="32" hidden="1" customWidth="1"/>
    <col min="24" max="24" width="16.5703125" style="8" hidden="1" customWidth="1"/>
    <col min="25" max="25" width="16" style="32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281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30" customFormat="1" ht="72" customHeight="1" thickBot="1" x14ac:dyDescent="0.3">
      <c r="A3" s="26" t="s">
        <v>223</v>
      </c>
      <c r="B3" s="26" t="s">
        <v>130</v>
      </c>
      <c r="C3" s="26" t="s">
        <v>11</v>
      </c>
      <c r="D3" s="93" t="s">
        <v>131</v>
      </c>
      <c r="E3" s="26" t="s">
        <v>132</v>
      </c>
      <c r="F3" s="72" t="s">
        <v>282</v>
      </c>
      <c r="G3" s="72" t="s">
        <v>283</v>
      </c>
      <c r="H3" s="62" t="s">
        <v>135</v>
      </c>
      <c r="I3" s="62" t="s">
        <v>136</v>
      </c>
      <c r="J3" s="62" t="s">
        <v>137</v>
      </c>
      <c r="K3" s="62" t="s">
        <v>138</v>
      </c>
      <c r="L3" s="62" t="s">
        <v>139</v>
      </c>
      <c r="M3" s="62" t="s">
        <v>140</v>
      </c>
      <c r="N3" s="62" t="s">
        <v>141</v>
      </c>
      <c r="O3" s="26" t="s">
        <v>142</v>
      </c>
      <c r="P3" s="26" t="s">
        <v>143</v>
      </c>
      <c r="Q3" s="29" t="s">
        <v>144</v>
      </c>
      <c r="R3" s="29" t="s">
        <v>146</v>
      </c>
      <c r="S3" s="28" t="s">
        <v>150</v>
      </c>
      <c r="T3" s="28" t="s">
        <v>151</v>
      </c>
      <c r="U3" s="28" t="s">
        <v>152</v>
      </c>
      <c r="V3" s="28" t="s">
        <v>153</v>
      </c>
      <c r="W3" s="28" t="s">
        <v>154</v>
      </c>
      <c r="X3" s="28" t="s">
        <v>155</v>
      </c>
      <c r="Y3" s="28" t="s">
        <v>156</v>
      </c>
      <c r="Z3" s="28" t="s">
        <v>157</v>
      </c>
      <c r="AA3" s="28" t="s">
        <v>158</v>
      </c>
    </row>
    <row r="4" spans="1:27" s="76" customFormat="1" ht="14.25" customHeight="1" x14ac:dyDescent="0.25">
      <c r="A4" s="52"/>
      <c r="B4" s="69" t="s">
        <v>23</v>
      </c>
      <c r="C4" s="70" t="s">
        <v>26</v>
      </c>
      <c r="D4" s="70" t="s">
        <v>27</v>
      </c>
      <c r="E4" s="69" t="s">
        <v>25</v>
      </c>
      <c r="F4" s="72">
        <v>45600</v>
      </c>
      <c r="G4" s="72">
        <v>45604</v>
      </c>
      <c r="H4" s="75"/>
      <c r="I4" s="71">
        <v>0.54166666666666663</v>
      </c>
      <c r="J4" s="72"/>
      <c r="K4" s="72"/>
      <c r="L4" s="72"/>
      <c r="M4" s="72"/>
      <c r="N4" s="72"/>
      <c r="O4" s="69" t="s">
        <v>224</v>
      </c>
      <c r="P4" s="69"/>
      <c r="Q4" s="14">
        <v>45</v>
      </c>
      <c r="R4" s="187">
        <v>5</v>
      </c>
      <c r="S4" s="14"/>
      <c r="T4" s="73"/>
      <c r="U4" s="14"/>
      <c r="V4" s="14"/>
      <c r="W4" s="14"/>
      <c r="X4" s="69"/>
      <c r="Y4" s="60">
        <f ca="1">Table29[[#This Row],[5/9/2025]]+2-TODAY()</f>
        <v>-401</v>
      </c>
      <c r="Z4" s="14">
        <f>IF(ISBLANK(Table29[[#This Row],[Roster Received By]]),1,0)</f>
        <v>1</v>
      </c>
      <c r="AA4" s="14">
        <f ca="1">IF(Table29[[#This Row],[5/5/2025]]&gt;TODAY(),1,)</f>
        <v>0</v>
      </c>
    </row>
    <row r="5" spans="1:27" s="76" customFormat="1" ht="14.25" customHeight="1" x14ac:dyDescent="0.25">
      <c r="A5" s="52"/>
      <c r="B5" s="69" t="s">
        <v>23</v>
      </c>
      <c r="C5" s="70" t="s">
        <v>26</v>
      </c>
      <c r="D5" s="70" t="s">
        <v>27</v>
      </c>
      <c r="E5" s="69" t="s">
        <v>25</v>
      </c>
      <c r="F5" s="72">
        <v>45635</v>
      </c>
      <c r="G5" s="72">
        <v>45639</v>
      </c>
      <c r="H5" s="75"/>
      <c r="I5" s="71">
        <v>0.33333333333333331</v>
      </c>
      <c r="J5" s="72"/>
      <c r="K5" s="72"/>
      <c r="L5" s="72"/>
      <c r="M5" s="72"/>
      <c r="N5" s="72"/>
      <c r="O5" s="69" t="s">
        <v>284</v>
      </c>
      <c r="P5" s="69"/>
      <c r="Q5" s="14">
        <v>45</v>
      </c>
      <c r="R5" s="187">
        <v>5</v>
      </c>
      <c r="S5" s="14"/>
      <c r="T5" s="73"/>
      <c r="U5" s="14"/>
      <c r="V5" s="14"/>
      <c r="W5" s="14"/>
      <c r="X5" s="69"/>
      <c r="Y5" s="60">
        <f ca="1">Table29[[#This Row],[5/9/2025]]+2-TODAY()</f>
        <v>-366</v>
      </c>
      <c r="Z5" s="14">
        <f>IF(ISBLANK(Table29[[#This Row],[Roster Received By]]),1,0)</f>
        <v>1</v>
      </c>
      <c r="AA5" s="14">
        <f ca="1">IF(Table29[[#This Row],[5/5/2025]]&gt;TODAY(),1,)</f>
        <v>0</v>
      </c>
    </row>
    <row r="6" spans="1:27" s="76" customFormat="1" ht="14.25" customHeight="1" x14ac:dyDescent="0.25">
      <c r="A6" s="52"/>
      <c r="B6" s="69" t="s">
        <v>23</v>
      </c>
      <c r="C6" s="70" t="s">
        <v>26</v>
      </c>
      <c r="D6" s="70" t="s">
        <v>27</v>
      </c>
      <c r="E6" s="69" t="s">
        <v>25</v>
      </c>
      <c r="F6" s="72">
        <v>45670</v>
      </c>
      <c r="G6" s="72">
        <v>45674</v>
      </c>
      <c r="H6" s="75"/>
      <c r="I6" s="71">
        <v>0.54166666666666663</v>
      </c>
      <c r="J6" s="72"/>
      <c r="K6" s="72"/>
      <c r="L6" s="72"/>
      <c r="M6" s="72"/>
      <c r="N6" s="72"/>
      <c r="O6" s="69" t="s">
        <v>285</v>
      </c>
      <c r="P6" s="69"/>
      <c r="Q6" s="14">
        <v>45</v>
      </c>
      <c r="R6" s="187">
        <v>5</v>
      </c>
      <c r="S6" s="14"/>
      <c r="T6" s="73"/>
      <c r="U6" s="14"/>
      <c r="V6" s="14"/>
      <c r="W6" s="14"/>
      <c r="X6" s="69"/>
      <c r="Y6" s="60">
        <f ca="1">Table29[[#This Row],[5/9/2025]]+2-TODAY()</f>
        <v>-331</v>
      </c>
      <c r="Z6" s="14">
        <f>IF(ISBLANK(Table29[[#This Row],[Roster Received By]]),1,0)</f>
        <v>1</v>
      </c>
      <c r="AA6" s="14">
        <f ca="1">IF(Table29[[#This Row],[5/5/2025]]&gt;TODAY(),1,)</f>
        <v>0</v>
      </c>
    </row>
    <row r="7" spans="1:27" s="76" customFormat="1" ht="14.25" customHeight="1" x14ac:dyDescent="0.25">
      <c r="A7" s="69"/>
      <c r="B7" s="69" t="s">
        <v>23</v>
      </c>
      <c r="C7" s="70" t="s">
        <v>26</v>
      </c>
      <c r="D7" s="70" t="s">
        <v>27</v>
      </c>
      <c r="E7" s="69" t="s">
        <v>25</v>
      </c>
      <c r="F7" s="72">
        <v>45698</v>
      </c>
      <c r="G7" s="72">
        <v>45702</v>
      </c>
      <c r="H7" s="75"/>
      <c r="I7" s="71">
        <v>0.33333333333333331</v>
      </c>
      <c r="J7" s="72"/>
      <c r="K7" s="72"/>
      <c r="L7" s="72"/>
      <c r="M7" s="72"/>
      <c r="N7" s="72"/>
      <c r="O7" s="69" t="s">
        <v>224</v>
      </c>
      <c r="P7" s="69"/>
      <c r="Q7" s="14">
        <v>45</v>
      </c>
      <c r="R7" s="187">
        <v>5</v>
      </c>
      <c r="S7" s="14"/>
      <c r="T7" s="73"/>
      <c r="U7" s="14"/>
      <c r="V7" s="14"/>
      <c r="W7" s="14"/>
      <c r="X7" s="69"/>
      <c r="Y7" s="60">
        <f ca="1">Table29[[#This Row],[5/9/2025]]+2-TODAY()</f>
        <v>-303</v>
      </c>
      <c r="Z7" s="14">
        <f>IF(ISBLANK(Table29[[#This Row],[Roster Received By]]),1,0)</f>
        <v>1</v>
      </c>
      <c r="AA7" s="14">
        <f ca="1">IF(Table29[[#This Row],[5/5/2025]]&gt;TODAY(),1,)</f>
        <v>0</v>
      </c>
    </row>
    <row r="8" spans="1:27" s="76" customFormat="1" ht="14.25" customHeight="1" x14ac:dyDescent="0.25">
      <c r="A8" s="52"/>
      <c r="B8" s="69" t="s">
        <v>23</v>
      </c>
      <c r="C8" s="70" t="s">
        <v>26</v>
      </c>
      <c r="D8" s="70" t="s">
        <v>27</v>
      </c>
      <c r="E8" s="69" t="s">
        <v>25</v>
      </c>
      <c r="F8" s="72">
        <v>45728</v>
      </c>
      <c r="G8" s="72">
        <v>45732</v>
      </c>
      <c r="H8" s="72"/>
      <c r="I8" s="71">
        <v>0.54166666666666663</v>
      </c>
      <c r="J8" s="71"/>
      <c r="K8" s="71"/>
      <c r="L8" s="71"/>
      <c r="M8" s="71"/>
      <c r="N8" s="71"/>
      <c r="O8" s="69" t="s">
        <v>285</v>
      </c>
      <c r="P8" s="69"/>
      <c r="Q8" s="14">
        <v>45</v>
      </c>
      <c r="R8" s="187">
        <v>5</v>
      </c>
      <c r="S8" s="14"/>
      <c r="T8" s="73"/>
      <c r="U8" s="14"/>
      <c r="V8" s="14"/>
      <c r="W8" s="14"/>
      <c r="X8" s="69"/>
      <c r="Y8" s="60">
        <f ca="1">Table29[[#This Row],[5/9/2025]]+2-TODAY()</f>
        <v>-273</v>
      </c>
      <c r="Z8" s="14">
        <f>IF(ISBLANK(Table29[[#This Row],[Roster Received By]]),1,0)</f>
        <v>1</v>
      </c>
      <c r="AA8" s="14">
        <f ca="1">IF(Table29[[#This Row],[5/5/2025]]&gt;TODAY(),1,)</f>
        <v>0</v>
      </c>
    </row>
    <row r="9" spans="1:27" s="76" customFormat="1" ht="14.25" customHeight="1" x14ac:dyDescent="0.25">
      <c r="A9" s="52"/>
      <c r="B9" s="69" t="s">
        <v>23</v>
      </c>
      <c r="C9" s="70" t="s">
        <v>26</v>
      </c>
      <c r="D9" s="70" t="s">
        <v>27</v>
      </c>
      <c r="E9" s="69" t="s">
        <v>25</v>
      </c>
      <c r="F9" s="72">
        <v>45789</v>
      </c>
      <c r="G9" s="72">
        <v>45793</v>
      </c>
      <c r="H9" s="72"/>
      <c r="I9" s="71">
        <v>0.54166666666666663</v>
      </c>
      <c r="J9" s="71"/>
      <c r="K9" s="71"/>
      <c r="L9" s="71"/>
      <c r="M9" s="71"/>
      <c r="N9" s="71"/>
      <c r="O9" s="69" t="s">
        <v>284</v>
      </c>
      <c r="P9" s="69"/>
      <c r="Q9" s="14">
        <v>45</v>
      </c>
      <c r="R9" s="187">
        <v>5</v>
      </c>
      <c r="S9" s="14"/>
      <c r="T9" s="73"/>
      <c r="U9" s="14"/>
      <c r="V9" s="14"/>
      <c r="W9" s="14"/>
      <c r="X9" s="69"/>
      <c r="Y9" s="60">
        <f ca="1">Table29[[#This Row],[5/9/2025]]+2-TODAY()</f>
        <v>-212</v>
      </c>
      <c r="Z9" s="14">
        <f>IF(ISBLANK(Table29[[#This Row],[Roster Received By]]),1,0)</f>
        <v>1</v>
      </c>
      <c r="AA9" s="14">
        <f ca="1">IF(Table29[[#This Row],[5/5/2025]]&gt;TODAY(),1,)</f>
        <v>0</v>
      </c>
    </row>
    <row r="10" spans="1:27" s="76" customFormat="1" ht="14.25" customHeight="1" x14ac:dyDescent="0.25">
      <c r="A10" s="54"/>
      <c r="B10" s="69" t="s">
        <v>23</v>
      </c>
      <c r="C10" s="70" t="s">
        <v>26</v>
      </c>
      <c r="D10" s="70" t="s">
        <v>27</v>
      </c>
      <c r="E10" s="69" t="s">
        <v>25</v>
      </c>
      <c r="F10" s="72">
        <v>45831</v>
      </c>
      <c r="G10" s="72">
        <v>45835</v>
      </c>
      <c r="H10" s="75"/>
      <c r="I10" s="71">
        <v>0.54166666666666663</v>
      </c>
      <c r="J10" s="72"/>
      <c r="K10" s="72"/>
      <c r="L10" s="72"/>
      <c r="M10" s="72"/>
      <c r="N10" s="72"/>
      <c r="O10" s="69" t="s">
        <v>284</v>
      </c>
      <c r="P10" s="69"/>
      <c r="Q10" s="14">
        <v>45</v>
      </c>
      <c r="R10" s="187">
        <v>5</v>
      </c>
      <c r="S10" s="73"/>
      <c r="T10" s="73"/>
      <c r="U10" s="14"/>
      <c r="V10" s="14"/>
      <c r="W10" s="70"/>
      <c r="X10" s="69"/>
      <c r="Y10" s="79">
        <f ca="1">Table29[[#This Row],[5/9/2025]]+2-TODAY()</f>
        <v>-170</v>
      </c>
      <c r="Z10" s="14">
        <f>IF(ISBLANK(Table29[[#This Row],[Roster Received By]]),1,0)</f>
        <v>1</v>
      </c>
      <c r="AA10" s="70">
        <f ca="1">IF(Table29[[#This Row],[5/5/2025]]&gt;TODAY(),1,)</f>
        <v>0</v>
      </c>
    </row>
    <row r="11" spans="1:27" s="76" customFormat="1" ht="16.5" customHeight="1" x14ac:dyDescent="0.25">
      <c r="A11" s="70"/>
      <c r="B11" s="69" t="s">
        <v>23</v>
      </c>
      <c r="C11" s="70" t="s">
        <v>26</v>
      </c>
      <c r="D11" s="70" t="s">
        <v>27</v>
      </c>
      <c r="E11" s="69" t="s">
        <v>25</v>
      </c>
      <c r="F11" s="72">
        <v>45859</v>
      </c>
      <c r="G11" s="72">
        <v>45863</v>
      </c>
      <c r="H11" s="78"/>
      <c r="I11" s="71">
        <v>0.54166666666666663</v>
      </c>
      <c r="J11" s="72"/>
      <c r="K11" s="72"/>
      <c r="L11" s="72"/>
      <c r="M11" s="72"/>
      <c r="N11" s="72"/>
      <c r="O11" s="69" t="s">
        <v>284</v>
      </c>
      <c r="P11" s="69"/>
      <c r="Q11" s="14">
        <v>45</v>
      </c>
      <c r="R11" s="187">
        <v>5</v>
      </c>
      <c r="S11" s="77"/>
      <c r="T11" s="73"/>
      <c r="U11" s="14"/>
      <c r="V11" s="14"/>
      <c r="W11" s="14"/>
      <c r="X11" s="69"/>
      <c r="Y11" s="60">
        <f ca="1">Table29[[#This Row],[5/9/2025]]+2-TODAY()</f>
        <v>-142</v>
      </c>
      <c r="Z11" s="14">
        <f>IF(ISBLANK(Table29[[#This Row],[Roster Received By]]),1,0)</f>
        <v>1</v>
      </c>
      <c r="AA11" s="14">
        <f ca="1">IF(Table29[[#This Row],[5/5/2025]]&gt;TODAY(),1,)</f>
        <v>0</v>
      </c>
    </row>
    <row r="12" spans="1:27" s="76" customFormat="1" ht="14.25" customHeight="1" x14ac:dyDescent="0.25">
      <c r="A12" s="52"/>
      <c r="B12" s="69" t="s">
        <v>23</v>
      </c>
      <c r="C12" s="70" t="s">
        <v>26</v>
      </c>
      <c r="D12" s="70" t="s">
        <v>27</v>
      </c>
      <c r="E12" s="69" t="s">
        <v>25</v>
      </c>
      <c r="F12" s="72">
        <v>45873</v>
      </c>
      <c r="G12" s="72">
        <v>45877</v>
      </c>
      <c r="H12" s="78"/>
      <c r="I12" s="71">
        <v>0.54166666666666663</v>
      </c>
      <c r="J12" s="72"/>
      <c r="K12" s="72"/>
      <c r="L12" s="72"/>
      <c r="M12" s="72"/>
      <c r="N12" s="72"/>
      <c r="O12" s="69" t="s">
        <v>224</v>
      </c>
      <c r="P12" s="69"/>
      <c r="Q12" s="14">
        <v>45</v>
      </c>
      <c r="R12" s="187">
        <v>5</v>
      </c>
      <c r="S12" s="14"/>
      <c r="T12" s="73"/>
      <c r="U12" s="14"/>
      <c r="V12" s="14"/>
      <c r="W12" s="14"/>
      <c r="X12" s="69"/>
      <c r="Y12" s="60">
        <f ca="1">Table29[[#This Row],[5/9/2025]]+2-TODAY()</f>
        <v>-128</v>
      </c>
      <c r="Z12" s="14">
        <f>IF(ISBLANK(Table29[[#This Row],[Roster Received By]]),1,0)</f>
        <v>1</v>
      </c>
      <c r="AA12" s="14">
        <f ca="1">IF(Table29[[#This Row],[5/5/2025]]&gt;TODAY(),1,)</f>
        <v>0</v>
      </c>
    </row>
    <row r="13" spans="1:27" s="76" customFormat="1" ht="16.5" customHeight="1" x14ac:dyDescent="0.25">
      <c r="A13" s="69"/>
      <c r="B13" s="69" t="s">
        <v>61</v>
      </c>
      <c r="C13" s="70" t="s">
        <v>62</v>
      </c>
      <c r="D13" s="70">
        <v>3682</v>
      </c>
      <c r="E13" s="69" t="s">
        <v>171</v>
      </c>
      <c r="F13" s="72">
        <v>45663</v>
      </c>
      <c r="G13" s="72">
        <v>45667</v>
      </c>
      <c r="H13" s="75">
        <v>0.33333333333333331</v>
      </c>
      <c r="I13" s="75"/>
      <c r="J13" s="72"/>
      <c r="K13" s="72"/>
      <c r="L13" s="72"/>
      <c r="M13" s="72"/>
      <c r="N13" s="72"/>
      <c r="O13" s="69" t="s">
        <v>168</v>
      </c>
      <c r="P13" s="69"/>
      <c r="Q13" s="73">
        <v>40</v>
      </c>
      <c r="R13" s="74">
        <v>5</v>
      </c>
      <c r="S13" s="73"/>
      <c r="T13" s="73"/>
      <c r="U13" s="14"/>
      <c r="V13" s="14"/>
      <c r="W13" s="14"/>
      <c r="X13" s="69"/>
      <c r="Y13" s="60">
        <f ca="1">Table29[[#This Row],[5/9/2025]]+2-TODAY()</f>
        <v>-338</v>
      </c>
      <c r="Z13" s="14">
        <f>IF(ISBLANK(Table29[[#This Row],[Roster Received By]]),1,0)</f>
        <v>1</v>
      </c>
      <c r="AA13" s="14">
        <f ca="1">IF(Table29[[#This Row],[5/5/2025]]&gt;TODAY(),1,)</f>
        <v>0</v>
      </c>
    </row>
    <row r="14" spans="1:27" s="76" customFormat="1" ht="14.25" customHeight="1" x14ac:dyDescent="0.25">
      <c r="A14" s="69"/>
      <c r="B14" s="69" t="s">
        <v>61</v>
      </c>
      <c r="C14" s="70" t="s">
        <v>62</v>
      </c>
      <c r="D14" s="70">
        <v>3682</v>
      </c>
      <c r="E14" s="69" t="s">
        <v>263</v>
      </c>
      <c r="F14" s="80">
        <v>45670</v>
      </c>
      <c r="G14" s="80">
        <v>45674</v>
      </c>
      <c r="H14" s="75">
        <v>0.33333333333333331</v>
      </c>
      <c r="I14" s="75"/>
      <c r="J14" s="72"/>
      <c r="K14" s="72"/>
      <c r="L14" s="72"/>
      <c r="M14" s="72"/>
      <c r="N14" s="72"/>
      <c r="O14" s="69" t="s">
        <v>168</v>
      </c>
      <c r="P14" s="69"/>
      <c r="Q14" s="14">
        <v>40</v>
      </c>
      <c r="R14" s="14">
        <v>5</v>
      </c>
      <c r="S14" s="73"/>
      <c r="T14" s="73"/>
      <c r="U14" s="14"/>
      <c r="V14" s="14"/>
      <c r="W14" s="14"/>
      <c r="X14" s="69"/>
      <c r="Y14" s="60">
        <f ca="1">Table29[[#This Row],[5/9/2025]]+2-TODAY()</f>
        <v>-331</v>
      </c>
      <c r="Z14" s="14">
        <f>IF(ISBLANK(Table29[[#This Row],[Roster Received By]]),1,0)</f>
        <v>1</v>
      </c>
      <c r="AA14" s="14">
        <f ca="1">IF(Table29[[#This Row],[5/5/2025]]&gt;TODAY(),1,)</f>
        <v>0</v>
      </c>
    </row>
    <row r="15" spans="1:27" s="76" customFormat="1" ht="14.25" customHeight="1" x14ac:dyDescent="0.25">
      <c r="A15" s="70"/>
      <c r="B15" s="69" t="s">
        <v>61</v>
      </c>
      <c r="C15" s="70" t="s">
        <v>62</v>
      </c>
      <c r="D15" s="70">
        <v>3682</v>
      </c>
      <c r="E15" s="69" t="s">
        <v>264</v>
      </c>
      <c r="F15" s="72">
        <v>45691</v>
      </c>
      <c r="G15" s="72">
        <v>45695</v>
      </c>
      <c r="H15" s="75">
        <v>0.33333333333333331</v>
      </c>
      <c r="I15" s="75"/>
      <c r="J15" s="72"/>
      <c r="K15" s="72"/>
      <c r="L15" s="72"/>
      <c r="M15" s="72"/>
      <c r="N15" s="72"/>
      <c r="O15" s="69" t="s">
        <v>168</v>
      </c>
      <c r="P15" s="69"/>
      <c r="Q15" s="74">
        <v>40</v>
      </c>
      <c r="R15" s="74">
        <v>5</v>
      </c>
      <c r="S15" s="74"/>
      <c r="T15" s="74"/>
      <c r="U15" s="70"/>
      <c r="V15" s="70"/>
      <c r="W15" s="74"/>
      <c r="X15" s="70"/>
      <c r="Y15" s="79">
        <f ca="1">Table29[[#This Row],[5/9/2025]]+2-TODAY()</f>
        <v>-310</v>
      </c>
      <c r="Z15" s="70">
        <f>IF(ISBLANK(Table29[[#This Row],[Roster Received By]]),1,0)</f>
        <v>1</v>
      </c>
      <c r="AA15" s="70">
        <f ca="1">IF(Table29[[#This Row],[5/5/2025]]&gt;TODAY(),1,)</f>
        <v>0</v>
      </c>
    </row>
    <row r="16" spans="1:27" s="76" customFormat="1" ht="14.25" customHeight="1" x14ac:dyDescent="0.25">
      <c r="A16" s="70"/>
      <c r="B16" s="69" t="s">
        <v>61</v>
      </c>
      <c r="C16" s="70" t="s">
        <v>62</v>
      </c>
      <c r="D16" s="70">
        <v>3682</v>
      </c>
      <c r="E16" s="69" t="s">
        <v>286</v>
      </c>
      <c r="F16" s="72">
        <v>45712</v>
      </c>
      <c r="G16" s="72">
        <v>45716</v>
      </c>
      <c r="H16" s="75">
        <v>0.33333333333333331</v>
      </c>
      <c r="I16" s="75"/>
      <c r="J16" s="72"/>
      <c r="K16" s="72"/>
      <c r="L16" s="72"/>
      <c r="M16" s="72"/>
      <c r="N16" s="72"/>
      <c r="O16" s="69" t="s">
        <v>168</v>
      </c>
      <c r="P16" s="69"/>
      <c r="Q16" s="74">
        <v>40</v>
      </c>
      <c r="R16" s="74">
        <v>5</v>
      </c>
      <c r="S16" s="74"/>
      <c r="T16" s="74"/>
      <c r="U16" s="70"/>
      <c r="V16" s="70"/>
      <c r="W16" s="74"/>
      <c r="X16" s="70"/>
      <c r="Y16" s="79">
        <f ca="1">Table29[[#This Row],[5/9/2025]]+2-TODAY()</f>
        <v>-289</v>
      </c>
      <c r="Z16" s="70">
        <f>IF(ISBLANK(Table29[[#This Row],[Roster Received By]]),1,0)</f>
        <v>1</v>
      </c>
      <c r="AA16" s="70">
        <f ca="1">IF(Table29[[#This Row],[5/5/2025]]&gt;TODAY(),1,)</f>
        <v>0</v>
      </c>
    </row>
    <row r="17" spans="1:27" s="108" customFormat="1" ht="14.25" customHeight="1" x14ac:dyDescent="0.25">
      <c r="A17" s="70"/>
      <c r="B17" s="69" t="s">
        <v>61</v>
      </c>
      <c r="C17" s="70" t="s">
        <v>62</v>
      </c>
      <c r="D17" s="70">
        <v>3682</v>
      </c>
      <c r="E17" s="69" t="s">
        <v>287</v>
      </c>
      <c r="F17" s="72">
        <v>45726</v>
      </c>
      <c r="G17" s="72">
        <v>45730</v>
      </c>
      <c r="H17" s="75">
        <v>0.33333333333333331</v>
      </c>
      <c r="I17" s="75"/>
      <c r="J17" s="72"/>
      <c r="K17" s="72"/>
      <c r="L17" s="72"/>
      <c r="M17" s="72"/>
      <c r="N17" s="72"/>
      <c r="O17" s="69" t="s">
        <v>168</v>
      </c>
      <c r="P17" s="69"/>
      <c r="Q17" s="74">
        <v>40</v>
      </c>
      <c r="R17" s="74">
        <v>5</v>
      </c>
      <c r="S17" s="74"/>
      <c r="T17" s="74"/>
      <c r="U17" s="70"/>
      <c r="V17" s="70"/>
      <c r="W17" s="74"/>
      <c r="X17" s="70"/>
      <c r="Y17" s="79">
        <f ca="1">Table29[[#This Row],[5/9/2025]]+2-TODAY()</f>
        <v>-275</v>
      </c>
      <c r="Z17" s="70">
        <f>IF(ISBLANK(Table29[[#This Row],[Roster Received By]]),1,0)</f>
        <v>1</v>
      </c>
      <c r="AA17" s="70">
        <f ca="1">IF(Table29[[#This Row],[5/5/2025]]&gt;TODAY(),1,)</f>
        <v>0</v>
      </c>
    </row>
    <row r="18" spans="1:27" s="76" customFormat="1" ht="16.5" customHeight="1" x14ac:dyDescent="0.25">
      <c r="A18" s="70"/>
      <c r="B18" s="69" t="s">
        <v>61</v>
      </c>
      <c r="C18" s="70" t="s">
        <v>62</v>
      </c>
      <c r="D18" s="70">
        <v>3682</v>
      </c>
      <c r="E18" s="69" t="s">
        <v>162</v>
      </c>
      <c r="F18" s="72">
        <v>45733</v>
      </c>
      <c r="G18" s="72">
        <v>45737</v>
      </c>
      <c r="H18" s="75">
        <v>0.33333333333333331</v>
      </c>
      <c r="I18" s="75"/>
      <c r="J18" s="72"/>
      <c r="K18" s="72"/>
      <c r="L18" s="72"/>
      <c r="M18" s="72"/>
      <c r="N18" s="72"/>
      <c r="O18" s="69" t="s">
        <v>168</v>
      </c>
      <c r="P18" s="69"/>
      <c r="Q18" s="74">
        <v>40</v>
      </c>
      <c r="R18" s="74">
        <v>5</v>
      </c>
      <c r="S18" s="74"/>
      <c r="T18" s="74"/>
      <c r="U18" s="70"/>
      <c r="V18" s="70"/>
      <c r="W18" s="74"/>
      <c r="X18" s="70"/>
      <c r="Y18" s="79">
        <f ca="1">Table29[[#This Row],[5/9/2025]]+2-TODAY()</f>
        <v>-268</v>
      </c>
      <c r="Z18" s="70">
        <f>IF(ISBLANK(Table29[[#This Row],[Roster Received By]]),1,0)</f>
        <v>1</v>
      </c>
      <c r="AA18" s="70">
        <f ca="1">IF(Table29[[#This Row],[5/5/2025]]&gt;TODAY(),1,)</f>
        <v>0</v>
      </c>
    </row>
    <row r="19" spans="1:27" s="76" customFormat="1" ht="16.5" customHeight="1" x14ac:dyDescent="0.25">
      <c r="A19" s="70"/>
      <c r="B19" s="69" t="s">
        <v>61</v>
      </c>
      <c r="C19" s="70" t="s">
        <v>62</v>
      </c>
      <c r="D19" s="70">
        <v>3682</v>
      </c>
      <c r="E19" s="69" t="s">
        <v>288</v>
      </c>
      <c r="F19" s="72">
        <v>45747</v>
      </c>
      <c r="G19" s="72">
        <v>45751</v>
      </c>
      <c r="H19" s="75">
        <v>0.33333333333333331</v>
      </c>
      <c r="I19" s="75"/>
      <c r="J19" s="72"/>
      <c r="K19" s="72"/>
      <c r="L19" s="72"/>
      <c r="M19" s="72"/>
      <c r="N19" s="72"/>
      <c r="O19" s="69" t="s">
        <v>168</v>
      </c>
      <c r="P19" s="69"/>
      <c r="Q19" s="74">
        <v>40</v>
      </c>
      <c r="R19" s="74">
        <v>5</v>
      </c>
      <c r="S19" s="74"/>
      <c r="T19" s="74"/>
      <c r="U19" s="70"/>
      <c r="V19" s="70"/>
      <c r="W19" s="74"/>
      <c r="X19" s="70"/>
      <c r="Y19" s="79">
        <f ca="1">Table29[[#This Row],[5/9/2025]]+2-TODAY()</f>
        <v>-254</v>
      </c>
      <c r="Z19" s="70">
        <f>IF(ISBLANK(Table29[[#This Row],[Roster Received By]]),1,0)</f>
        <v>1</v>
      </c>
      <c r="AA19" s="70">
        <f ca="1">IF(Table29[[#This Row],[5/5/2025]]&gt;TODAY(),1,)</f>
        <v>0</v>
      </c>
    </row>
    <row r="20" spans="1:27" s="76" customFormat="1" ht="16.5" customHeight="1" x14ac:dyDescent="0.25">
      <c r="A20" s="70" t="s">
        <v>289</v>
      </c>
      <c r="B20" s="69" t="s">
        <v>61</v>
      </c>
      <c r="C20" s="70" t="s">
        <v>62</v>
      </c>
      <c r="D20" s="70">
        <v>3682</v>
      </c>
      <c r="E20" s="69" t="s">
        <v>169</v>
      </c>
      <c r="F20" s="72">
        <v>45754</v>
      </c>
      <c r="G20" s="72">
        <v>45758</v>
      </c>
      <c r="H20" s="75">
        <v>0.33333333333333331</v>
      </c>
      <c r="I20" s="75"/>
      <c r="J20" s="72"/>
      <c r="K20" s="72"/>
      <c r="L20" s="72"/>
      <c r="M20" s="72"/>
      <c r="N20" s="72"/>
      <c r="O20" s="69" t="s">
        <v>168</v>
      </c>
      <c r="P20" s="69"/>
      <c r="Q20" s="74">
        <v>40</v>
      </c>
      <c r="R20" s="74">
        <v>5</v>
      </c>
      <c r="S20" s="74"/>
      <c r="T20" s="74"/>
      <c r="U20" s="70"/>
      <c r="V20" s="70"/>
      <c r="W20" s="74"/>
      <c r="X20" s="70"/>
      <c r="Y20" s="79">
        <f ca="1">Table29[[#This Row],[5/9/2025]]+2-TODAY()</f>
        <v>-247</v>
      </c>
      <c r="Z20" s="70">
        <f>IF(ISBLANK(Table29[[#This Row],[Roster Received By]]),1,0)</f>
        <v>1</v>
      </c>
      <c r="AA20" s="70">
        <f ca="1">IF(Table29[[#This Row],[5/5/2025]]&gt;TODAY(),1,)</f>
        <v>0</v>
      </c>
    </row>
    <row r="21" spans="1:27" s="76" customFormat="1" ht="16.5" customHeight="1" x14ac:dyDescent="0.25">
      <c r="A21" s="70"/>
      <c r="B21" s="69" t="s">
        <v>61</v>
      </c>
      <c r="C21" s="70" t="s">
        <v>62</v>
      </c>
      <c r="D21" s="70">
        <v>3682</v>
      </c>
      <c r="E21" s="69" t="s">
        <v>290</v>
      </c>
      <c r="F21" s="72">
        <v>45754</v>
      </c>
      <c r="G21" s="72">
        <v>45758</v>
      </c>
      <c r="H21" s="75">
        <v>0.33333333333333331</v>
      </c>
      <c r="I21" s="75"/>
      <c r="J21" s="72"/>
      <c r="K21" s="72"/>
      <c r="L21" s="72"/>
      <c r="M21" s="72"/>
      <c r="N21" s="72"/>
      <c r="O21" s="69" t="s">
        <v>168</v>
      </c>
      <c r="P21" s="69"/>
      <c r="Q21" s="74">
        <v>40</v>
      </c>
      <c r="R21" s="74">
        <v>5</v>
      </c>
      <c r="S21" s="74"/>
      <c r="T21" s="74"/>
      <c r="U21" s="70"/>
      <c r="V21" s="70"/>
      <c r="W21" s="74"/>
      <c r="X21" s="70"/>
      <c r="Y21" s="79">
        <f ca="1">Table29[[#This Row],[5/9/2025]]+2-TODAY()</f>
        <v>-247</v>
      </c>
      <c r="Z21" s="70">
        <f>IF(ISBLANK(Table29[[#This Row],[Roster Received By]]),1,0)</f>
        <v>1</v>
      </c>
      <c r="AA21" s="70">
        <f ca="1">IF(Table29[[#This Row],[5/5/2025]]&gt;TODAY(),1,)</f>
        <v>0</v>
      </c>
    </row>
    <row r="22" spans="1:27" s="76" customFormat="1" ht="16.5" customHeight="1" x14ac:dyDescent="0.25">
      <c r="A22" s="70"/>
      <c r="B22" s="69" t="s">
        <v>61</v>
      </c>
      <c r="C22" s="70" t="s">
        <v>62</v>
      </c>
      <c r="D22" s="70">
        <v>3682</v>
      </c>
      <c r="E22" s="69" t="s">
        <v>291</v>
      </c>
      <c r="F22" s="72">
        <v>45761</v>
      </c>
      <c r="G22" s="72">
        <v>45765</v>
      </c>
      <c r="H22" s="75">
        <v>0.33333333333333331</v>
      </c>
      <c r="I22" s="75"/>
      <c r="J22" s="72"/>
      <c r="K22" s="72"/>
      <c r="L22" s="72"/>
      <c r="M22" s="72"/>
      <c r="N22" s="72"/>
      <c r="O22" s="69" t="s">
        <v>168</v>
      </c>
      <c r="P22" s="69"/>
      <c r="Q22" s="74">
        <v>40</v>
      </c>
      <c r="R22" s="74">
        <v>5</v>
      </c>
      <c r="S22" s="74"/>
      <c r="T22" s="74"/>
      <c r="U22" s="70"/>
      <c r="V22" s="70"/>
      <c r="W22" s="74"/>
      <c r="X22" s="70"/>
      <c r="Y22" s="79">
        <f ca="1">Table29[[#This Row],[5/9/2025]]+2-TODAY()</f>
        <v>-240</v>
      </c>
      <c r="Z22" s="70">
        <f>IF(ISBLANK(Table29[[#This Row],[Roster Received By]]),1,0)</f>
        <v>1</v>
      </c>
      <c r="AA22" s="70">
        <f ca="1">IF(Table29[[#This Row],[5/5/2025]]&gt;TODAY(),1,)</f>
        <v>0</v>
      </c>
    </row>
    <row r="23" spans="1:27" s="76" customFormat="1" ht="14.25" customHeight="1" x14ac:dyDescent="0.25">
      <c r="A23" s="70" t="s">
        <v>292</v>
      </c>
      <c r="B23" s="69" t="s">
        <v>61</v>
      </c>
      <c r="C23" s="70" t="s">
        <v>62</v>
      </c>
      <c r="D23" s="70">
        <v>3682</v>
      </c>
      <c r="E23" s="69" t="s">
        <v>170</v>
      </c>
      <c r="F23" s="72">
        <v>45768</v>
      </c>
      <c r="G23" s="72">
        <v>45772</v>
      </c>
      <c r="H23" s="75">
        <v>0.33333333333333331</v>
      </c>
      <c r="I23" s="75"/>
      <c r="J23" s="72"/>
      <c r="K23" s="72"/>
      <c r="L23" s="72"/>
      <c r="M23" s="72"/>
      <c r="N23" s="72"/>
      <c r="O23" s="69" t="s">
        <v>168</v>
      </c>
      <c r="P23" s="69"/>
      <c r="Q23" s="74">
        <v>40</v>
      </c>
      <c r="R23" s="74">
        <v>5</v>
      </c>
      <c r="S23" s="74"/>
      <c r="T23" s="74"/>
      <c r="U23" s="70"/>
      <c r="V23" s="70"/>
      <c r="W23" s="74"/>
      <c r="X23" s="70"/>
      <c r="Y23" s="79">
        <f ca="1">Table29[[#This Row],[5/9/2025]]+2-TODAY()</f>
        <v>-233</v>
      </c>
      <c r="Z23" s="70">
        <f>IF(ISBLANK(Table29[[#This Row],[Roster Received By]]),1,0)</f>
        <v>1</v>
      </c>
      <c r="AA23" s="70">
        <f ca="1">IF(Table29[[#This Row],[5/5/2025]]&gt;TODAY(),1,)</f>
        <v>0</v>
      </c>
    </row>
    <row r="24" spans="1:27" s="76" customFormat="1" ht="14.25" customHeight="1" x14ac:dyDescent="0.25">
      <c r="A24" s="70"/>
      <c r="B24" s="69" t="s">
        <v>61</v>
      </c>
      <c r="C24" s="70" t="s">
        <v>62</v>
      </c>
      <c r="D24" s="70">
        <v>3682</v>
      </c>
      <c r="E24" s="69" t="s">
        <v>293</v>
      </c>
      <c r="F24" s="72">
        <v>45796</v>
      </c>
      <c r="G24" s="72">
        <v>45800</v>
      </c>
      <c r="H24" s="75">
        <v>0.33333333333333331</v>
      </c>
      <c r="I24" s="75"/>
      <c r="J24" s="72"/>
      <c r="K24" s="72"/>
      <c r="L24" s="72"/>
      <c r="M24" s="72"/>
      <c r="N24" s="72"/>
      <c r="O24" s="69" t="s">
        <v>168</v>
      </c>
      <c r="P24" s="69"/>
      <c r="Q24" s="74">
        <v>40</v>
      </c>
      <c r="R24" s="74">
        <v>5</v>
      </c>
      <c r="S24" s="74"/>
      <c r="T24" s="74"/>
      <c r="U24" s="70"/>
      <c r="V24" s="70"/>
      <c r="W24" s="74"/>
      <c r="X24" s="70"/>
      <c r="Y24" s="79">
        <f ca="1">Table29[[#This Row],[5/9/2025]]+2-TODAY()</f>
        <v>-205</v>
      </c>
      <c r="Z24" s="70">
        <f>IF(ISBLANK(Table29[[#This Row],[Roster Received By]]),1,0)</f>
        <v>1</v>
      </c>
      <c r="AA24" s="70">
        <f ca="1">IF(Table29[[#This Row],[5/5/2025]]&gt;TODAY(),1,)</f>
        <v>0</v>
      </c>
    </row>
    <row r="25" spans="1:27" s="76" customFormat="1" ht="16.5" customHeight="1" x14ac:dyDescent="0.25">
      <c r="A25" s="70"/>
      <c r="B25" s="69" t="s">
        <v>61</v>
      </c>
      <c r="C25" s="70" t="s">
        <v>62</v>
      </c>
      <c r="D25" s="70">
        <v>3682</v>
      </c>
      <c r="E25" s="69" t="s">
        <v>254</v>
      </c>
      <c r="F25" s="72">
        <v>45817</v>
      </c>
      <c r="G25" s="72">
        <v>45913</v>
      </c>
      <c r="H25" s="75">
        <v>0.33333333333333331</v>
      </c>
      <c r="I25" s="75"/>
      <c r="J25" s="72"/>
      <c r="K25" s="72"/>
      <c r="L25" s="72"/>
      <c r="M25" s="72"/>
      <c r="N25" s="72"/>
      <c r="O25" s="69" t="s">
        <v>168</v>
      </c>
      <c r="P25" s="69"/>
      <c r="Q25" s="74">
        <v>40</v>
      </c>
      <c r="R25" s="74">
        <v>5</v>
      </c>
      <c r="S25" s="74"/>
      <c r="T25" s="74"/>
      <c r="U25" s="70"/>
      <c r="V25" s="70"/>
      <c r="W25" s="74"/>
      <c r="X25" s="70"/>
      <c r="Y25" s="79">
        <f ca="1">Table29[[#This Row],[5/9/2025]]+2-TODAY()</f>
        <v>-92</v>
      </c>
      <c r="Z25" s="70">
        <f>IF(ISBLANK(Table29[[#This Row],[Roster Received By]]),1,0)</f>
        <v>1</v>
      </c>
      <c r="AA25" s="70">
        <f ca="1">IF(Table29[[#This Row],[5/5/2025]]&gt;TODAY(),1,)</f>
        <v>0</v>
      </c>
    </row>
    <row r="26" spans="1:27" s="76" customFormat="1" ht="16.5" customHeight="1" x14ac:dyDescent="0.25">
      <c r="A26" s="70"/>
      <c r="B26" s="69" t="s">
        <v>61</v>
      </c>
      <c r="C26" s="70" t="s">
        <v>62</v>
      </c>
      <c r="D26" s="70">
        <v>3682</v>
      </c>
      <c r="E26" s="69" t="s">
        <v>278</v>
      </c>
      <c r="F26" s="72">
        <v>45817</v>
      </c>
      <c r="G26" s="72">
        <v>45821</v>
      </c>
      <c r="H26" s="75">
        <v>0.33333333333333331</v>
      </c>
      <c r="I26" s="75"/>
      <c r="J26" s="72"/>
      <c r="K26" s="72"/>
      <c r="L26" s="72"/>
      <c r="M26" s="72"/>
      <c r="N26" s="72"/>
      <c r="O26" s="69" t="s">
        <v>168</v>
      </c>
      <c r="P26" s="69"/>
      <c r="Q26" s="74">
        <v>40</v>
      </c>
      <c r="R26" s="74">
        <v>5</v>
      </c>
      <c r="S26" s="74"/>
      <c r="T26" s="74"/>
      <c r="U26" s="70"/>
      <c r="V26" s="70"/>
      <c r="W26" s="74"/>
      <c r="X26" s="70"/>
      <c r="Y26" s="79">
        <f ca="1">Table29[[#This Row],[5/9/2025]]+2-TODAY()</f>
        <v>-184</v>
      </c>
      <c r="Z26" s="70">
        <f>IF(ISBLANK(Table29[[#This Row],[Roster Received By]]),1,0)</f>
        <v>1</v>
      </c>
      <c r="AA26" s="70">
        <f ca="1">IF(Table29[[#This Row],[5/5/2025]]&gt;TODAY(),1,)</f>
        <v>0</v>
      </c>
    </row>
    <row r="27" spans="1:27" s="76" customFormat="1" ht="16.5" customHeight="1" x14ac:dyDescent="0.25">
      <c r="A27" s="70"/>
      <c r="B27" s="69" t="s">
        <v>61</v>
      </c>
      <c r="C27" s="70" t="s">
        <v>62</v>
      </c>
      <c r="D27" s="70">
        <v>3682</v>
      </c>
      <c r="E27" s="69" t="s">
        <v>294</v>
      </c>
      <c r="F27" s="72">
        <v>45873</v>
      </c>
      <c r="G27" s="72">
        <v>45877</v>
      </c>
      <c r="H27" s="75">
        <v>0.33333333333333331</v>
      </c>
      <c r="I27" s="75"/>
      <c r="J27" s="72"/>
      <c r="K27" s="72"/>
      <c r="L27" s="72"/>
      <c r="M27" s="72"/>
      <c r="N27" s="72"/>
      <c r="O27" s="69" t="s">
        <v>168</v>
      </c>
      <c r="P27" s="69"/>
      <c r="Q27" s="74">
        <v>40</v>
      </c>
      <c r="R27" s="74">
        <v>5</v>
      </c>
      <c r="S27" s="74"/>
      <c r="T27" s="74"/>
      <c r="U27" s="70"/>
      <c r="V27" s="70"/>
      <c r="W27" s="74"/>
      <c r="X27" s="70"/>
      <c r="Y27" s="79">
        <f ca="1">Table29[[#This Row],[5/9/2025]]+2-TODAY()</f>
        <v>-128</v>
      </c>
      <c r="Z27" s="70">
        <f>IF(ISBLANK(Table29[[#This Row],[Roster Received By]]),1,0)</f>
        <v>1</v>
      </c>
      <c r="AA27" s="70">
        <f ca="1">IF(Table29[[#This Row],[5/5/2025]]&gt;TODAY(),1,)</f>
        <v>0</v>
      </c>
    </row>
    <row r="28" spans="1:27" s="76" customFormat="1" ht="14.25" customHeight="1" x14ac:dyDescent="0.25">
      <c r="A28" s="70"/>
      <c r="B28" s="69" t="s">
        <v>61</v>
      </c>
      <c r="C28" s="70" t="s">
        <v>62</v>
      </c>
      <c r="D28" s="70">
        <v>3682</v>
      </c>
      <c r="E28" s="69" t="s">
        <v>295</v>
      </c>
      <c r="F28" s="72">
        <v>45873</v>
      </c>
      <c r="G28" s="72">
        <v>45877</v>
      </c>
      <c r="H28" s="75">
        <v>0.33333333333333331</v>
      </c>
      <c r="I28" s="75"/>
      <c r="J28" s="72"/>
      <c r="K28" s="72"/>
      <c r="L28" s="72"/>
      <c r="M28" s="72"/>
      <c r="N28" s="72"/>
      <c r="O28" s="69" t="s">
        <v>168</v>
      </c>
      <c r="P28" s="69"/>
      <c r="Q28" s="74">
        <v>40</v>
      </c>
      <c r="R28" s="74">
        <v>5</v>
      </c>
      <c r="S28" s="74"/>
      <c r="T28" s="74"/>
      <c r="U28" s="70"/>
      <c r="V28" s="70"/>
      <c r="W28" s="74"/>
      <c r="X28" s="70"/>
      <c r="Y28" s="79">
        <f ca="1">Table29[[#This Row],[5/9/2025]]+2-TODAY()</f>
        <v>-128</v>
      </c>
      <c r="Z28" s="70">
        <f>IF(ISBLANK(Table29[[#This Row],[Roster Received By]]),1,0)</f>
        <v>1</v>
      </c>
      <c r="AA28" s="70">
        <f ca="1">IF(Table29[[#This Row],[5/5/2025]]&gt;TODAY(),1,)</f>
        <v>0</v>
      </c>
    </row>
    <row r="29" spans="1:27" s="76" customFormat="1" ht="14.25" customHeight="1" x14ac:dyDescent="0.25">
      <c r="A29" s="70" t="s">
        <v>296</v>
      </c>
      <c r="B29" s="69" t="s">
        <v>61</v>
      </c>
      <c r="C29" s="70" t="s">
        <v>62</v>
      </c>
      <c r="D29" s="70">
        <v>3682</v>
      </c>
      <c r="E29" s="69" t="s">
        <v>297</v>
      </c>
      <c r="F29" s="72">
        <v>45880</v>
      </c>
      <c r="G29" s="72">
        <v>45884</v>
      </c>
      <c r="H29" s="75">
        <v>0.33333333333333331</v>
      </c>
      <c r="I29" s="75"/>
      <c r="J29" s="72"/>
      <c r="K29" s="72"/>
      <c r="L29" s="72"/>
      <c r="M29" s="72"/>
      <c r="N29" s="72"/>
      <c r="O29" s="69" t="s">
        <v>168</v>
      </c>
      <c r="P29" s="69"/>
      <c r="Q29" s="74">
        <v>40</v>
      </c>
      <c r="R29" s="74">
        <v>5</v>
      </c>
      <c r="S29" s="74"/>
      <c r="T29" s="74"/>
      <c r="U29" s="70"/>
      <c r="V29" s="70"/>
      <c r="W29" s="74"/>
      <c r="X29" s="70"/>
      <c r="Y29" s="79">
        <f ca="1">Table29[[#This Row],[5/9/2025]]+2-TODAY()</f>
        <v>-121</v>
      </c>
      <c r="Z29" s="70">
        <f>IF(ISBLANK(Table29[[#This Row],[Roster Received By]]),1,0)</f>
        <v>1</v>
      </c>
      <c r="AA29" s="70">
        <f ca="1">IF(Table29[[#This Row],[5/5/2025]]&gt;TODAY(),1,)</f>
        <v>0</v>
      </c>
    </row>
    <row r="30" spans="1:27" s="76" customFormat="1" ht="14.25" customHeight="1" x14ac:dyDescent="0.25">
      <c r="A30" s="70"/>
      <c r="B30" s="69" t="s">
        <v>61</v>
      </c>
      <c r="C30" s="70" t="s">
        <v>62</v>
      </c>
      <c r="D30" s="70">
        <v>3682</v>
      </c>
      <c r="E30" s="69" t="s">
        <v>298</v>
      </c>
      <c r="F30" s="72">
        <v>45894</v>
      </c>
      <c r="G30" s="72">
        <v>45898</v>
      </c>
      <c r="H30" s="75">
        <v>0.33333333333333331</v>
      </c>
      <c r="I30" s="75"/>
      <c r="J30" s="72"/>
      <c r="K30" s="72"/>
      <c r="L30" s="72"/>
      <c r="M30" s="72"/>
      <c r="N30" s="72"/>
      <c r="O30" s="69" t="s">
        <v>168</v>
      </c>
      <c r="P30" s="69"/>
      <c r="Q30" s="74">
        <v>40</v>
      </c>
      <c r="R30" s="74">
        <v>5</v>
      </c>
      <c r="S30" s="74"/>
      <c r="T30" s="74"/>
      <c r="U30" s="70"/>
      <c r="V30" s="70"/>
      <c r="W30" s="74"/>
      <c r="X30" s="70"/>
      <c r="Y30" s="79">
        <f ca="1">Table29[[#This Row],[5/9/2025]]+2-TODAY()</f>
        <v>-107</v>
      </c>
      <c r="Z30" s="70">
        <f>IF(ISBLANK(Table29[[#This Row],[Roster Received By]]),1,0)</f>
        <v>1</v>
      </c>
      <c r="AA30" s="70">
        <f ca="1">IF(Table29[[#This Row],[5/5/2025]]&gt;TODAY(),1,)</f>
        <v>0</v>
      </c>
    </row>
    <row r="31" spans="1:27" s="109" customFormat="1" ht="14.25" customHeight="1" x14ac:dyDescent="0.25">
      <c r="A31" s="70"/>
      <c r="B31" s="69" t="s">
        <v>61</v>
      </c>
      <c r="C31" s="70" t="s">
        <v>62</v>
      </c>
      <c r="D31" s="70">
        <v>3682</v>
      </c>
      <c r="E31" s="69" t="s">
        <v>287</v>
      </c>
      <c r="F31" s="72">
        <v>45908</v>
      </c>
      <c r="G31" s="72">
        <v>45912</v>
      </c>
      <c r="H31" s="75">
        <v>0.33333333333333331</v>
      </c>
      <c r="I31" s="75"/>
      <c r="J31" s="72"/>
      <c r="K31" s="72"/>
      <c r="L31" s="72"/>
      <c r="M31" s="72"/>
      <c r="N31" s="72"/>
      <c r="O31" s="69" t="s">
        <v>168</v>
      </c>
      <c r="P31" s="69"/>
      <c r="Q31" s="74">
        <v>40</v>
      </c>
      <c r="R31" s="74">
        <v>5</v>
      </c>
      <c r="S31" s="74"/>
      <c r="T31" s="74"/>
      <c r="U31" s="70"/>
      <c r="V31" s="70"/>
      <c r="W31" s="74"/>
      <c r="X31" s="70"/>
      <c r="Y31" s="79">
        <f ca="1">Table29[[#This Row],[5/9/2025]]+2-TODAY()</f>
        <v>-93</v>
      </c>
      <c r="Z31" s="70">
        <f>IF(ISBLANK(Table29[[#This Row],[Roster Received By]]),1,0)</f>
        <v>1</v>
      </c>
      <c r="AA31" s="70">
        <f ca="1">IF(Table29[[#This Row],[5/5/2025]]&gt;TODAY(),1,)</f>
        <v>0</v>
      </c>
    </row>
    <row r="32" spans="1:27" s="105" customFormat="1" ht="14.25" customHeight="1" x14ac:dyDescent="0.25">
      <c r="A32" s="70" t="s">
        <v>299</v>
      </c>
      <c r="B32" s="69" t="s">
        <v>61</v>
      </c>
      <c r="C32" s="70" t="s">
        <v>62</v>
      </c>
      <c r="D32" s="70">
        <v>3682</v>
      </c>
      <c r="E32" s="69" t="s">
        <v>300</v>
      </c>
      <c r="F32" s="72">
        <v>45922</v>
      </c>
      <c r="G32" s="72">
        <v>45926</v>
      </c>
      <c r="H32" s="75">
        <v>0.33333333333333331</v>
      </c>
      <c r="I32" s="75"/>
      <c r="J32" s="72"/>
      <c r="K32" s="72"/>
      <c r="L32" s="72"/>
      <c r="M32" s="72"/>
      <c r="N32" s="72"/>
      <c r="O32" s="69" t="s">
        <v>168</v>
      </c>
      <c r="P32" s="69"/>
      <c r="Q32" s="74">
        <v>40</v>
      </c>
      <c r="R32" s="74">
        <v>5</v>
      </c>
      <c r="S32" s="74"/>
      <c r="T32" s="74"/>
      <c r="U32" s="70"/>
      <c r="V32" s="70"/>
      <c r="W32" s="74"/>
      <c r="X32" s="70"/>
      <c r="Y32" s="79">
        <f ca="1">Table29[[#This Row],[5/9/2025]]+2-TODAY()</f>
        <v>-79</v>
      </c>
      <c r="Z32" s="70">
        <f>IF(ISBLANK(Table29[[#This Row],[Roster Received By]]),1,0)</f>
        <v>1</v>
      </c>
      <c r="AA32" s="70">
        <f ca="1">IF(Table29[[#This Row],[5/5/2025]]&gt;TODAY(),1,)</f>
        <v>0</v>
      </c>
    </row>
    <row r="33" spans="1:27" s="105" customFormat="1" ht="14.25" customHeight="1" x14ac:dyDescent="0.25">
      <c r="A33" s="70"/>
      <c r="B33" s="69" t="s">
        <v>61</v>
      </c>
      <c r="C33" s="70" t="s">
        <v>62</v>
      </c>
      <c r="D33" s="70">
        <v>3682</v>
      </c>
      <c r="E33" s="69" t="s">
        <v>294</v>
      </c>
      <c r="F33" s="72" t="s">
        <v>301</v>
      </c>
      <c r="G33" s="72">
        <v>45835</v>
      </c>
      <c r="H33" s="75">
        <v>0.33333333333333331</v>
      </c>
      <c r="I33" s="75"/>
      <c r="J33" s="72"/>
      <c r="K33" s="72"/>
      <c r="L33" s="72"/>
      <c r="M33" s="72"/>
      <c r="N33" s="72"/>
      <c r="O33" s="69" t="s">
        <v>168</v>
      </c>
      <c r="P33" s="69"/>
      <c r="Q33" s="74">
        <v>40</v>
      </c>
      <c r="R33" s="74">
        <v>5</v>
      </c>
      <c r="S33" s="74"/>
      <c r="T33" s="74"/>
      <c r="U33" s="70"/>
      <c r="V33" s="70"/>
      <c r="W33" s="74"/>
      <c r="X33" s="70"/>
      <c r="Y33" s="79">
        <f ca="1">Table29[[#This Row],[5/9/2025]]+2-TODAY()</f>
        <v>-170</v>
      </c>
      <c r="Z33" s="70">
        <f>IF(ISBLANK(Table29[[#This Row],[Roster Received By]]),1,0)</f>
        <v>1</v>
      </c>
      <c r="AA33" s="70">
        <f ca="1">IF(Table29[[#This Row],[5/5/2025]]&gt;TODAY(),1,)</f>
        <v>1</v>
      </c>
    </row>
    <row r="34" spans="1:27" s="76" customFormat="1" ht="14.25" customHeight="1" x14ac:dyDescent="0.25">
      <c r="A34" s="200" t="s">
        <v>302</v>
      </c>
      <c r="B34" s="197" t="s">
        <v>61</v>
      </c>
      <c r="C34" s="70" t="s">
        <v>62</v>
      </c>
      <c r="D34" s="70">
        <v>3682</v>
      </c>
      <c r="E34" s="69" t="s">
        <v>303</v>
      </c>
      <c r="F34" s="72">
        <v>45733</v>
      </c>
      <c r="G34" s="72">
        <v>45737</v>
      </c>
      <c r="H34" s="75">
        <v>0.33333333333333331</v>
      </c>
      <c r="I34" s="75"/>
      <c r="J34" s="72"/>
      <c r="K34" s="72"/>
      <c r="L34" s="72"/>
      <c r="M34" s="72"/>
      <c r="N34" s="72"/>
      <c r="O34" s="69" t="s">
        <v>168</v>
      </c>
      <c r="P34" s="69"/>
      <c r="Q34" s="74">
        <v>40</v>
      </c>
      <c r="R34" s="74">
        <v>5</v>
      </c>
      <c r="S34" s="74"/>
      <c r="T34" s="74"/>
      <c r="U34" s="70"/>
      <c r="V34" s="70"/>
      <c r="W34" s="74"/>
      <c r="X34" s="70"/>
      <c r="Y34" s="79">
        <f ca="1">Table29[[#This Row],[5/9/2025]]+2-TODAY()</f>
        <v>-268</v>
      </c>
      <c r="Z34" s="70">
        <f>IF(ISBLANK(Table29[[#This Row],[Roster Received By]]),1,0)</f>
        <v>1</v>
      </c>
      <c r="AA34" s="70">
        <f ca="1">IF(Table29[[#This Row],[5/5/2025]]&gt;TODAY(),1,)</f>
        <v>0</v>
      </c>
    </row>
    <row r="35" spans="1:27" s="76" customFormat="1" ht="14.25" customHeight="1" x14ac:dyDescent="0.25">
      <c r="A35" s="200" t="s">
        <v>304</v>
      </c>
      <c r="B35" s="197" t="s">
        <v>61</v>
      </c>
      <c r="C35" s="70" t="s">
        <v>62</v>
      </c>
      <c r="D35" s="70">
        <v>3682</v>
      </c>
      <c r="E35" s="69" t="s">
        <v>305</v>
      </c>
      <c r="F35" s="72">
        <v>45849</v>
      </c>
      <c r="G35" s="72">
        <v>45853</v>
      </c>
      <c r="H35" s="75">
        <v>0.33333333333333331</v>
      </c>
      <c r="I35" s="75"/>
      <c r="J35" s="72"/>
      <c r="K35" s="72"/>
      <c r="L35" s="72"/>
      <c r="M35" s="72"/>
      <c r="N35" s="72"/>
      <c r="O35" s="69" t="s">
        <v>168</v>
      </c>
      <c r="P35" s="69"/>
      <c r="Q35" s="74">
        <v>40</v>
      </c>
      <c r="R35" s="74">
        <v>5</v>
      </c>
      <c r="S35" s="74"/>
      <c r="T35" s="74"/>
      <c r="U35" s="70"/>
      <c r="V35" s="70"/>
      <c r="W35" s="74"/>
      <c r="X35" s="70"/>
      <c r="Y35" s="79">
        <f ca="1">Table29[[#This Row],[5/9/2025]]+2-TODAY()</f>
        <v>-152</v>
      </c>
      <c r="Z35" s="70">
        <f>IF(ISBLANK(Table29[[#This Row],[Roster Received By]]),1,0)</f>
        <v>1</v>
      </c>
      <c r="AA35" s="70">
        <f ca="1">IF(Table29[[#This Row],[5/5/2025]]&gt;TODAY(),1,)</f>
        <v>0</v>
      </c>
    </row>
    <row r="36" spans="1:27" s="76" customFormat="1" ht="14.25" customHeight="1" x14ac:dyDescent="0.25">
      <c r="A36" s="200" t="s">
        <v>306</v>
      </c>
      <c r="B36" s="197" t="s">
        <v>61</v>
      </c>
      <c r="C36" s="70" t="s">
        <v>62</v>
      </c>
      <c r="D36" s="70">
        <v>3682</v>
      </c>
      <c r="E36" s="69" t="s">
        <v>307</v>
      </c>
      <c r="F36" s="72">
        <v>45859</v>
      </c>
      <c r="G36" s="72">
        <v>45863</v>
      </c>
      <c r="H36" s="75">
        <v>0.33333333333333331</v>
      </c>
      <c r="I36" s="75"/>
      <c r="J36" s="72"/>
      <c r="K36" s="72"/>
      <c r="L36" s="72"/>
      <c r="M36" s="72"/>
      <c r="N36" s="72"/>
      <c r="O36" s="69" t="s">
        <v>168</v>
      </c>
      <c r="P36" s="69"/>
      <c r="Q36" s="74">
        <v>40</v>
      </c>
      <c r="R36" s="74">
        <v>5</v>
      </c>
      <c r="S36" s="74"/>
      <c r="T36" s="74"/>
      <c r="U36" s="70"/>
      <c r="V36" s="70"/>
      <c r="W36" s="74"/>
      <c r="X36" s="70"/>
      <c r="Y36" s="79">
        <f ca="1">Table29[[#This Row],[5/9/2025]]+2-TODAY()</f>
        <v>-142</v>
      </c>
      <c r="Z36" s="70">
        <f>IF(ISBLANK(Table29[[#This Row],[Roster Received By]]),1,0)</f>
        <v>1</v>
      </c>
      <c r="AA36" s="70">
        <f ca="1">IF(Table29[[#This Row],[5/5/2025]]&gt;TODAY(),1,)</f>
        <v>0</v>
      </c>
    </row>
    <row r="37" spans="1:27" s="76" customFormat="1" ht="14.25" customHeight="1" x14ac:dyDescent="0.25">
      <c r="A37" s="200" t="s">
        <v>308</v>
      </c>
      <c r="B37" s="197" t="s">
        <v>61</v>
      </c>
      <c r="C37" s="70" t="s">
        <v>62</v>
      </c>
      <c r="D37" s="70">
        <v>3682</v>
      </c>
      <c r="E37" s="69" t="s">
        <v>309</v>
      </c>
      <c r="F37" s="72">
        <v>45663</v>
      </c>
      <c r="G37" s="72">
        <v>45667</v>
      </c>
      <c r="H37" s="75">
        <v>0.33333333333333331</v>
      </c>
      <c r="I37" s="75"/>
      <c r="J37" s="72"/>
      <c r="K37" s="72"/>
      <c r="L37" s="72"/>
      <c r="M37" s="72"/>
      <c r="N37" s="72"/>
      <c r="O37" s="69" t="s">
        <v>168</v>
      </c>
      <c r="P37" s="69"/>
      <c r="Q37" s="74">
        <v>40</v>
      </c>
      <c r="R37" s="74">
        <v>5</v>
      </c>
      <c r="S37" s="74"/>
      <c r="T37" s="74"/>
      <c r="U37" s="70"/>
      <c r="V37" s="70"/>
      <c r="W37" s="74"/>
      <c r="X37" s="70"/>
      <c r="Y37" s="79">
        <f ca="1">Table29[[#This Row],[5/9/2025]]+2-TODAY()</f>
        <v>-338</v>
      </c>
      <c r="Z37" s="70">
        <f>IF(ISBLANK(Table29[[#This Row],[Roster Received By]]),1,0)</f>
        <v>1</v>
      </c>
      <c r="AA37" s="70">
        <f ca="1">IF(Table29[[#This Row],[5/5/2025]]&gt;TODAY(),1,)</f>
        <v>0</v>
      </c>
    </row>
    <row r="38" spans="1:27" s="76" customFormat="1" ht="14.25" customHeight="1" x14ac:dyDescent="0.25">
      <c r="A38" s="200" t="s">
        <v>310</v>
      </c>
      <c r="B38" s="197" t="s">
        <v>61</v>
      </c>
      <c r="C38" s="70" t="s">
        <v>62</v>
      </c>
      <c r="D38" s="70">
        <v>3682</v>
      </c>
      <c r="E38" s="69" t="s">
        <v>311</v>
      </c>
      <c r="F38" s="72">
        <v>45740</v>
      </c>
      <c r="G38" s="72">
        <v>45744</v>
      </c>
      <c r="H38" s="75">
        <v>0.33333333333333331</v>
      </c>
      <c r="I38" s="75"/>
      <c r="J38" s="72"/>
      <c r="K38" s="72"/>
      <c r="L38" s="72"/>
      <c r="M38" s="72"/>
      <c r="N38" s="72"/>
      <c r="O38" s="69" t="s">
        <v>168</v>
      </c>
      <c r="P38" s="69"/>
      <c r="Q38" s="74">
        <v>40</v>
      </c>
      <c r="R38" s="74">
        <v>5</v>
      </c>
      <c r="S38" s="74"/>
      <c r="T38" s="74"/>
      <c r="U38" s="70"/>
      <c r="V38" s="70"/>
      <c r="W38" s="74"/>
      <c r="X38" s="70"/>
      <c r="Y38" s="79">
        <f ca="1">Table29[[#This Row],[5/9/2025]]+2-TODAY()</f>
        <v>-261</v>
      </c>
      <c r="Z38" s="70">
        <f>IF(ISBLANK(Table29[[#This Row],[Roster Received By]]),1,0)</f>
        <v>1</v>
      </c>
      <c r="AA38" s="70">
        <f ca="1">IF(Table29[[#This Row],[5/5/2025]]&gt;TODAY(),1,)</f>
        <v>0</v>
      </c>
    </row>
    <row r="39" spans="1:27" s="76" customFormat="1" ht="16.5" customHeight="1" x14ac:dyDescent="0.25">
      <c r="A39" s="70" t="s">
        <v>201</v>
      </c>
      <c r="B39" s="69" t="s">
        <v>61</v>
      </c>
      <c r="C39" s="70" t="s">
        <v>62</v>
      </c>
      <c r="D39" s="70">
        <v>3682</v>
      </c>
      <c r="E39" s="69" t="s">
        <v>312</v>
      </c>
      <c r="F39" s="72">
        <v>45887</v>
      </c>
      <c r="G39" s="72">
        <v>45891</v>
      </c>
      <c r="H39" s="75">
        <v>0.33333333333333331</v>
      </c>
      <c r="I39" s="75"/>
      <c r="J39" s="72"/>
      <c r="K39" s="72"/>
      <c r="L39" s="72"/>
      <c r="M39" s="72"/>
      <c r="N39" s="72"/>
      <c r="O39" s="69" t="s">
        <v>168</v>
      </c>
      <c r="P39" s="69"/>
      <c r="Q39" s="74">
        <v>40</v>
      </c>
      <c r="R39" s="74">
        <v>5</v>
      </c>
      <c r="S39" s="74"/>
      <c r="T39" s="74"/>
      <c r="U39" s="70"/>
      <c r="V39" s="70"/>
      <c r="W39" s="74"/>
      <c r="X39" s="70"/>
      <c r="Y39" s="79">
        <f ca="1">Table29[[#This Row],[5/9/2025]]+2-TODAY()</f>
        <v>-114</v>
      </c>
      <c r="Z39" s="70">
        <f>IF(ISBLANK(Table29[[#This Row],[Roster Received By]]),1,0)</f>
        <v>1</v>
      </c>
      <c r="AA39" s="70">
        <f ca="1">IF(Table29[[#This Row],[5/5/2025]]&gt;TODAY(),1,)</f>
        <v>0</v>
      </c>
    </row>
    <row r="40" spans="1:27" s="76" customFormat="1" ht="16.5" customHeight="1" x14ac:dyDescent="0.25">
      <c r="A40" s="52" t="s">
        <v>313</v>
      </c>
      <c r="B40" s="69" t="s">
        <v>63</v>
      </c>
      <c r="C40" s="70" t="s">
        <v>64</v>
      </c>
      <c r="D40" s="70">
        <v>3683</v>
      </c>
      <c r="E40" s="69" t="s">
        <v>314</v>
      </c>
      <c r="F40" s="80">
        <v>45685</v>
      </c>
      <c r="G40" s="80">
        <v>45687</v>
      </c>
      <c r="H40" s="75">
        <v>0.33333333333333331</v>
      </c>
      <c r="I40" s="75"/>
      <c r="J40" s="72"/>
      <c r="K40" s="72"/>
      <c r="L40" s="72"/>
      <c r="M40" s="72"/>
      <c r="N40" s="72"/>
      <c r="O40" s="69" t="s">
        <v>168</v>
      </c>
      <c r="P40" s="69"/>
      <c r="Q40" s="73">
        <v>40</v>
      </c>
      <c r="R40" s="74">
        <v>3</v>
      </c>
      <c r="S40" s="73"/>
      <c r="T40" s="73"/>
      <c r="U40" s="14"/>
      <c r="V40" s="14"/>
      <c r="W40" s="14"/>
      <c r="X40" s="52"/>
      <c r="Y40" s="60">
        <f ca="1">Table29[[#This Row],[5/9/2025]]+2-TODAY()</f>
        <v>-318</v>
      </c>
      <c r="Z40" s="14">
        <f>IF(ISBLANK(Table29[[#This Row],[Roster Received By]]),1,0)</f>
        <v>1</v>
      </c>
      <c r="AA40" s="14">
        <f ca="1">IF(Table29[[#This Row],[5/5/2025]]&gt;TODAY(),1,)</f>
        <v>0</v>
      </c>
    </row>
    <row r="41" spans="1:27" s="76" customFormat="1" ht="14.25" customHeight="1" x14ac:dyDescent="0.25">
      <c r="A41" s="70" t="s">
        <v>315</v>
      </c>
      <c r="B41" s="69" t="s">
        <v>63</v>
      </c>
      <c r="C41" s="70" t="s">
        <v>64</v>
      </c>
      <c r="D41" s="70">
        <v>3683</v>
      </c>
      <c r="E41" s="69" t="s">
        <v>290</v>
      </c>
      <c r="F41" s="72">
        <v>45761</v>
      </c>
      <c r="G41" s="72">
        <v>45763</v>
      </c>
      <c r="H41" s="75">
        <v>0.33333333333333331</v>
      </c>
      <c r="I41" s="75"/>
      <c r="J41" s="72"/>
      <c r="K41" s="72"/>
      <c r="L41" s="72"/>
      <c r="M41" s="72"/>
      <c r="N41" s="72"/>
      <c r="O41" s="69" t="s">
        <v>168</v>
      </c>
      <c r="P41" s="69"/>
      <c r="Q41" s="74">
        <v>40</v>
      </c>
      <c r="R41" s="74">
        <v>3</v>
      </c>
      <c r="S41" s="74"/>
      <c r="T41" s="74"/>
      <c r="U41" s="70"/>
      <c r="V41" s="70"/>
      <c r="W41" s="74"/>
      <c r="X41" s="70"/>
      <c r="Y41" s="79">
        <f ca="1">Table29[[#This Row],[5/9/2025]]+2-TODAY()</f>
        <v>-242</v>
      </c>
      <c r="Z41" s="70">
        <f>IF(ISBLANK(Table29[[#This Row],[Roster Received By]]),1,0)</f>
        <v>1</v>
      </c>
      <c r="AA41" s="70">
        <f ca="1">IF(Table29[[#This Row],[5/5/2025]]&gt;TODAY(),1,)</f>
        <v>0</v>
      </c>
    </row>
    <row r="42" spans="1:27" s="76" customFormat="1" ht="14.25" customHeight="1" x14ac:dyDescent="0.25">
      <c r="A42" s="70"/>
      <c r="B42" s="69" t="s">
        <v>63</v>
      </c>
      <c r="C42" s="70" t="s">
        <v>64</v>
      </c>
      <c r="D42" s="70">
        <v>3683</v>
      </c>
      <c r="E42" s="69" t="s">
        <v>316</v>
      </c>
      <c r="F42" s="72">
        <v>45769</v>
      </c>
      <c r="G42" s="72">
        <v>45771</v>
      </c>
      <c r="H42" s="75">
        <v>0.33333333333333331</v>
      </c>
      <c r="I42" s="75"/>
      <c r="J42" s="72"/>
      <c r="K42" s="72"/>
      <c r="L42" s="72"/>
      <c r="M42" s="72"/>
      <c r="N42" s="72"/>
      <c r="O42" s="69" t="s">
        <v>168</v>
      </c>
      <c r="P42" s="69"/>
      <c r="Q42" s="74">
        <v>40</v>
      </c>
      <c r="R42" s="74">
        <v>3</v>
      </c>
      <c r="S42" s="74"/>
      <c r="T42" s="74"/>
      <c r="U42" s="70"/>
      <c r="V42" s="70"/>
      <c r="W42" s="74"/>
      <c r="X42" s="70"/>
      <c r="Y42" s="79">
        <f ca="1">Table29[[#This Row],[5/9/2025]]+2-TODAY()</f>
        <v>-234</v>
      </c>
      <c r="Z42" s="70">
        <f>IF(ISBLANK(Table29[[#This Row],[Roster Received By]]),1,0)</f>
        <v>1</v>
      </c>
      <c r="AA42" s="70">
        <f ca="1">IF(Table29[[#This Row],[5/5/2025]]&gt;TODAY(),1,)</f>
        <v>0</v>
      </c>
    </row>
    <row r="43" spans="1:27" s="76" customFormat="1" ht="14.25" customHeight="1" x14ac:dyDescent="0.25">
      <c r="A43" s="70" t="s">
        <v>317</v>
      </c>
      <c r="B43" s="69" t="s">
        <v>63</v>
      </c>
      <c r="C43" s="70" t="s">
        <v>64</v>
      </c>
      <c r="D43" s="70">
        <v>3683</v>
      </c>
      <c r="E43" s="69" t="s">
        <v>318</v>
      </c>
      <c r="F43" s="72">
        <v>45775</v>
      </c>
      <c r="G43" s="72">
        <v>45777</v>
      </c>
      <c r="H43" s="75">
        <v>0.33333333333333331</v>
      </c>
      <c r="I43" s="75"/>
      <c r="J43" s="72"/>
      <c r="K43" s="72"/>
      <c r="L43" s="72"/>
      <c r="M43" s="72"/>
      <c r="N43" s="72"/>
      <c r="O43" s="69" t="s">
        <v>168</v>
      </c>
      <c r="P43" s="69"/>
      <c r="Q43" s="74">
        <v>40</v>
      </c>
      <c r="R43" s="74">
        <v>3</v>
      </c>
      <c r="S43" s="74"/>
      <c r="T43" s="74"/>
      <c r="U43" s="70"/>
      <c r="V43" s="70"/>
      <c r="W43" s="74"/>
      <c r="X43" s="70"/>
      <c r="Y43" s="79">
        <f ca="1">Table29[[#This Row],[5/9/2025]]+2-TODAY()</f>
        <v>-228</v>
      </c>
      <c r="Z43" s="70">
        <f>IF(ISBLANK(Table29[[#This Row],[Roster Received By]]),1,0)</f>
        <v>1</v>
      </c>
      <c r="AA43" s="70">
        <f ca="1">IF(Table29[[#This Row],[5/5/2025]]&gt;TODAY(),1,)</f>
        <v>0</v>
      </c>
    </row>
    <row r="44" spans="1:27" s="76" customFormat="1" ht="14.25" customHeight="1" x14ac:dyDescent="0.25">
      <c r="A44" s="70" t="s">
        <v>319</v>
      </c>
      <c r="B44" s="69" t="s">
        <v>63</v>
      </c>
      <c r="C44" s="70" t="s">
        <v>64</v>
      </c>
      <c r="D44" s="70">
        <v>3683</v>
      </c>
      <c r="E44" s="69" t="s">
        <v>320</v>
      </c>
      <c r="F44" s="72">
        <v>45778</v>
      </c>
      <c r="G44" s="72">
        <v>45782</v>
      </c>
      <c r="H44" s="75">
        <v>0.33333333333333331</v>
      </c>
      <c r="I44" s="75"/>
      <c r="J44" s="72"/>
      <c r="K44" s="72"/>
      <c r="L44" s="72"/>
      <c r="M44" s="72"/>
      <c r="N44" s="72"/>
      <c r="O44" s="69" t="s">
        <v>168</v>
      </c>
      <c r="P44" s="69"/>
      <c r="Q44" s="74">
        <v>40</v>
      </c>
      <c r="R44" s="74">
        <v>3</v>
      </c>
      <c r="S44" s="74"/>
      <c r="T44" s="74"/>
      <c r="U44" s="70"/>
      <c r="V44" s="70"/>
      <c r="W44" s="74"/>
      <c r="X44" s="70"/>
      <c r="Y44" s="79">
        <f ca="1">Table29[[#This Row],[5/9/2025]]+2-TODAY()</f>
        <v>-223</v>
      </c>
      <c r="Z44" s="70">
        <f>IF(ISBLANK(Table29[[#This Row],[Roster Received By]]),1,0)</f>
        <v>1</v>
      </c>
      <c r="AA44" s="70">
        <f ca="1">IF(Table29[[#This Row],[5/5/2025]]&gt;TODAY(),1,)</f>
        <v>0</v>
      </c>
    </row>
    <row r="45" spans="1:27" s="76" customFormat="1" ht="14.25" customHeight="1" x14ac:dyDescent="0.25">
      <c r="A45" s="70" t="s">
        <v>321</v>
      </c>
      <c r="B45" s="69" t="s">
        <v>63</v>
      </c>
      <c r="C45" s="70" t="s">
        <v>64</v>
      </c>
      <c r="D45" s="70">
        <v>3683</v>
      </c>
      <c r="E45" s="69" t="s">
        <v>211</v>
      </c>
      <c r="F45" s="72">
        <v>45783</v>
      </c>
      <c r="G45" s="72">
        <v>45785</v>
      </c>
      <c r="H45" s="75">
        <v>0.33333333333333331</v>
      </c>
      <c r="I45" s="75"/>
      <c r="J45" s="72"/>
      <c r="K45" s="72"/>
      <c r="L45" s="72"/>
      <c r="M45" s="72"/>
      <c r="N45" s="72"/>
      <c r="O45" s="69" t="s">
        <v>168</v>
      </c>
      <c r="P45" s="69"/>
      <c r="Q45" s="74">
        <v>40</v>
      </c>
      <c r="R45" s="74">
        <v>3</v>
      </c>
      <c r="S45" s="74"/>
      <c r="T45" s="74"/>
      <c r="U45" s="70"/>
      <c r="V45" s="70"/>
      <c r="W45" s="74"/>
      <c r="X45" s="70"/>
      <c r="Y45" s="79">
        <f ca="1">Table29[[#This Row],[5/9/2025]]+2-TODAY()</f>
        <v>-220</v>
      </c>
      <c r="Z45" s="70">
        <f>IF(ISBLANK(Table29[[#This Row],[Roster Received By]]),1,0)</f>
        <v>1</v>
      </c>
      <c r="AA45" s="70">
        <f ca="1">IF(Table29[[#This Row],[5/5/2025]]&gt;TODAY(),1,)</f>
        <v>0</v>
      </c>
    </row>
    <row r="46" spans="1:27" s="76" customFormat="1" x14ac:dyDescent="0.25">
      <c r="A46" s="70" t="s">
        <v>322</v>
      </c>
      <c r="B46" s="69" t="s">
        <v>63</v>
      </c>
      <c r="C46" s="70" t="s">
        <v>64</v>
      </c>
      <c r="D46" s="70">
        <v>3683</v>
      </c>
      <c r="E46" s="69" t="s">
        <v>323</v>
      </c>
      <c r="F46" s="72">
        <v>45783</v>
      </c>
      <c r="G46" s="72">
        <v>45785</v>
      </c>
      <c r="H46" s="75">
        <v>0.33333333333333331</v>
      </c>
      <c r="I46" s="75"/>
      <c r="J46" s="72"/>
      <c r="K46" s="72"/>
      <c r="L46" s="72"/>
      <c r="M46" s="72"/>
      <c r="N46" s="72"/>
      <c r="O46" s="69" t="s">
        <v>168</v>
      </c>
      <c r="P46" s="69"/>
      <c r="Q46" s="74">
        <v>40</v>
      </c>
      <c r="R46" s="74">
        <v>3</v>
      </c>
      <c r="S46" s="74"/>
      <c r="T46" s="74"/>
      <c r="U46" s="70"/>
      <c r="V46" s="70"/>
      <c r="W46" s="74"/>
      <c r="X46" s="70"/>
      <c r="Y46" s="79">
        <f ca="1">Table29[[#This Row],[5/9/2025]]+2-TODAY()</f>
        <v>-220</v>
      </c>
      <c r="Z46" s="70">
        <f>IF(ISBLANK(Table29[[#This Row],[Roster Received By]]),1,0)</f>
        <v>1</v>
      </c>
      <c r="AA46" s="70">
        <f ca="1">IF(Table29[[#This Row],[5/5/2025]]&gt;TODAY(),1,)</f>
        <v>0</v>
      </c>
    </row>
    <row r="47" spans="1:27" s="76" customFormat="1" x14ac:dyDescent="0.25">
      <c r="A47" s="70" t="s">
        <v>317</v>
      </c>
      <c r="B47" s="69" t="s">
        <v>63</v>
      </c>
      <c r="C47" s="70" t="s">
        <v>64</v>
      </c>
      <c r="D47" s="70">
        <v>3683</v>
      </c>
      <c r="E47" s="69" t="s">
        <v>324</v>
      </c>
      <c r="F47" s="72">
        <v>45789</v>
      </c>
      <c r="G47" s="72">
        <v>45791</v>
      </c>
      <c r="H47" s="75">
        <v>0.33333333333333331</v>
      </c>
      <c r="I47" s="75"/>
      <c r="J47" s="72"/>
      <c r="K47" s="72"/>
      <c r="L47" s="72"/>
      <c r="M47" s="72"/>
      <c r="N47" s="72"/>
      <c r="O47" s="69" t="s">
        <v>168</v>
      </c>
      <c r="P47" s="69"/>
      <c r="Q47" s="74">
        <v>40</v>
      </c>
      <c r="R47" s="74">
        <v>3</v>
      </c>
      <c r="S47" s="74"/>
      <c r="T47" s="74"/>
      <c r="U47" s="70"/>
      <c r="V47" s="70"/>
      <c r="W47" s="74"/>
      <c r="X47" s="70"/>
      <c r="Y47" s="79">
        <f ca="1">Table29[[#This Row],[5/9/2025]]+2-TODAY()</f>
        <v>-214</v>
      </c>
      <c r="Z47" s="70">
        <f>IF(ISBLANK(Table29[[#This Row],[Roster Received By]]),1,0)</f>
        <v>1</v>
      </c>
      <c r="AA47" s="70">
        <f ca="1">IF(Table29[[#This Row],[5/5/2025]]&gt;TODAY(),1,)</f>
        <v>0</v>
      </c>
    </row>
    <row r="48" spans="1:27" s="76" customFormat="1" x14ac:dyDescent="0.25">
      <c r="A48" s="70" t="s">
        <v>325</v>
      </c>
      <c r="B48" s="69" t="s">
        <v>63</v>
      </c>
      <c r="C48" s="70" t="s">
        <v>64</v>
      </c>
      <c r="D48" s="70">
        <v>3683</v>
      </c>
      <c r="E48" s="69" t="s">
        <v>326</v>
      </c>
      <c r="F48" s="72">
        <v>45811</v>
      </c>
      <c r="G48" s="72">
        <v>45813</v>
      </c>
      <c r="H48" s="75">
        <v>0.33333333333333331</v>
      </c>
      <c r="I48" s="75"/>
      <c r="J48" s="72"/>
      <c r="K48" s="72"/>
      <c r="L48" s="72"/>
      <c r="M48" s="72"/>
      <c r="N48" s="72"/>
      <c r="O48" s="69" t="s">
        <v>168</v>
      </c>
      <c r="P48" s="69"/>
      <c r="Q48" s="74">
        <v>40</v>
      </c>
      <c r="R48" s="74">
        <v>3</v>
      </c>
      <c r="S48" s="74"/>
      <c r="T48" s="74"/>
      <c r="U48" s="70"/>
      <c r="V48" s="70"/>
      <c r="W48" s="74"/>
      <c r="X48" s="70"/>
      <c r="Y48" s="79">
        <f ca="1">Table29[[#This Row],[5/9/2025]]+2-TODAY()</f>
        <v>-192</v>
      </c>
      <c r="Z48" s="70">
        <f>IF(ISBLANK(Table29[[#This Row],[Roster Received By]]),1,0)</f>
        <v>1</v>
      </c>
      <c r="AA48" s="70">
        <f ca="1">IF(Table29[[#This Row],[5/5/2025]]&gt;TODAY(),1,)</f>
        <v>0</v>
      </c>
    </row>
    <row r="49" spans="1:27" s="76" customFormat="1" x14ac:dyDescent="0.25">
      <c r="A49" s="70"/>
      <c r="B49" s="69" t="s">
        <v>63</v>
      </c>
      <c r="C49" s="70" t="s">
        <v>64</v>
      </c>
      <c r="D49" s="70">
        <v>3683</v>
      </c>
      <c r="E49" s="69" t="s">
        <v>327</v>
      </c>
      <c r="F49" s="72">
        <v>45832</v>
      </c>
      <c r="G49" s="72">
        <v>45834</v>
      </c>
      <c r="H49" s="75">
        <v>0.33333333333333331</v>
      </c>
      <c r="I49" s="75"/>
      <c r="J49" s="72"/>
      <c r="K49" s="72"/>
      <c r="L49" s="72"/>
      <c r="M49" s="72"/>
      <c r="N49" s="72"/>
      <c r="O49" s="69" t="s">
        <v>168</v>
      </c>
      <c r="P49" s="69"/>
      <c r="Q49" s="74">
        <v>40</v>
      </c>
      <c r="R49" s="74">
        <v>3</v>
      </c>
      <c r="S49" s="74"/>
      <c r="T49" s="74"/>
      <c r="U49" s="70"/>
      <c r="V49" s="70"/>
      <c r="W49" s="74"/>
      <c r="X49" s="70"/>
      <c r="Y49" s="79">
        <f ca="1">Table29[[#This Row],[5/9/2025]]+2-TODAY()</f>
        <v>-171</v>
      </c>
      <c r="Z49" s="70">
        <f>IF(ISBLANK(Table29[[#This Row],[Roster Received By]]),1,0)</f>
        <v>1</v>
      </c>
      <c r="AA49" s="70">
        <f ca="1">IF(Table29[[#This Row],[5/5/2025]]&gt;TODAY(),1,)</f>
        <v>0</v>
      </c>
    </row>
    <row r="50" spans="1:27" s="76" customFormat="1" x14ac:dyDescent="0.25">
      <c r="A50" s="70"/>
      <c r="B50" s="69" t="s">
        <v>63</v>
      </c>
      <c r="C50" s="70" t="s">
        <v>64</v>
      </c>
      <c r="D50" s="70">
        <v>3683</v>
      </c>
      <c r="E50" s="69" t="s">
        <v>328</v>
      </c>
      <c r="F50" s="72">
        <v>45838</v>
      </c>
      <c r="G50" s="72">
        <v>45840</v>
      </c>
      <c r="H50" s="75">
        <v>0.33333333333333331</v>
      </c>
      <c r="I50" s="75"/>
      <c r="J50" s="72"/>
      <c r="K50" s="72"/>
      <c r="L50" s="72"/>
      <c r="M50" s="72"/>
      <c r="N50" s="72"/>
      <c r="O50" s="69" t="s">
        <v>168</v>
      </c>
      <c r="P50" s="69"/>
      <c r="Q50" s="74">
        <v>40</v>
      </c>
      <c r="R50" s="74">
        <v>3</v>
      </c>
      <c r="S50" s="74"/>
      <c r="T50" s="74"/>
      <c r="U50" s="70"/>
      <c r="V50" s="70"/>
      <c r="W50" s="74"/>
      <c r="X50" s="70"/>
      <c r="Y50" s="79">
        <f ca="1">Table29[[#This Row],[5/9/2025]]+2-TODAY()</f>
        <v>-165</v>
      </c>
      <c r="Z50" s="70">
        <f>IF(ISBLANK(Table29[[#This Row],[Roster Received By]]),1,0)</f>
        <v>1</v>
      </c>
      <c r="AA50" s="70">
        <f ca="1">IF(Table29[[#This Row],[5/5/2025]]&gt;TODAY(),1,)</f>
        <v>0</v>
      </c>
    </row>
    <row r="51" spans="1:27" s="76" customFormat="1" x14ac:dyDescent="0.25">
      <c r="A51" s="70" t="s">
        <v>329</v>
      </c>
      <c r="B51" s="69" t="s">
        <v>63</v>
      </c>
      <c r="C51" s="70" t="s">
        <v>64</v>
      </c>
      <c r="D51" s="70">
        <v>3683</v>
      </c>
      <c r="E51" s="69" t="s">
        <v>198</v>
      </c>
      <c r="F51" s="72">
        <v>45846</v>
      </c>
      <c r="G51" s="72">
        <v>45848</v>
      </c>
      <c r="H51" s="75">
        <v>0.33333333333333331</v>
      </c>
      <c r="I51" s="75"/>
      <c r="J51" s="72"/>
      <c r="K51" s="72"/>
      <c r="L51" s="72"/>
      <c r="M51" s="72"/>
      <c r="N51" s="72"/>
      <c r="O51" s="69" t="s">
        <v>168</v>
      </c>
      <c r="P51" s="69"/>
      <c r="Q51" s="74">
        <v>40</v>
      </c>
      <c r="R51" s="74">
        <v>3</v>
      </c>
      <c r="S51" s="74"/>
      <c r="T51" s="74"/>
      <c r="U51" s="70"/>
      <c r="V51" s="70"/>
      <c r="W51" s="74"/>
      <c r="X51" s="70"/>
      <c r="Y51" s="79">
        <f ca="1">Table29[[#This Row],[5/9/2025]]+2-TODAY()</f>
        <v>-157</v>
      </c>
      <c r="Z51" s="70">
        <f>IF(ISBLANK(Table29[[#This Row],[Roster Received By]]),1,0)</f>
        <v>1</v>
      </c>
      <c r="AA51" s="70">
        <f ca="1">IF(Table29[[#This Row],[5/5/2025]]&gt;TODAY(),1,)</f>
        <v>0</v>
      </c>
    </row>
    <row r="52" spans="1:27" s="76" customFormat="1" x14ac:dyDescent="0.25">
      <c r="A52" s="70"/>
      <c r="B52" s="69" t="s">
        <v>63</v>
      </c>
      <c r="C52" s="70" t="s">
        <v>64</v>
      </c>
      <c r="D52" s="70">
        <v>3683</v>
      </c>
      <c r="E52" s="69" t="s">
        <v>330</v>
      </c>
      <c r="F52" s="72">
        <v>45853</v>
      </c>
      <c r="G52" s="72">
        <v>45855</v>
      </c>
      <c r="H52" s="75">
        <v>0.33333333333333331</v>
      </c>
      <c r="I52" s="75"/>
      <c r="J52" s="72"/>
      <c r="K52" s="72"/>
      <c r="L52" s="72"/>
      <c r="M52" s="72"/>
      <c r="N52" s="72"/>
      <c r="O52" s="69" t="s">
        <v>168</v>
      </c>
      <c r="P52" s="69"/>
      <c r="Q52" s="74">
        <v>40</v>
      </c>
      <c r="R52" s="74">
        <v>3</v>
      </c>
      <c r="S52" s="74"/>
      <c r="T52" s="74"/>
      <c r="U52" s="70"/>
      <c r="V52" s="70"/>
      <c r="W52" s="74"/>
      <c r="X52" s="70"/>
      <c r="Y52" s="79">
        <f ca="1">Table29[[#This Row],[5/9/2025]]+2-TODAY()</f>
        <v>-150</v>
      </c>
      <c r="Z52" s="70">
        <f>IF(ISBLANK(Table29[[#This Row],[Roster Received By]]),1,0)</f>
        <v>1</v>
      </c>
      <c r="AA52" s="70">
        <f ca="1">IF(Table29[[#This Row],[5/5/2025]]&gt;TODAY(),1,)</f>
        <v>0</v>
      </c>
    </row>
    <row r="53" spans="1:27" s="76" customFormat="1" x14ac:dyDescent="0.25">
      <c r="A53" s="70"/>
      <c r="B53" s="69" t="s">
        <v>63</v>
      </c>
      <c r="C53" s="70" t="s">
        <v>64</v>
      </c>
      <c r="D53" s="70">
        <v>3683</v>
      </c>
      <c r="E53" s="69" t="s">
        <v>274</v>
      </c>
      <c r="F53" s="72">
        <v>45860</v>
      </c>
      <c r="G53" s="72">
        <v>45862</v>
      </c>
      <c r="H53" s="75">
        <v>0.33333333333333331</v>
      </c>
      <c r="I53" s="75"/>
      <c r="J53" s="72"/>
      <c r="K53" s="72"/>
      <c r="L53" s="72"/>
      <c r="M53" s="72"/>
      <c r="N53" s="72"/>
      <c r="O53" s="69" t="s">
        <v>168</v>
      </c>
      <c r="P53" s="69"/>
      <c r="Q53" s="74">
        <v>40</v>
      </c>
      <c r="R53" s="74">
        <v>3</v>
      </c>
      <c r="S53" s="74"/>
      <c r="T53" s="74"/>
      <c r="U53" s="70"/>
      <c r="V53" s="70"/>
      <c r="W53" s="74"/>
      <c r="X53" s="70"/>
      <c r="Y53" s="79">
        <f ca="1">Table29[[#This Row],[5/9/2025]]+2-TODAY()</f>
        <v>-143</v>
      </c>
      <c r="Z53" s="70">
        <f>IF(ISBLANK(Table29[[#This Row],[Roster Received By]]),1,0)</f>
        <v>1</v>
      </c>
      <c r="AA53" s="70">
        <f ca="1">IF(Table29[[#This Row],[5/5/2025]]&gt;TODAY(),1,)</f>
        <v>0</v>
      </c>
    </row>
    <row r="54" spans="1:27" s="76" customFormat="1" x14ac:dyDescent="0.25">
      <c r="A54" s="70"/>
      <c r="B54" s="69" t="s">
        <v>63</v>
      </c>
      <c r="C54" s="70" t="s">
        <v>64</v>
      </c>
      <c r="D54" s="70">
        <v>3683</v>
      </c>
      <c r="E54" s="69" t="s">
        <v>166</v>
      </c>
      <c r="F54" s="72">
        <v>45882</v>
      </c>
      <c r="G54" s="72">
        <v>45884</v>
      </c>
      <c r="H54" s="75">
        <v>0.33333333333333331</v>
      </c>
      <c r="I54" s="75"/>
      <c r="J54" s="72"/>
      <c r="K54" s="72"/>
      <c r="L54" s="72"/>
      <c r="M54" s="72"/>
      <c r="N54" s="72"/>
      <c r="O54" s="69" t="s">
        <v>168</v>
      </c>
      <c r="P54" s="69"/>
      <c r="Q54" s="74">
        <v>40</v>
      </c>
      <c r="R54" s="74">
        <v>3</v>
      </c>
      <c r="S54" s="74"/>
      <c r="T54" s="74"/>
      <c r="U54" s="70"/>
      <c r="V54" s="70"/>
      <c r="W54" s="74"/>
      <c r="X54" s="70"/>
      <c r="Y54" s="79">
        <f ca="1">Table29[[#This Row],[5/9/2025]]+2-TODAY()</f>
        <v>-121</v>
      </c>
      <c r="Z54" s="70">
        <f>IF(ISBLANK(Table29[[#This Row],[Roster Received By]]),1,0)</f>
        <v>1</v>
      </c>
      <c r="AA54" s="70">
        <f ca="1">IF(Table29[[#This Row],[5/5/2025]]&gt;TODAY(),1,)</f>
        <v>0</v>
      </c>
    </row>
    <row r="55" spans="1:27" s="105" customFormat="1" x14ac:dyDescent="0.25">
      <c r="A55" s="70"/>
      <c r="B55" s="69" t="s">
        <v>63</v>
      </c>
      <c r="C55" s="70" t="s">
        <v>64</v>
      </c>
      <c r="D55" s="70">
        <v>3683</v>
      </c>
      <c r="E55" s="69" t="s">
        <v>255</v>
      </c>
      <c r="F55" s="72">
        <v>45895</v>
      </c>
      <c r="G55" s="72">
        <v>45897</v>
      </c>
      <c r="H55" s="75">
        <v>0.33333333333333331</v>
      </c>
      <c r="I55" s="75"/>
      <c r="J55" s="72"/>
      <c r="K55" s="72"/>
      <c r="L55" s="72"/>
      <c r="M55" s="72"/>
      <c r="N55" s="72"/>
      <c r="O55" s="69" t="s">
        <v>168</v>
      </c>
      <c r="P55" s="69"/>
      <c r="Q55" s="74">
        <v>40</v>
      </c>
      <c r="R55" s="74">
        <v>3</v>
      </c>
      <c r="S55" s="74"/>
      <c r="T55" s="74"/>
      <c r="U55" s="70"/>
      <c r="V55" s="70"/>
      <c r="W55" s="74"/>
      <c r="X55" s="70"/>
      <c r="Y55" s="79">
        <f ca="1">Table29[[#This Row],[5/9/2025]]+2-TODAY()</f>
        <v>-108</v>
      </c>
      <c r="Z55" s="70">
        <f>IF(ISBLANK(Table29[[#This Row],[Roster Received By]]),1,0)</f>
        <v>1</v>
      </c>
      <c r="AA55" s="70">
        <f ca="1">IF(Table29[[#This Row],[5/5/2025]]&gt;TODAY(),1,)</f>
        <v>0</v>
      </c>
    </row>
    <row r="56" spans="1:27" s="76" customFormat="1" x14ac:dyDescent="0.25">
      <c r="A56" s="70"/>
      <c r="B56" s="69" t="s">
        <v>63</v>
      </c>
      <c r="C56" s="70" t="s">
        <v>64</v>
      </c>
      <c r="D56" s="70">
        <v>3683</v>
      </c>
      <c r="E56" s="69" t="s">
        <v>266</v>
      </c>
      <c r="F56" s="72">
        <v>45917</v>
      </c>
      <c r="G56" s="72">
        <v>45919</v>
      </c>
      <c r="H56" s="75">
        <v>0.33333333333333331</v>
      </c>
      <c r="I56" s="75"/>
      <c r="J56" s="72"/>
      <c r="K56" s="72"/>
      <c r="L56" s="72"/>
      <c r="M56" s="72"/>
      <c r="N56" s="72"/>
      <c r="O56" s="69" t="s">
        <v>168</v>
      </c>
      <c r="P56" s="69"/>
      <c r="Q56" s="74">
        <v>40</v>
      </c>
      <c r="R56" s="74">
        <v>3</v>
      </c>
      <c r="S56" s="74"/>
      <c r="T56" s="74"/>
      <c r="U56" s="70"/>
      <c r="V56" s="70"/>
      <c r="W56" s="74"/>
      <c r="X56" s="70"/>
      <c r="Y56" s="79">
        <f ca="1">Table29[[#This Row],[5/9/2025]]+2-TODAY()</f>
        <v>-86</v>
      </c>
      <c r="Z56" s="70">
        <f>IF(ISBLANK(Table29[[#This Row],[Roster Received By]]),1,0)</f>
        <v>1</v>
      </c>
      <c r="AA56" s="70">
        <f ca="1">IF(Table29[[#This Row],[5/5/2025]]&gt;TODAY(),1,)</f>
        <v>0</v>
      </c>
    </row>
    <row r="57" spans="1:27" s="76" customFormat="1" x14ac:dyDescent="0.25">
      <c r="A57" s="70" t="s">
        <v>331</v>
      </c>
      <c r="B57" s="69" t="s">
        <v>63</v>
      </c>
      <c r="C57" s="70" t="s">
        <v>64</v>
      </c>
      <c r="D57" s="70">
        <v>3683</v>
      </c>
      <c r="E57" s="69" t="s">
        <v>332</v>
      </c>
      <c r="F57" s="72">
        <v>45924</v>
      </c>
      <c r="G57" s="72">
        <v>45926</v>
      </c>
      <c r="H57" s="75">
        <v>0.33333333333333331</v>
      </c>
      <c r="I57" s="75"/>
      <c r="J57" s="72"/>
      <c r="K57" s="72"/>
      <c r="L57" s="72"/>
      <c r="M57" s="72"/>
      <c r="N57" s="72"/>
      <c r="O57" s="69" t="s">
        <v>168</v>
      </c>
      <c r="P57" s="69"/>
      <c r="Q57" s="74">
        <v>40</v>
      </c>
      <c r="R57" s="74">
        <v>3</v>
      </c>
      <c r="S57" s="74"/>
      <c r="T57" s="74"/>
      <c r="U57" s="70"/>
      <c r="V57" s="70"/>
      <c r="W57" s="74"/>
      <c r="X57" s="70"/>
      <c r="Y57" s="79">
        <f ca="1">Table29[[#This Row],[5/9/2025]]+2-TODAY()</f>
        <v>-79</v>
      </c>
      <c r="Z57" s="70">
        <f>IF(ISBLANK(Table29[[#This Row],[Roster Received By]]),1,0)</f>
        <v>1</v>
      </c>
      <c r="AA57" s="70">
        <f ca="1">IF(Table29[[#This Row],[5/5/2025]]&gt;TODAY(),1,)</f>
        <v>0</v>
      </c>
    </row>
    <row r="58" spans="1:27" s="76" customFormat="1" x14ac:dyDescent="0.25">
      <c r="A58" s="200" t="s">
        <v>333</v>
      </c>
      <c r="B58" s="197" t="s">
        <v>63</v>
      </c>
      <c r="C58" s="70" t="s">
        <v>64</v>
      </c>
      <c r="D58" s="70">
        <v>3683</v>
      </c>
      <c r="E58" s="69" t="s">
        <v>279</v>
      </c>
      <c r="F58" s="72">
        <v>45699</v>
      </c>
      <c r="G58" s="72">
        <v>45701</v>
      </c>
      <c r="H58" s="75">
        <v>0.33333333333333331</v>
      </c>
      <c r="I58" s="75"/>
      <c r="J58" s="72"/>
      <c r="K58" s="72"/>
      <c r="L58" s="72"/>
      <c r="M58" s="72"/>
      <c r="N58" s="72"/>
      <c r="O58" s="69" t="s">
        <v>168</v>
      </c>
      <c r="P58" s="69"/>
      <c r="Q58" s="74">
        <v>40</v>
      </c>
      <c r="R58" s="74">
        <v>3</v>
      </c>
      <c r="S58" s="74"/>
      <c r="T58" s="74"/>
      <c r="U58" s="70"/>
      <c r="V58" s="70"/>
      <c r="W58" s="74"/>
      <c r="X58" s="70"/>
      <c r="Y58" s="79">
        <f ca="1">Table29[[#This Row],[5/9/2025]]+2-TODAY()</f>
        <v>-304</v>
      </c>
      <c r="Z58" s="70">
        <f>IF(ISBLANK(Table29[[#This Row],[Roster Received By]]),1,0)</f>
        <v>1</v>
      </c>
      <c r="AA58" s="70">
        <f ca="1">IF(Table29[[#This Row],[5/5/2025]]&gt;TODAY(),1,)</f>
        <v>0</v>
      </c>
    </row>
    <row r="59" spans="1:27" s="76" customFormat="1" x14ac:dyDescent="0.25">
      <c r="A59" s="201" t="s">
        <v>334</v>
      </c>
      <c r="B59" s="197" t="s">
        <v>63</v>
      </c>
      <c r="C59" s="70" t="s">
        <v>64</v>
      </c>
      <c r="D59" s="70">
        <v>3683</v>
      </c>
      <c r="E59" s="69" t="s">
        <v>335</v>
      </c>
      <c r="F59" s="72">
        <v>45916</v>
      </c>
      <c r="G59" s="72">
        <v>45918</v>
      </c>
      <c r="H59" s="75">
        <v>0.33333333333333331</v>
      </c>
      <c r="I59" s="75"/>
      <c r="J59" s="72"/>
      <c r="K59" s="72"/>
      <c r="L59" s="72"/>
      <c r="M59" s="72"/>
      <c r="N59" s="72"/>
      <c r="O59" s="69" t="s">
        <v>168</v>
      </c>
      <c r="P59" s="69"/>
      <c r="Q59" s="73">
        <v>40</v>
      </c>
      <c r="R59" s="74">
        <v>3</v>
      </c>
      <c r="S59" s="73"/>
      <c r="T59" s="73"/>
      <c r="U59" s="14"/>
      <c r="V59" s="14"/>
      <c r="W59" s="14"/>
      <c r="X59" s="52"/>
      <c r="Y59" s="60">
        <f ca="1">Table29[[#This Row],[5/9/2025]]+2-TODAY()</f>
        <v>-87</v>
      </c>
      <c r="Z59" s="14">
        <f>IF(ISBLANK(Table29[[#This Row],[Roster Received By]]),1,0)</f>
        <v>1</v>
      </c>
      <c r="AA59" s="14">
        <f ca="1">IF(Table29[[#This Row],[5/5/2025]]&gt;TODAY(),1,)</f>
        <v>0</v>
      </c>
    </row>
    <row r="60" spans="1:27" s="76" customFormat="1" x14ac:dyDescent="0.25">
      <c r="A60" s="200" t="s">
        <v>336</v>
      </c>
      <c r="B60" s="197" t="s">
        <v>63</v>
      </c>
      <c r="C60" s="70" t="s">
        <v>64</v>
      </c>
      <c r="D60" s="70">
        <v>3683</v>
      </c>
      <c r="E60" s="69" t="s">
        <v>337</v>
      </c>
      <c r="F60" s="72">
        <v>45853</v>
      </c>
      <c r="G60" s="72">
        <v>45855</v>
      </c>
      <c r="H60" s="75">
        <v>0.33333333333333331</v>
      </c>
      <c r="I60" s="75"/>
      <c r="J60" s="72"/>
      <c r="K60" s="72"/>
      <c r="L60" s="72"/>
      <c r="M60" s="72"/>
      <c r="N60" s="72"/>
      <c r="O60" s="69" t="s">
        <v>168</v>
      </c>
      <c r="P60" s="69"/>
      <c r="Q60" s="74">
        <v>40</v>
      </c>
      <c r="R60" s="74">
        <v>3</v>
      </c>
      <c r="S60" s="74"/>
      <c r="T60" s="74"/>
      <c r="U60" s="70"/>
      <c r="V60" s="70"/>
      <c r="W60" s="74"/>
      <c r="X60" s="70"/>
      <c r="Y60" s="79">
        <f ca="1">Table29[[#This Row],[5/9/2025]]+2-TODAY()</f>
        <v>-150</v>
      </c>
      <c r="Z60" s="70">
        <f>IF(ISBLANK(Table29[[#This Row],[Roster Received By]]),1,0)</f>
        <v>1</v>
      </c>
      <c r="AA60" s="70">
        <f ca="1">IF(Table29[[#This Row],[5/5/2025]]&gt;TODAY(),1,)</f>
        <v>0</v>
      </c>
    </row>
    <row r="61" spans="1:27" s="76" customFormat="1" x14ac:dyDescent="0.25">
      <c r="A61" s="200" t="s">
        <v>338</v>
      </c>
      <c r="B61" s="197" t="s">
        <v>63</v>
      </c>
      <c r="C61" s="70" t="s">
        <v>64</v>
      </c>
      <c r="D61" s="70">
        <v>3683</v>
      </c>
      <c r="E61" s="69" t="s">
        <v>339</v>
      </c>
      <c r="F61" s="72">
        <v>45776</v>
      </c>
      <c r="G61" s="72">
        <v>45778</v>
      </c>
      <c r="H61" s="75">
        <v>0.33333333333333331</v>
      </c>
      <c r="I61" s="75"/>
      <c r="J61" s="72"/>
      <c r="K61" s="72"/>
      <c r="L61" s="72"/>
      <c r="M61" s="72"/>
      <c r="N61" s="72"/>
      <c r="O61" s="69" t="s">
        <v>168</v>
      </c>
      <c r="P61" s="69"/>
      <c r="Q61" s="74">
        <v>40</v>
      </c>
      <c r="R61" s="74">
        <v>3</v>
      </c>
      <c r="S61" s="74"/>
      <c r="T61" s="74"/>
      <c r="U61" s="70"/>
      <c r="V61" s="70"/>
      <c r="W61" s="74"/>
      <c r="X61" s="70"/>
      <c r="Y61" s="79">
        <f ca="1">Table29[[#This Row],[5/9/2025]]+2-TODAY()</f>
        <v>-227</v>
      </c>
      <c r="Z61" s="70">
        <f>IF(ISBLANK(Table29[[#This Row],[Roster Received By]]),1,0)</f>
        <v>1</v>
      </c>
      <c r="AA61" s="70">
        <f ca="1">IF(Table29[[#This Row],[5/5/2025]]&gt;TODAY(),1,)</f>
        <v>0</v>
      </c>
    </row>
    <row r="62" spans="1:27" s="76" customFormat="1" x14ac:dyDescent="0.25">
      <c r="A62" s="70" t="s">
        <v>201</v>
      </c>
      <c r="B62" s="69" t="s">
        <v>63</v>
      </c>
      <c r="C62" s="70" t="s">
        <v>64</v>
      </c>
      <c r="D62" s="70">
        <v>3683</v>
      </c>
      <c r="E62" s="69" t="s">
        <v>340</v>
      </c>
      <c r="F62" s="72">
        <v>45741</v>
      </c>
      <c r="G62" s="72">
        <v>45743</v>
      </c>
      <c r="H62" s="75">
        <v>0.33333333333333331</v>
      </c>
      <c r="I62" s="75"/>
      <c r="J62" s="72"/>
      <c r="K62" s="72"/>
      <c r="L62" s="72"/>
      <c r="M62" s="72"/>
      <c r="N62" s="72"/>
      <c r="O62" s="69" t="s">
        <v>168</v>
      </c>
      <c r="P62" s="69"/>
      <c r="Q62" s="74">
        <v>40</v>
      </c>
      <c r="R62" s="74">
        <v>3</v>
      </c>
      <c r="S62" s="74"/>
      <c r="T62" s="74"/>
      <c r="U62" s="70"/>
      <c r="V62" s="70"/>
      <c r="W62" s="74"/>
      <c r="X62" s="70"/>
      <c r="Y62" s="79">
        <f ca="1">Table29[[#This Row],[5/9/2025]]+2-TODAY()</f>
        <v>-262</v>
      </c>
      <c r="Z62" s="70">
        <f>IF(ISBLANK(Table29[[#This Row],[Roster Received By]]),1,0)</f>
        <v>1</v>
      </c>
      <c r="AA62" s="70">
        <f ca="1">IF(Table29[[#This Row],[5/5/2025]]&gt;TODAY(),1,)</f>
        <v>0</v>
      </c>
    </row>
    <row r="63" spans="1:27" s="76" customFormat="1" x14ac:dyDescent="0.25">
      <c r="A63" s="70" t="s">
        <v>201</v>
      </c>
      <c r="B63" s="69" t="s">
        <v>63</v>
      </c>
      <c r="C63" s="70" t="s">
        <v>64</v>
      </c>
      <c r="D63" s="70">
        <v>3683</v>
      </c>
      <c r="E63" s="69" t="s">
        <v>341</v>
      </c>
      <c r="F63" s="72">
        <v>45902</v>
      </c>
      <c r="G63" s="72">
        <v>45903</v>
      </c>
      <c r="H63" s="75">
        <v>0.33333333333333331</v>
      </c>
      <c r="I63" s="75"/>
      <c r="J63" s="72"/>
      <c r="K63" s="72"/>
      <c r="L63" s="72"/>
      <c r="M63" s="72"/>
      <c r="N63" s="72"/>
      <c r="O63" s="69" t="s">
        <v>168</v>
      </c>
      <c r="P63" s="69"/>
      <c r="Q63" s="74">
        <v>40</v>
      </c>
      <c r="R63" s="74">
        <v>3</v>
      </c>
      <c r="S63" s="74"/>
      <c r="T63" s="74"/>
      <c r="U63" s="70"/>
      <c r="V63" s="70"/>
      <c r="W63" s="74"/>
      <c r="X63" s="70"/>
      <c r="Y63" s="79">
        <f ca="1">Table29[[#This Row],[5/9/2025]]+2-TODAY()</f>
        <v>-102</v>
      </c>
      <c r="Z63" s="70">
        <f>IF(ISBLANK(Table29[[#This Row],[Roster Received By]]),1,0)</f>
        <v>1</v>
      </c>
      <c r="AA63" s="70">
        <f ca="1">IF(Table29[[#This Row],[5/5/2025]]&gt;TODAY(),1,)</f>
        <v>0</v>
      </c>
    </row>
    <row r="64" spans="1:27" s="76" customFormat="1" x14ac:dyDescent="0.25">
      <c r="A64" s="52"/>
      <c r="B64" s="69" t="s">
        <v>77</v>
      </c>
      <c r="C64" s="70" t="s">
        <v>78</v>
      </c>
      <c r="D64" s="70" t="s">
        <v>79</v>
      </c>
      <c r="E64" s="69" t="s">
        <v>176</v>
      </c>
      <c r="F64" s="56">
        <v>45670</v>
      </c>
      <c r="G64" s="56">
        <v>45672</v>
      </c>
      <c r="H64" s="71">
        <v>0.33333333333333331</v>
      </c>
      <c r="I64" s="71"/>
      <c r="J64" s="75"/>
      <c r="K64" s="75"/>
      <c r="L64" s="75"/>
      <c r="M64" s="75"/>
      <c r="N64" s="75"/>
      <c r="O64" s="69" t="s">
        <v>168</v>
      </c>
      <c r="P64" s="69"/>
      <c r="Q64" s="14">
        <v>25</v>
      </c>
      <c r="R64" s="14">
        <v>3</v>
      </c>
      <c r="S64" s="14"/>
      <c r="T64" s="73"/>
      <c r="U64" s="14"/>
      <c r="V64" s="14"/>
      <c r="W64" s="14"/>
      <c r="X64" s="69"/>
      <c r="Y64" s="60">
        <f ca="1">Table29[[#This Row],[5/9/2025]]+2-TODAY()</f>
        <v>-333</v>
      </c>
      <c r="Z64" s="14">
        <f>IF(ISBLANK(Table29[[#This Row],[Roster Received By]]),1,0)</f>
        <v>1</v>
      </c>
      <c r="AA64" s="14">
        <f ca="1">IF(Table29[[#This Row],[5/5/2025]]&gt;TODAY(),1,)</f>
        <v>0</v>
      </c>
    </row>
    <row r="65" spans="1:27" s="76" customFormat="1" x14ac:dyDescent="0.25">
      <c r="A65" s="52"/>
      <c r="B65" s="69" t="s">
        <v>77</v>
      </c>
      <c r="C65" s="70" t="s">
        <v>78</v>
      </c>
      <c r="D65" s="70" t="s">
        <v>79</v>
      </c>
      <c r="E65" s="69" t="s">
        <v>229</v>
      </c>
      <c r="F65" s="72">
        <v>45691</v>
      </c>
      <c r="G65" s="72">
        <v>45693</v>
      </c>
      <c r="H65" s="71">
        <v>0.33333333333333331</v>
      </c>
      <c r="I65" s="75"/>
      <c r="J65" s="72"/>
      <c r="K65" s="72"/>
      <c r="L65" s="72"/>
      <c r="M65" s="72"/>
      <c r="N65" s="72"/>
      <c r="O65" s="69" t="s">
        <v>168</v>
      </c>
      <c r="P65" s="69"/>
      <c r="Q65" s="14">
        <v>25</v>
      </c>
      <c r="R65" s="14">
        <v>3</v>
      </c>
      <c r="S65" s="14"/>
      <c r="T65" s="73"/>
      <c r="U65" s="14"/>
      <c r="V65" s="14"/>
      <c r="W65" s="70"/>
      <c r="X65" s="69"/>
      <c r="Y65" s="60">
        <f ca="1">Table29[[#This Row],[5/9/2025]]+2-TODAY()</f>
        <v>-312</v>
      </c>
      <c r="Z65" s="14">
        <f>IF(ISBLANK(Table29[[#This Row],[Roster Received By]]),1,0)</f>
        <v>1</v>
      </c>
      <c r="AA65" s="14">
        <f ca="1">IF(Table29[[#This Row],[5/5/2025]]&gt;TODAY(),1,)</f>
        <v>0</v>
      </c>
    </row>
    <row r="66" spans="1:27" s="76" customFormat="1" x14ac:dyDescent="0.25">
      <c r="A66" s="52"/>
      <c r="B66" s="69" t="s">
        <v>77</v>
      </c>
      <c r="C66" s="70" t="s">
        <v>78</v>
      </c>
      <c r="D66" s="70" t="s">
        <v>79</v>
      </c>
      <c r="E66" s="69" t="s">
        <v>293</v>
      </c>
      <c r="F66" s="72">
        <v>45698</v>
      </c>
      <c r="G66" s="72">
        <v>45700</v>
      </c>
      <c r="H66" s="71">
        <v>0.33333333333333331</v>
      </c>
      <c r="I66" s="78"/>
      <c r="J66" s="109"/>
      <c r="K66" s="72"/>
      <c r="L66" s="72"/>
      <c r="M66" s="72"/>
      <c r="N66" s="72"/>
      <c r="O66" s="69" t="s">
        <v>168</v>
      </c>
      <c r="P66" s="69"/>
      <c r="Q66" s="14">
        <v>25</v>
      </c>
      <c r="R66" s="14">
        <v>3</v>
      </c>
      <c r="S66" s="14"/>
      <c r="T66" s="73"/>
      <c r="U66" s="14"/>
      <c r="V66" s="14"/>
      <c r="W66" s="14"/>
      <c r="X66" s="69"/>
      <c r="Y66" s="60">
        <f ca="1">Table29[[#This Row],[5/9/2025]]+2-TODAY()</f>
        <v>-305</v>
      </c>
      <c r="Z66" s="14">
        <f>IF(ISBLANK(Table29[[#This Row],[Roster Received By]]),1,0)</f>
        <v>1</v>
      </c>
      <c r="AA66" s="14">
        <f ca="1">IF(Table29[[#This Row],[5/5/2025]]&gt;TODAY(),1,)</f>
        <v>0</v>
      </c>
    </row>
    <row r="67" spans="1:27" s="76" customFormat="1" x14ac:dyDescent="0.25">
      <c r="A67" s="52" t="s">
        <v>342</v>
      </c>
      <c r="B67" s="69" t="s">
        <v>77</v>
      </c>
      <c r="C67" s="70" t="s">
        <v>78</v>
      </c>
      <c r="D67" s="70" t="s">
        <v>79</v>
      </c>
      <c r="E67" s="69" t="s">
        <v>286</v>
      </c>
      <c r="F67" s="72">
        <v>45698</v>
      </c>
      <c r="G67" s="72">
        <v>45700</v>
      </c>
      <c r="H67" s="71">
        <v>0.33333333333333331</v>
      </c>
      <c r="I67" s="71"/>
      <c r="J67" s="71"/>
      <c r="K67" s="71"/>
      <c r="L67" s="71"/>
      <c r="M67" s="71"/>
      <c r="N67" s="71"/>
      <c r="O67" s="69" t="s">
        <v>168</v>
      </c>
      <c r="P67" s="69"/>
      <c r="Q67" s="14">
        <v>25</v>
      </c>
      <c r="R67" s="14">
        <v>3</v>
      </c>
      <c r="S67" s="73"/>
      <c r="T67" s="73"/>
      <c r="U67" s="14"/>
      <c r="V67" s="14"/>
      <c r="W67" s="70"/>
      <c r="X67" s="69"/>
      <c r="Y67" s="60">
        <f ca="1">Table29[[#This Row],[5/9/2025]]+2-TODAY()</f>
        <v>-305</v>
      </c>
      <c r="Z67" s="14">
        <f>IF(ISBLANK(Table29[[#This Row],[Roster Received By]]),1,0)</f>
        <v>1</v>
      </c>
      <c r="AA67" s="14">
        <f ca="1">IF(Table29[[#This Row],[5/5/2025]]&gt;TODAY(),1,)</f>
        <v>0</v>
      </c>
    </row>
    <row r="68" spans="1:27" s="76" customFormat="1" x14ac:dyDescent="0.25">
      <c r="A68" s="52"/>
      <c r="B68" s="69" t="s">
        <v>77</v>
      </c>
      <c r="C68" s="70" t="s">
        <v>78</v>
      </c>
      <c r="D68" s="70" t="s">
        <v>79</v>
      </c>
      <c r="E68" s="54" t="s">
        <v>343</v>
      </c>
      <c r="F68" s="72">
        <v>45719</v>
      </c>
      <c r="G68" s="72">
        <v>45721</v>
      </c>
      <c r="H68" s="71">
        <v>0.33333333333333331</v>
      </c>
      <c r="I68" s="71"/>
      <c r="J68" s="71"/>
      <c r="K68" s="75"/>
      <c r="L68" s="75"/>
      <c r="M68" s="75"/>
      <c r="N68" s="75"/>
      <c r="O68" s="69" t="s">
        <v>168</v>
      </c>
      <c r="P68" s="69"/>
      <c r="Q68" s="14">
        <v>25</v>
      </c>
      <c r="R68" s="14">
        <v>3</v>
      </c>
      <c r="S68" s="14"/>
      <c r="T68" s="73"/>
      <c r="U68" s="14"/>
      <c r="V68" s="14"/>
      <c r="W68" s="14"/>
      <c r="X68" s="69"/>
      <c r="Y68" s="60">
        <f ca="1">Table29[[#This Row],[5/9/2025]]+2-TODAY()</f>
        <v>-284</v>
      </c>
      <c r="Z68" s="14">
        <f>IF(ISBLANK(Table29[[#This Row],[Roster Received By]]),1,0)</f>
        <v>1</v>
      </c>
      <c r="AA68" s="14">
        <f ca="1">IF(Table29[[#This Row],[5/5/2025]]&gt;TODAY(),1,)</f>
        <v>0</v>
      </c>
    </row>
    <row r="69" spans="1:27" s="76" customFormat="1" x14ac:dyDescent="0.25">
      <c r="A69" s="52"/>
      <c r="B69" s="69" t="s">
        <v>77</v>
      </c>
      <c r="C69" s="70" t="s">
        <v>78</v>
      </c>
      <c r="D69" s="70" t="s">
        <v>79</v>
      </c>
      <c r="E69" s="69" t="s">
        <v>297</v>
      </c>
      <c r="F69" s="72">
        <v>45740</v>
      </c>
      <c r="G69" s="72">
        <v>45742</v>
      </c>
      <c r="H69" s="71">
        <v>0.33333333333333331</v>
      </c>
      <c r="I69" s="71"/>
      <c r="J69" s="75"/>
      <c r="K69" s="75"/>
      <c r="L69" s="75"/>
      <c r="M69" s="75"/>
      <c r="N69" s="75"/>
      <c r="O69" s="69" t="s">
        <v>168</v>
      </c>
      <c r="P69" s="69"/>
      <c r="Q69" s="14">
        <v>25</v>
      </c>
      <c r="R69" s="14">
        <v>3</v>
      </c>
      <c r="S69" s="14"/>
      <c r="T69" s="73"/>
      <c r="U69" s="14"/>
      <c r="V69" s="14"/>
      <c r="W69" s="14"/>
      <c r="X69" s="69"/>
      <c r="Y69" s="60">
        <f ca="1">Table29[[#This Row],[5/9/2025]]+2-TODAY()</f>
        <v>-263</v>
      </c>
      <c r="Z69" s="14">
        <f>IF(ISBLANK(Table29[[#This Row],[Roster Received By]]),1,0)</f>
        <v>1</v>
      </c>
      <c r="AA69" s="14">
        <f ca="1">IF(Table29[[#This Row],[5/5/2025]]&gt;TODAY(),1,)</f>
        <v>0</v>
      </c>
    </row>
    <row r="70" spans="1:27" s="76" customFormat="1" x14ac:dyDescent="0.25">
      <c r="A70" s="52"/>
      <c r="B70" s="69" t="s">
        <v>77</v>
      </c>
      <c r="C70" s="70" t="s">
        <v>78</v>
      </c>
      <c r="D70" s="70" t="s">
        <v>79</v>
      </c>
      <c r="E70" s="69" t="s">
        <v>298</v>
      </c>
      <c r="F70" s="56">
        <v>45754</v>
      </c>
      <c r="G70" s="56">
        <v>45756</v>
      </c>
      <c r="H70" s="71">
        <v>0.33333333333333331</v>
      </c>
      <c r="I70" s="78"/>
      <c r="J70" s="72"/>
      <c r="K70" s="72"/>
      <c r="L70" s="72"/>
      <c r="M70" s="72"/>
      <c r="N70" s="72"/>
      <c r="O70" s="69" t="s">
        <v>168</v>
      </c>
      <c r="P70" s="69"/>
      <c r="Q70" s="14">
        <v>25</v>
      </c>
      <c r="R70" s="14">
        <v>3</v>
      </c>
      <c r="S70" s="14"/>
      <c r="T70" s="73"/>
      <c r="U70" s="14"/>
      <c r="V70" s="14"/>
      <c r="W70" s="73"/>
      <c r="X70" s="69"/>
      <c r="Y70" s="60">
        <f ca="1">Table29[[#This Row],[5/9/2025]]+2-TODAY()</f>
        <v>-249</v>
      </c>
      <c r="Z70" s="14">
        <f>IF(ISBLANK(Table29[[#This Row],[Roster Received By]]),1,0)</f>
        <v>1</v>
      </c>
      <c r="AA70" s="14">
        <f ca="1">IF(Table29[[#This Row],[5/5/2025]]&gt;TODAY(),1,)</f>
        <v>0</v>
      </c>
    </row>
    <row r="71" spans="1:27" s="76" customFormat="1" x14ac:dyDescent="0.25">
      <c r="A71" s="52"/>
      <c r="B71" s="69" t="s">
        <v>77</v>
      </c>
      <c r="C71" s="70" t="s">
        <v>78</v>
      </c>
      <c r="D71" s="70" t="s">
        <v>79</v>
      </c>
      <c r="E71" s="143" t="s">
        <v>255</v>
      </c>
      <c r="F71" s="144">
        <v>45782</v>
      </c>
      <c r="G71" s="144">
        <v>45784</v>
      </c>
      <c r="H71" s="145">
        <v>0.33333333333333331</v>
      </c>
      <c r="I71" s="71"/>
      <c r="J71" s="75"/>
      <c r="K71" s="75"/>
      <c r="L71" s="75"/>
      <c r="M71" s="75"/>
      <c r="N71" s="75"/>
      <c r="O71" s="69" t="s">
        <v>168</v>
      </c>
      <c r="P71" s="69"/>
      <c r="Q71" s="14">
        <v>25</v>
      </c>
      <c r="R71" s="14">
        <v>3</v>
      </c>
      <c r="S71" s="14"/>
      <c r="T71" s="73"/>
      <c r="U71" s="14"/>
      <c r="V71" s="14"/>
      <c r="W71" s="14"/>
      <c r="X71" s="69"/>
      <c r="Y71" s="60">
        <f ca="1">Table29[[#This Row],[5/9/2025]]+2-TODAY()</f>
        <v>-221</v>
      </c>
      <c r="Z71" s="14">
        <f>IF(ISBLANK(Table29[[#This Row],[Roster Received By]]),1,0)</f>
        <v>1</v>
      </c>
      <c r="AA71" s="14">
        <f ca="1">IF(Table29[[#This Row],[5/5/2025]]&gt;TODAY(),1,)</f>
        <v>0</v>
      </c>
    </row>
    <row r="72" spans="1:27" s="76" customFormat="1" x14ac:dyDescent="0.25">
      <c r="A72" s="52"/>
      <c r="B72" s="69" t="s">
        <v>77</v>
      </c>
      <c r="C72" s="70" t="s">
        <v>78</v>
      </c>
      <c r="D72" s="70" t="s">
        <v>79</v>
      </c>
      <c r="E72" s="69" t="s">
        <v>229</v>
      </c>
      <c r="F72" s="72">
        <v>45789</v>
      </c>
      <c r="G72" s="72">
        <v>45791</v>
      </c>
      <c r="H72" s="71">
        <v>0.33333333333333331</v>
      </c>
      <c r="I72" s="71"/>
      <c r="J72" s="75"/>
      <c r="K72" s="75"/>
      <c r="L72" s="75"/>
      <c r="M72" s="75"/>
      <c r="N72" s="75"/>
      <c r="O72" s="69" t="s">
        <v>168</v>
      </c>
      <c r="P72" s="69"/>
      <c r="Q72" s="14">
        <v>25</v>
      </c>
      <c r="R72" s="14">
        <v>3</v>
      </c>
      <c r="S72" s="14"/>
      <c r="T72" s="73"/>
      <c r="U72" s="14"/>
      <c r="V72" s="14"/>
      <c r="W72" s="14"/>
      <c r="X72" s="69"/>
      <c r="Y72" s="60">
        <f ca="1">Table29[[#This Row],[5/9/2025]]+2-TODAY()</f>
        <v>-214</v>
      </c>
      <c r="Z72" s="14">
        <f>IF(ISBLANK(Table29[[#This Row],[Roster Received By]]),1,0)</f>
        <v>1</v>
      </c>
      <c r="AA72" s="14">
        <f ca="1">IF(Table29[[#This Row],[5/5/2025]]&gt;TODAY(),1,)</f>
        <v>0</v>
      </c>
    </row>
    <row r="73" spans="1:27" s="76" customFormat="1" x14ac:dyDescent="0.25">
      <c r="A73" s="52"/>
      <c r="B73" s="69" t="s">
        <v>77</v>
      </c>
      <c r="C73" s="70" t="s">
        <v>78</v>
      </c>
      <c r="D73" s="70" t="s">
        <v>79</v>
      </c>
      <c r="E73" s="69" t="s">
        <v>307</v>
      </c>
      <c r="F73" s="72">
        <v>45817</v>
      </c>
      <c r="G73" s="72">
        <v>45819</v>
      </c>
      <c r="H73" s="71">
        <v>0.33333333333333331</v>
      </c>
      <c r="I73" s="71"/>
      <c r="J73" s="75"/>
      <c r="K73" s="75"/>
      <c r="L73" s="75"/>
      <c r="M73" s="75"/>
      <c r="N73" s="75"/>
      <c r="O73" s="69" t="s">
        <v>168</v>
      </c>
      <c r="P73" s="69"/>
      <c r="Q73" s="14">
        <v>25</v>
      </c>
      <c r="R73" s="14">
        <v>3</v>
      </c>
      <c r="S73" s="14"/>
      <c r="T73" s="73"/>
      <c r="U73" s="14"/>
      <c r="V73" s="14"/>
      <c r="W73" s="14"/>
      <c r="X73" s="69"/>
      <c r="Y73" s="60">
        <f ca="1">Table29[[#This Row],[5/9/2025]]+2-TODAY()</f>
        <v>-186</v>
      </c>
      <c r="Z73" s="14">
        <f>IF(ISBLANK(Table29[[#This Row],[Roster Received By]]),1,0)</f>
        <v>1</v>
      </c>
      <c r="AA73" s="14">
        <f ca="1">IF(Table29[[#This Row],[5/5/2025]]&gt;TODAY(),1,)</f>
        <v>0</v>
      </c>
    </row>
    <row r="74" spans="1:27" s="105" customFormat="1" x14ac:dyDescent="0.25">
      <c r="A74" s="69"/>
      <c r="B74" s="69" t="s">
        <v>77</v>
      </c>
      <c r="C74" s="70" t="s">
        <v>78</v>
      </c>
      <c r="D74" s="70" t="s">
        <v>79</v>
      </c>
      <c r="E74" s="69" t="s">
        <v>263</v>
      </c>
      <c r="F74" s="72">
        <v>45852</v>
      </c>
      <c r="G74" s="72">
        <v>45854</v>
      </c>
      <c r="H74" s="71">
        <v>0.33333333333333331</v>
      </c>
      <c r="I74" s="75"/>
      <c r="J74" s="75"/>
      <c r="K74" s="75"/>
      <c r="L74" s="75"/>
      <c r="M74" s="75"/>
      <c r="N74" s="75"/>
      <c r="O74" s="69" t="s">
        <v>168</v>
      </c>
      <c r="P74" s="69"/>
      <c r="Q74" s="14">
        <v>25</v>
      </c>
      <c r="R74" s="14">
        <v>3</v>
      </c>
      <c r="S74" s="73"/>
      <c r="T74" s="73"/>
      <c r="U74" s="14"/>
      <c r="V74" s="14"/>
      <c r="W74" s="73"/>
      <c r="X74" s="69"/>
      <c r="Y74" s="60">
        <f ca="1">Table29[[#This Row],[5/9/2025]]+2-TODAY()</f>
        <v>-151</v>
      </c>
      <c r="Z74" s="14">
        <f>IF(ISBLANK(Table29[[#This Row],[Roster Received By]]),1,0)</f>
        <v>1</v>
      </c>
      <c r="AA74" s="14">
        <f ca="1">IF(Table29[[#This Row],[5/5/2025]]&gt;TODAY(),1,)</f>
        <v>0</v>
      </c>
    </row>
    <row r="75" spans="1:27" s="76" customFormat="1" x14ac:dyDescent="0.25">
      <c r="A75" s="70"/>
      <c r="B75" s="69" t="s">
        <v>77</v>
      </c>
      <c r="C75" s="70" t="s">
        <v>78</v>
      </c>
      <c r="D75" s="70" t="s">
        <v>79</v>
      </c>
      <c r="E75" s="69" t="s">
        <v>294</v>
      </c>
      <c r="F75" s="72">
        <v>45859</v>
      </c>
      <c r="G75" s="72">
        <v>45861</v>
      </c>
      <c r="H75" s="71">
        <v>0.33333333333333331</v>
      </c>
      <c r="I75" s="75"/>
      <c r="J75" s="72"/>
      <c r="K75" s="72"/>
      <c r="L75" s="72"/>
      <c r="M75" s="72"/>
      <c r="N75" s="72"/>
      <c r="O75" s="69" t="s">
        <v>168</v>
      </c>
      <c r="P75" s="69"/>
      <c r="Q75" s="14">
        <v>25</v>
      </c>
      <c r="R75" s="14">
        <v>3</v>
      </c>
      <c r="S75" s="77"/>
      <c r="T75" s="73"/>
      <c r="U75" s="14"/>
      <c r="V75" s="14"/>
      <c r="W75" s="14"/>
      <c r="X75" s="69"/>
      <c r="Y75" s="60">
        <f ca="1">Table29[[#This Row],[5/9/2025]]+2-TODAY()</f>
        <v>-144</v>
      </c>
      <c r="Z75" s="14">
        <f>IF(ISBLANK(Table29[[#This Row],[Roster Received By]]),1,0)</f>
        <v>1</v>
      </c>
      <c r="AA75" s="14">
        <f ca="1">IF(Table29[[#This Row],[5/5/2025]]&gt;TODAY(),1,)</f>
        <v>0</v>
      </c>
    </row>
    <row r="76" spans="1:27" s="76" customFormat="1" x14ac:dyDescent="0.25">
      <c r="A76" s="52"/>
      <c r="B76" s="69" t="s">
        <v>77</v>
      </c>
      <c r="C76" s="70" t="s">
        <v>78</v>
      </c>
      <c r="D76" s="70" t="s">
        <v>79</v>
      </c>
      <c r="E76" s="69" t="s">
        <v>229</v>
      </c>
      <c r="F76" s="72">
        <v>45873</v>
      </c>
      <c r="G76" s="72">
        <v>45875</v>
      </c>
      <c r="H76" s="71">
        <v>0.33333333333333331</v>
      </c>
      <c r="I76" s="71"/>
      <c r="J76" s="75"/>
      <c r="K76" s="75"/>
      <c r="L76" s="75"/>
      <c r="M76" s="75"/>
      <c r="N76" s="75"/>
      <c r="O76" s="69" t="s">
        <v>168</v>
      </c>
      <c r="P76" s="69"/>
      <c r="Q76" s="14">
        <v>25</v>
      </c>
      <c r="R76" s="14">
        <v>3</v>
      </c>
      <c r="S76" s="14"/>
      <c r="T76" s="73"/>
      <c r="U76" s="14"/>
      <c r="V76" s="14"/>
      <c r="W76" s="14"/>
      <c r="X76" s="69"/>
      <c r="Y76" s="60">
        <f ca="1">Table29[[#This Row],[5/9/2025]]+2-TODAY()</f>
        <v>-130</v>
      </c>
      <c r="Z76" s="14">
        <f>IF(ISBLANK(Table29[[#This Row],[Roster Received By]]),1,0)</f>
        <v>1</v>
      </c>
      <c r="AA76" s="14">
        <f ca="1">IF(Table29[[#This Row],[5/5/2025]]&gt;TODAY(),1,)</f>
        <v>0</v>
      </c>
    </row>
    <row r="77" spans="1:27" s="76" customFormat="1" x14ac:dyDescent="0.25">
      <c r="A77" s="52"/>
      <c r="B77" s="69" t="s">
        <v>77</v>
      </c>
      <c r="C77" s="70" t="s">
        <v>78</v>
      </c>
      <c r="D77" s="70" t="s">
        <v>79</v>
      </c>
      <c r="E77" s="69" t="s">
        <v>259</v>
      </c>
      <c r="F77" s="72">
        <v>45873</v>
      </c>
      <c r="G77" s="72">
        <v>45875</v>
      </c>
      <c r="H77" s="71">
        <v>0.33333333333333331</v>
      </c>
      <c r="I77" s="71"/>
      <c r="J77" s="71"/>
      <c r="K77" s="71"/>
      <c r="L77" s="71"/>
      <c r="M77" s="71"/>
      <c r="N77" s="71"/>
      <c r="O77" s="69" t="s">
        <v>168</v>
      </c>
      <c r="P77" s="69"/>
      <c r="Q77" s="14">
        <v>25</v>
      </c>
      <c r="R77" s="14">
        <v>3</v>
      </c>
      <c r="S77" s="14"/>
      <c r="T77" s="73"/>
      <c r="U77" s="14"/>
      <c r="V77" s="14"/>
      <c r="W77" s="14"/>
      <c r="X77" s="69"/>
      <c r="Y77" s="60">
        <f ca="1">Table29[[#This Row],[5/9/2025]]+2-TODAY()</f>
        <v>-130</v>
      </c>
      <c r="Z77" s="14">
        <f>IF(ISBLANK(Table29[[#This Row],[Roster Received By]]),1,0)</f>
        <v>1</v>
      </c>
      <c r="AA77" s="14">
        <f ca="1">IF(Table29[[#This Row],[5/5/2025]]&gt;TODAY(),1,)</f>
        <v>0</v>
      </c>
    </row>
    <row r="78" spans="1:27" s="76" customFormat="1" x14ac:dyDescent="0.25">
      <c r="A78" s="97"/>
      <c r="B78" s="69" t="s">
        <v>77</v>
      </c>
      <c r="C78" s="70" t="s">
        <v>78</v>
      </c>
      <c r="D78" s="70" t="s">
        <v>79</v>
      </c>
      <c r="E78" s="54" t="s">
        <v>170</v>
      </c>
      <c r="F78" s="72">
        <v>45887</v>
      </c>
      <c r="G78" s="72">
        <v>45889</v>
      </c>
      <c r="H78" s="71">
        <v>0.33333333333333331</v>
      </c>
      <c r="I78" s="71"/>
      <c r="J78" s="75"/>
      <c r="K78" s="75"/>
      <c r="L78" s="75"/>
      <c r="M78" s="75"/>
      <c r="N78" s="75"/>
      <c r="O78" s="69" t="s">
        <v>168</v>
      </c>
      <c r="P78" s="69"/>
      <c r="Q78" s="14">
        <v>25</v>
      </c>
      <c r="R78" s="14">
        <v>3</v>
      </c>
      <c r="S78" s="14"/>
      <c r="T78" s="73"/>
      <c r="U78" s="14"/>
      <c r="V78" s="14"/>
      <c r="W78" s="73"/>
      <c r="X78" s="69"/>
      <c r="Y78" s="60">
        <f ca="1">Table29[[#This Row],[5/9/2025]]+2-TODAY()</f>
        <v>-116</v>
      </c>
      <c r="Z78" s="14">
        <f>IF(ISBLANK(Table29[[#This Row],[Roster Received By]]),1,0)</f>
        <v>1</v>
      </c>
      <c r="AA78" s="14">
        <f ca="1">IF(Table29[[#This Row],[5/5/2025]]&gt;TODAY(),1,)</f>
        <v>0</v>
      </c>
    </row>
    <row r="79" spans="1:27" s="76" customFormat="1" x14ac:dyDescent="0.25">
      <c r="A79" s="52"/>
      <c r="B79" s="69" t="s">
        <v>77</v>
      </c>
      <c r="C79" s="70" t="s">
        <v>78</v>
      </c>
      <c r="D79" s="70" t="s">
        <v>79</v>
      </c>
      <c r="E79" s="69" t="s">
        <v>166</v>
      </c>
      <c r="F79" s="72">
        <v>45902</v>
      </c>
      <c r="G79" s="72">
        <v>45904</v>
      </c>
      <c r="H79" s="71">
        <v>0.33333333333333331</v>
      </c>
      <c r="I79" s="75"/>
      <c r="J79" s="72"/>
      <c r="K79" s="72"/>
      <c r="L79" s="72"/>
      <c r="M79" s="72"/>
      <c r="N79" s="72"/>
      <c r="O79" s="69" t="s">
        <v>168</v>
      </c>
      <c r="P79" s="69"/>
      <c r="Q79" s="73">
        <v>25</v>
      </c>
      <c r="R79" s="74">
        <v>3</v>
      </c>
      <c r="S79" s="73"/>
      <c r="T79" s="73"/>
      <c r="U79" s="14"/>
      <c r="V79" s="14"/>
      <c r="W79" s="14"/>
      <c r="X79" s="69"/>
      <c r="Y79" s="60">
        <f ca="1">Table29[[#This Row],[5/9/2025]]+2-TODAY()</f>
        <v>-101</v>
      </c>
      <c r="Z79" s="14">
        <f>IF(ISBLANK(Table29[[#This Row],[Roster Received By]]),1,0)</f>
        <v>1</v>
      </c>
      <c r="AA79" s="14">
        <f ca="1">IF(Table29[[#This Row],[5/5/2025]]&gt;TODAY(),1,)</f>
        <v>0</v>
      </c>
    </row>
    <row r="80" spans="1:27" s="76" customFormat="1" x14ac:dyDescent="0.25">
      <c r="A80" s="52"/>
      <c r="B80" s="69" t="s">
        <v>77</v>
      </c>
      <c r="C80" s="70" t="s">
        <v>78</v>
      </c>
      <c r="D80" s="70" t="s">
        <v>79</v>
      </c>
      <c r="E80" s="69" t="s">
        <v>344</v>
      </c>
      <c r="F80" s="72">
        <v>45908</v>
      </c>
      <c r="G80" s="72">
        <v>45910</v>
      </c>
      <c r="H80" s="71">
        <v>0.33333333333333331</v>
      </c>
      <c r="I80" s="71"/>
      <c r="J80" s="71"/>
      <c r="K80" s="71"/>
      <c r="L80" s="71"/>
      <c r="M80" s="71"/>
      <c r="N80" s="71"/>
      <c r="O80" s="69" t="s">
        <v>168</v>
      </c>
      <c r="P80" s="69"/>
      <c r="Q80" s="14">
        <v>25</v>
      </c>
      <c r="R80" s="14">
        <v>3</v>
      </c>
      <c r="S80" s="14"/>
      <c r="T80" s="73"/>
      <c r="U80" s="14"/>
      <c r="V80" s="14"/>
      <c r="W80" s="14"/>
      <c r="X80" s="69"/>
      <c r="Y80" s="60">
        <f ca="1">Table29[[#This Row],[5/9/2025]]+2-TODAY()</f>
        <v>-95</v>
      </c>
      <c r="Z80" s="14">
        <f>IF(ISBLANK(Table29[[#This Row],[Roster Received By]]),1,0)</f>
        <v>1</v>
      </c>
      <c r="AA80" s="14">
        <f ca="1">IF(Table29[[#This Row],[5/5/2025]]&gt;TODAY(),1,)</f>
        <v>0</v>
      </c>
    </row>
    <row r="81" spans="1:27" s="76" customFormat="1" x14ac:dyDescent="0.25">
      <c r="A81" s="52"/>
      <c r="B81" s="69" t="s">
        <v>77</v>
      </c>
      <c r="C81" s="70" t="s">
        <v>78</v>
      </c>
      <c r="D81" s="70" t="s">
        <v>79</v>
      </c>
      <c r="E81" s="69" t="s">
        <v>328</v>
      </c>
      <c r="F81" s="72">
        <v>45908</v>
      </c>
      <c r="G81" s="72">
        <v>45910</v>
      </c>
      <c r="H81" s="71">
        <v>0.33333333333333331</v>
      </c>
      <c r="I81" s="71"/>
      <c r="J81" s="75"/>
      <c r="K81" s="75"/>
      <c r="L81" s="75"/>
      <c r="M81" s="75"/>
      <c r="N81" s="75"/>
      <c r="O81" s="69" t="s">
        <v>168</v>
      </c>
      <c r="P81" s="69"/>
      <c r="Q81" s="14">
        <v>25</v>
      </c>
      <c r="R81" s="14">
        <v>3</v>
      </c>
      <c r="S81" s="14"/>
      <c r="T81" s="73"/>
      <c r="U81" s="14"/>
      <c r="V81" s="14"/>
      <c r="W81" s="14"/>
      <c r="X81" s="69"/>
      <c r="Y81" s="60">
        <f ca="1">Table29[[#This Row],[5/9/2025]]+2-TODAY()</f>
        <v>-95</v>
      </c>
      <c r="Z81" s="14">
        <f>IF(ISBLANK(Table29[[#This Row],[Roster Received By]]),1,0)</f>
        <v>1</v>
      </c>
      <c r="AA81" s="14">
        <f ca="1">IF(Table29[[#This Row],[5/5/2025]]&gt;TODAY(),1,)</f>
        <v>0</v>
      </c>
    </row>
    <row r="82" spans="1:27" s="76" customFormat="1" x14ac:dyDescent="0.25">
      <c r="A82" s="52" t="s">
        <v>345</v>
      </c>
      <c r="B82" s="69" t="s">
        <v>80</v>
      </c>
      <c r="C82" s="70" t="s">
        <v>81</v>
      </c>
      <c r="D82" s="70" t="s">
        <v>82</v>
      </c>
      <c r="E82" s="69" t="s">
        <v>25</v>
      </c>
      <c r="F82" s="72">
        <v>45670</v>
      </c>
      <c r="G82" s="72">
        <v>45670</v>
      </c>
      <c r="H82" s="71"/>
      <c r="I82" s="71">
        <v>0.33333333333333331</v>
      </c>
      <c r="J82" s="71"/>
      <c r="K82" s="71"/>
      <c r="L82" s="71"/>
      <c r="M82" s="71"/>
      <c r="N82" s="71"/>
      <c r="O82" s="69" t="s">
        <v>168</v>
      </c>
      <c r="P82" s="69"/>
      <c r="Q82" s="14">
        <v>30</v>
      </c>
      <c r="R82" s="14">
        <v>1</v>
      </c>
      <c r="S82" s="14"/>
      <c r="T82" s="73"/>
      <c r="U82" s="14"/>
      <c r="V82" s="14"/>
      <c r="W82" s="14"/>
      <c r="X82" s="69"/>
      <c r="Y82" s="60">
        <f ca="1">Table29[[#This Row],[5/9/2025]]+2-TODAY()</f>
        <v>-335</v>
      </c>
      <c r="Z82" s="14">
        <f>IF(ISBLANK(Table29[[#This Row],[Roster Received By]]),1,0)</f>
        <v>1</v>
      </c>
      <c r="AA82" s="14">
        <f ca="1">IF(Table29[[#This Row],[5/5/2025]]&gt;TODAY(),1,)</f>
        <v>0</v>
      </c>
    </row>
    <row r="83" spans="1:27" s="76" customFormat="1" x14ac:dyDescent="0.25">
      <c r="A83" s="52"/>
      <c r="B83" s="69" t="s">
        <v>80</v>
      </c>
      <c r="C83" s="70" t="s">
        <v>81</v>
      </c>
      <c r="D83" s="70" t="s">
        <v>82</v>
      </c>
      <c r="E83" s="69" t="s">
        <v>176</v>
      </c>
      <c r="F83" s="56">
        <v>45673</v>
      </c>
      <c r="G83" s="56">
        <v>45673</v>
      </c>
      <c r="H83" s="71">
        <v>0.33333333333333331</v>
      </c>
      <c r="I83" s="75"/>
      <c r="J83" s="72"/>
      <c r="K83" s="72"/>
      <c r="L83" s="72"/>
      <c r="M83" s="72"/>
      <c r="N83" s="72"/>
      <c r="O83" s="69" t="s">
        <v>168</v>
      </c>
      <c r="P83" s="69"/>
      <c r="Q83" s="73">
        <v>30</v>
      </c>
      <c r="R83" s="74">
        <v>1</v>
      </c>
      <c r="S83" s="73"/>
      <c r="T83" s="73"/>
      <c r="U83" s="14"/>
      <c r="V83" s="14"/>
      <c r="W83" s="14"/>
      <c r="X83" s="69"/>
      <c r="Y83" s="60">
        <f ca="1">Table29[[#This Row],[5/9/2025]]+2-TODAY()</f>
        <v>-332</v>
      </c>
      <c r="Z83" s="14">
        <f>IF(ISBLANK(Table29[[#This Row],[Roster Received By]]),1,0)</f>
        <v>1</v>
      </c>
      <c r="AA83" s="14">
        <f ca="1">IF(Table29[[#This Row],[5/5/2025]]&gt;TODAY(),1,)</f>
        <v>0</v>
      </c>
    </row>
    <row r="84" spans="1:27" s="76" customFormat="1" x14ac:dyDescent="0.25">
      <c r="A84" s="52"/>
      <c r="B84" s="69" t="s">
        <v>80</v>
      </c>
      <c r="C84" s="70" t="s">
        <v>81</v>
      </c>
      <c r="D84" s="70" t="s">
        <v>82</v>
      </c>
      <c r="E84" s="69" t="s">
        <v>229</v>
      </c>
      <c r="F84" s="72">
        <v>45694</v>
      </c>
      <c r="G84" s="72">
        <v>45694</v>
      </c>
      <c r="H84" s="71">
        <v>0.33333333333333331</v>
      </c>
      <c r="I84" s="71"/>
      <c r="J84" s="71"/>
      <c r="K84" s="71"/>
      <c r="L84" s="71"/>
      <c r="M84" s="71"/>
      <c r="N84" s="71"/>
      <c r="O84" s="69" t="s">
        <v>168</v>
      </c>
      <c r="P84" s="69"/>
      <c r="Q84" s="14">
        <v>30</v>
      </c>
      <c r="R84" s="14">
        <v>1</v>
      </c>
      <c r="S84" s="14"/>
      <c r="T84" s="73"/>
      <c r="U84" s="14"/>
      <c r="V84" s="14"/>
      <c r="W84" s="14"/>
      <c r="X84" s="69"/>
      <c r="Y84" s="60">
        <f ca="1">Table29[[#This Row],[5/9/2025]]+2-TODAY()</f>
        <v>-311</v>
      </c>
      <c r="Z84" s="14">
        <f>IF(ISBLANK(Table29[[#This Row],[Roster Received By]]),1,0)</f>
        <v>1</v>
      </c>
      <c r="AA84" s="14">
        <f ca="1">IF(Table29[[#This Row],[5/5/2025]]&gt;TODAY(),1,)</f>
        <v>0</v>
      </c>
    </row>
    <row r="85" spans="1:27" s="76" customFormat="1" x14ac:dyDescent="0.25">
      <c r="A85" s="52"/>
      <c r="B85" s="69" t="s">
        <v>80</v>
      </c>
      <c r="C85" s="70" t="s">
        <v>81</v>
      </c>
      <c r="D85" s="70" t="s">
        <v>82</v>
      </c>
      <c r="E85" s="69" t="s">
        <v>293</v>
      </c>
      <c r="F85" s="72">
        <v>45701</v>
      </c>
      <c r="G85" s="72">
        <v>45701</v>
      </c>
      <c r="H85" s="71">
        <v>0.33333333333333331</v>
      </c>
      <c r="I85" s="71"/>
      <c r="J85" s="71"/>
      <c r="K85" s="71"/>
      <c r="L85" s="71"/>
      <c r="M85" s="71"/>
      <c r="N85" s="71"/>
      <c r="O85" s="69" t="s">
        <v>168</v>
      </c>
      <c r="P85" s="69"/>
      <c r="Q85" s="14">
        <v>30</v>
      </c>
      <c r="R85" s="14">
        <v>1</v>
      </c>
      <c r="S85" s="73"/>
      <c r="T85" s="73"/>
      <c r="U85" s="14"/>
      <c r="V85" s="14"/>
      <c r="W85" s="14"/>
      <c r="X85" s="69"/>
      <c r="Y85" s="60">
        <f ca="1">Table29[[#This Row],[5/9/2025]]+2-TODAY()</f>
        <v>-304</v>
      </c>
      <c r="Z85" s="14">
        <f>IF(ISBLANK(Table29[[#This Row],[Roster Received By]]),1,0)</f>
        <v>1</v>
      </c>
      <c r="AA85" s="14">
        <f ca="1">IF(Table29[[#This Row],[5/5/2025]]&gt;TODAY(),1,)</f>
        <v>0</v>
      </c>
    </row>
    <row r="86" spans="1:27" s="76" customFormat="1" x14ac:dyDescent="0.25">
      <c r="A86" s="52" t="s">
        <v>342</v>
      </c>
      <c r="B86" s="69" t="s">
        <v>80</v>
      </c>
      <c r="C86" s="70" t="s">
        <v>81</v>
      </c>
      <c r="D86" s="70" t="s">
        <v>82</v>
      </c>
      <c r="E86" s="69" t="s">
        <v>286</v>
      </c>
      <c r="F86" s="72">
        <v>45701</v>
      </c>
      <c r="G86" s="72">
        <v>45701</v>
      </c>
      <c r="H86" s="71">
        <v>0.33333333333333331</v>
      </c>
      <c r="I86" s="71"/>
      <c r="J86" s="71"/>
      <c r="K86" s="71"/>
      <c r="L86" s="71"/>
      <c r="M86" s="71"/>
      <c r="N86" s="71"/>
      <c r="O86" s="69" t="s">
        <v>168</v>
      </c>
      <c r="P86" s="69"/>
      <c r="Q86" s="14">
        <v>30</v>
      </c>
      <c r="R86" s="14">
        <v>1</v>
      </c>
      <c r="S86" s="14"/>
      <c r="T86" s="73"/>
      <c r="U86" s="14"/>
      <c r="V86" s="14"/>
      <c r="W86" s="14"/>
      <c r="X86" s="69"/>
      <c r="Y86" s="60">
        <f ca="1">Table29[[#This Row],[5/9/2025]]+2-TODAY()</f>
        <v>-304</v>
      </c>
      <c r="Z86" s="14">
        <f>IF(ISBLANK(Table29[[#This Row],[Roster Received By]]),1,0)</f>
        <v>1</v>
      </c>
      <c r="AA86" s="14">
        <f ca="1">IF(Table29[[#This Row],[5/5/2025]]&gt;TODAY(),1,)</f>
        <v>0</v>
      </c>
    </row>
    <row r="87" spans="1:27" s="52" customFormat="1" x14ac:dyDescent="0.25">
      <c r="B87" s="69" t="s">
        <v>80</v>
      </c>
      <c r="C87" s="70" t="s">
        <v>81</v>
      </c>
      <c r="D87" s="70" t="s">
        <v>82</v>
      </c>
      <c r="E87" s="69" t="s">
        <v>293</v>
      </c>
      <c r="F87" s="72">
        <v>45702</v>
      </c>
      <c r="G87" s="72">
        <v>45702</v>
      </c>
      <c r="H87" s="71">
        <v>0.33333333333333331</v>
      </c>
      <c r="I87" s="71"/>
      <c r="J87" s="71"/>
      <c r="K87" s="71"/>
      <c r="L87" s="71"/>
      <c r="M87" s="71"/>
      <c r="N87" s="71"/>
      <c r="O87" s="69" t="s">
        <v>168</v>
      </c>
      <c r="P87" s="69"/>
      <c r="Q87" s="14">
        <v>30</v>
      </c>
      <c r="R87" s="14">
        <v>1</v>
      </c>
      <c r="S87" s="14"/>
      <c r="T87" s="73"/>
      <c r="U87" s="14"/>
      <c r="V87" s="14"/>
      <c r="W87" s="14"/>
      <c r="X87" s="69"/>
      <c r="Y87" s="60">
        <f ca="1">Table29[[#This Row],[5/9/2025]]+2-TODAY()</f>
        <v>-303</v>
      </c>
      <c r="Z87" s="14">
        <f>IF(ISBLANK(Table29[[#This Row],[Roster Received By]]),1,0)</f>
        <v>1</v>
      </c>
      <c r="AA87" s="14">
        <f ca="1">IF(Table29[[#This Row],[5/5/2025]]&gt;TODAY(),1,)</f>
        <v>0</v>
      </c>
    </row>
    <row r="88" spans="1:27" s="105" customFormat="1" x14ac:dyDescent="0.25">
      <c r="A88" s="52" t="s">
        <v>342</v>
      </c>
      <c r="B88" s="69" t="s">
        <v>80</v>
      </c>
      <c r="C88" s="70" t="s">
        <v>81</v>
      </c>
      <c r="D88" s="70" t="s">
        <v>82</v>
      </c>
      <c r="E88" s="69" t="s">
        <v>286</v>
      </c>
      <c r="F88" s="72">
        <v>45702</v>
      </c>
      <c r="G88" s="72">
        <v>45702</v>
      </c>
      <c r="H88" s="71">
        <v>0.33333333333333331</v>
      </c>
      <c r="I88" s="71"/>
      <c r="J88" s="71"/>
      <c r="K88" s="71"/>
      <c r="L88" s="71"/>
      <c r="M88" s="71"/>
      <c r="N88" s="71"/>
      <c r="O88" s="69" t="s">
        <v>168</v>
      </c>
      <c r="P88" s="69"/>
      <c r="Q88" s="14">
        <v>30</v>
      </c>
      <c r="R88" s="14">
        <v>1</v>
      </c>
      <c r="S88" s="14"/>
      <c r="T88" s="73"/>
      <c r="U88" s="14"/>
      <c r="V88" s="14"/>
      <c r="W88" s="14"/>
      <c r="X88" s="69"/>
      <c r="Y88" s="60">
        <f ca="1">Table29[[#This Row],[5/9/2025]]+2-TODAY()</f>
        <v>-303</v>
      </c>
      <c r="Z88" s="14">
        <f>IF(ISBLANK(Table29[[#This Row],[Roster Received By]]),1,0)</f>
        <v>1</v>
      </c>
      <c r="AA88" s="14">
        <f ca="1">IF(Table29[[#This Row],[5/5/2025]]&gt;TODAY(),1,)</f>
        <v>0</v>
      </c>
    </row>
    <row r="89" spans="1:27" s="105" customFormat="1" x14ac:dyDescent="0.25">
      <c r="A89" s="52" t="s">
        <v>346</v>
      </c>
      <c r="B89" s="69" t="s">
        <v>80</v>
      </c>
      <c r="C89" s="70" t="s">
        <v>81</v>
      </c>
      <c r="D89" s="70" t="s">
        <v>82</v>
      </c>
      <c r="E89" s="69" t="s">
        <v>25</v>
      </c>
      <c r="F89" s="72">
        <v>45713</v>
      </c>
      <c r="G89" s="72">
        <v>45713</v>
      </c>
      <c r="H89" s="71"/>
      <c r="I89" s="146">
        <v>8.3333333333333329E-2</v>
      </c>
      <c r="J89" s="71"/>
      <c r="K89" s="71"/>
      <c r="L89" s="71">
        <v>0.33333333333333331</v>
      </c>
      <c r="M89" s="71"/>
      <c r="N89" s="71"/>
      <c r="O89" s="69" t="s">
        <v>168</v>
      </c>
      <c r="P89" s="69"/>
      <c r="Q89" s="14">
        <v>30</v>
      </c>
      <c r="R89" s="14">
        <v>1</v>
      </c>
      <c r="S89" s="14"/>
      <c r="T89" s="73"/>
      <c r="U89" s="14"/>
      <c r="V89" s="14"/>
      <c r="W89" s="70"/>
      <c r="X89" s="69"/>
      <c r="Y89" s="60">
        <f ca="1">Table29[[#This Row],[5/9/2025]]+2-TODAY()</f>
        <v>-292</v>
      </c>
      <c r="Z89" s="14">
        <f>IF(ISBLANK(Table29[[#This Row],[Roster Received By]]),1,0)</f>
        <v>1</v>
      </c>
      <c r="AA89" s="14">
        <f ca="1">IF(Table29[[#This Row],[5/5/2025]]&gt;TODAY(),1,)</f>
        <v>0</v>
      </c>
    </row>
    <row r="90" spans="1:27" s="105" customFormat="1" x14ac:dyDescent="0.25">
      <c r="A90" s="52"/>
      <c r="B90" s="69" t="s">
        <v>80</v>
      </c>
      <c r="C90" s="70" t="s">
        <v>81</v>
      </c>
      <c r="D90" s="70" t="s">
        <v>82</v>
      </c>
      <c r="E90" s="54" t="s">
        <v>343</v>
      </c>
      <c r="F90" s="72">
        <v>45722</v>
      </c>
      <c r="G90" s="72">
        <v>45722</v>
      </c>
      <c r="H90" s="71">
        <v>0.33333333333333331</v>
      </c>
      <c r="I90" s="71"/>
      <c r="J90" s="75"/>
      <c r="K90" s="75"/>
      <c r="L90" s="75"/>
      <c r="M90" s="75"/>
      <c r="N90" s="75"/>
      <c r="O90" s="69" t="s">
        <v>168</v>
      </c>
      <c r="P90" s="69"/>
      <c r="Q90" s="14">
        <v>30</v>
      </c>
      <c r="R90" s="14">
        <v>1</v>
      </c>
      <c r="S90" s="14"/>
      <c r="T90" s="73"/>
      <c r="U90" s="14"/>
      <c r="V90" s="14"/>
      <c r="W90" s="14"/>
      <c r="X90" s="69"/>
      <c r="Y90" s="60">
        <f ca="1">Table29[[#This Row],[5/9/2025]]+2-TODAY()</f>
        <v>-283</v>
      </c>
      <c r="Z90" s="14">
        <f>IF(ISBLANK(Table29[[#This Row],[Roster Received By]]),1,0)</f>
        <v>1</v>
      </c>
      <c r="AA90" s="14">
        <f ca="1">IF(Table29[[#This Row],[5/5/2025]]&gt;TODAY(),1,)</f>
        <v>0</v>
      </c>
    </row>
    <row r="91" spans="1:27" s="76" customFormat="1" x14ac:dyDescent="0.25">
      <c r="A91" s="52" t="s">
        <v>347</v>
      </c>
      <c r="B91" s="69" t="s">
        <v>80</v>
      </c>
      <c r="C91" s="70" t="s">
        <v>81</v>
      </c>
      <c r="D91" s="70" t="s">
        <v>82</v>
      </c>
      <c r="E91" s="69" t="s">
        <v>25</v>
      </c>
      <c r="F91" s="144">
        <v>45733</v>
      </c>
      <c r="G91" s="144">
        <v>45733</v>
      </c>
      <c r="H91" s="71"/>
      <c r="I91" s="75">
        <v>0.45833333333333331</v>
      </c>
      <c r="J91" s="71">
        <v>0.33333333333333331</v>
      </c>
      <c r="K91" s="72"/>
      <c r="L91" s="72"/>
      <c r="M91" s="72"/>
      <c r="N91" s="72"/>
      <c r="O91" s="69" t="s">
        <v>168</v>
      </c>
      <c r="P91" s="69"/>
      <c r="Q91" s="73">
        <v>30</v>
      </c>
      <c r="R91" s="74">
        <v>1</v>
      </c>
      <c r="S91" s="73"/>
      <c r="T91" s="73"/>
      <c r="U91" s="14"/>
      <c r="V91" s="14"/>
      <c r="W91" s="14"/>
      <c r="X91" s="69"/>
      <c r="Y91" s="60">
        <f ca="1">Table29[[#This Row],[5/9/2025]]+2-TODAY()</f>
        <v>-272</v>
      </c>
      <c r="Z91" s="14">
        <f>IF(ISBLANK(Table29[[#This Row],[Roster Received By]]),1,0)</f>
        <v>1</v>
      </c>
      <c r="AA91" s="14">
        <f ca="1">IF(Table29[[#This Row],[5/5/2025]]&gt;TODAY(),1,)</f>
        <v>0</v>
      </c>
    </row>
    <row r="92" spans="1:27" s="76" customFormat="1" x14ac:dyDescent="0.25">
      <c r="A92" s="52"/>
      <c r="B92" s="69" t="s">
        <v>80</v>
      </c>
      <c r="C92" s="70" t="s">
        <v>81</v>
      </c>
      <c r="D92" s="70" t="s">
        <v>82</v>
      </c>
      <c r="E92" s="69" t="s">
        <v>297</v>
      </c>
      <c r="F92" s="72">
        <v>45743</v>
      </c>
      <c r="G92" s="72">
        <v>45743</v>
      </c>
      <c r="H92" s="71">
        <v>0.33333333333333331</v>
      </c>
      <c r="I92" s="75"/>
      <c r="J92" s="72"/>
      <c r="K92" s="72"/>
      <c r="L92" s="72"/>
      <c r="M92" s="72"/>
      <c r="N92" s="72"/>
      <c r="O92" s="69" t="s">
        <v>168</v>
      </c>
      <c r="P92" s="69"/>
      <c r="Q92" s="14">
        <v>30</v>
      </c>
      <c r="R92" s="14">
        <v>1</v>
      </c>
      <c r="S92" s="14"/>
      <c r="T92" s="73"/>
      <c r="U92" s="14"/>
      <c r="V92" s="14"/>
      <c r="W92" s="14"/>
      <c r="X92" s="69"/>
      <c r="Y92" s="60">
        <f ca="1">Table29[[#This Row],[5/9/2025]]+2-TODAY()</f>
        <v>-262</v>
      </c>
      <c r="Z92" s="14">
        <f>IF(ISBLANK(Table29[[#This Row],[Roster Received By]]),1,0)</f>
        <v>1</v>
      </c>
      <c r="AA92" s="14">
        <f ca="1">IF(Table29[[#This Row],[5/5/2025]]&gt;TODAY(),1,)</f>
        <v>0</v>
      </c>
    </row>
    <row r="93" spans="1:27" s="76" customFormat="1" x14ac:dyDescent="0.25">
      <c r="A93" s="52" t="s">
        <v>345</v>
      </c>
      <c r="B93" s="69" t="s">
        <v>80</v>
      </c>
      <c r="C93" s="70" t="s">
        <v>81</v>
      </c>
      <c r="D93" s="70" t="s">
        <v>82</v>
      </c>
      <c r="E93" s="69" t="s">
        <v>25</v>
      </c>
      <c r="F93" s="72">
        <v>45754</v>
      </c>
      <c r="G93" s="72">
        <v>45754</v>
      </c>
      <c r="H93" s="71"/>
      <c r="I93" s="71">
        <v>0.33333333333333331</v>
      </c>
      <c r="J93" s="71"/>
      <c r="K93" s="71"/>
      <c r="L93" s="71"/>
      <c r="M93" s="71"/>
      <c r="N93" s="71"/>
      <c r="O93" s="69" t="s">
        <v>168</v>
      </c>
      <c r="P93" s="69"/>
      <c r="Q93" s="14">
        <v>30</v>
      </c>
      <c r="R93" s="14">
        <v>1</v>
      </c>
      <c r="S93" s="14"/>
      <c r="T93" s="73"/>
      <c r="U93" s="14"/>
      <c r="V93" s="14"/>
      <c r="W93" s="14"/>
      <c r="X93" s="69"/>
      <c r="Y93" s="60">
        <f ca="1">Table29[[#This Row],[5/9/2025]]+2-TODAY()</f>
        <v>-251</v>
      </c>
      <c r="Z93" s="14">
        <f>IF(ISBLANK(Table29[[#This Row],[Roster Received By]]),1,0)</f>
        <v>1</v>
      </c>
      <c r="AA93" s="14">
        <f ca="1">IF(Table29[[#This Row],[5/5/2025]]&gt;TODAY(),1,)</f>
        <v>0</v>
      </c>
    </row>
    <row r="94" spans="1:27" s="76" customFormat="1" x14ac:dyDescent="0.25">
      <c r="A94" s="52"/>
      <c r="B94" s="69" t="s">
        <v>80</v>
      </c>
      <c r="C94" s="70" t="s">
        <v>81</v>
      </c>
      <c r="D94" s="70" t="s">
        <v>82</v>
      </c>
      <c r="E94" s="69" t="s">
        <v>298</v>
      </c>
      <c r="F94" s="72">
        <v>45757</v>
      </c>
      <c r="G94" s="72">
        <v>45757</v>
      </c>
      <c r="H94" s="71">
        <v>0.33333333333333331</v>
      </c>
      <c r="I94" s="78"/>
      <c r="J94" s="72"/>
      <c r="K94" s="72"/>
      <c r="L94" s="72"/>
      <c r="M94" s="72"/>
      <c r="N94" s="72"/>
      <c r="O94" s="69" t="s">
        <v>168</v>
      </c>
      <c r="P94" s="69"/>
      <c r="Q94" s="14">
        <v>30</v>
      </c>
      <c r="R94" s="14">
        <v>1</v>
      </c>
      <c r="S94" s="14"/>
      <c r="T94" s="73"/>
      <c r="U94" s="14"/>
      <c r="V94" s="14"/>
      <c r="W94" s="14"/>
      <c r="X94" s="69"/>
      <c r="Y94" s="60">
        <f ca="1">Table29[[#This Row],[5/9/2025]]+2-TODAY()</f>
        <v>-248</v>
      </c>
      <c r="Z94" s="14">
        <f>IF(ISBLANK(Table29[[#This Row],[Roster Received By]]),1,0)</f>
        <v>1</v>
      </c>
      <c r="AA94" s="14">
        <f ca="1">IF(Table29[[#This Row],[5/5/2025]]&gt;TODAY(),1,)</f>
        <v>0</v>
      </c>
    </row>
    <row r="95" spans="1:27" s="76" customFormat="1" x14ac:dyDescent="0.25">
      <c r="A95" s="52"/>
      <c r="B95" s="69" t="s">
        <v>80</v>
      </c>
      <c r="C95" s="70" t="s">
        <v>81</v>
      </c>
      <c r="D95" s="70" t="s">
        <v>82</v>
      </c>
      <c r="E95" s="69" t="s">
        <v>255</v>
      </c>
      <c r="F95" s="72">
        <v>45785</v>
      </c>
      <c r="G95" s="72">
        <v>45785</v>
      </c>
      <c r="H95" s="71">
        <v>0.33333333333333331</v>
      </c>
      <c r="I95" s="71"/>
      <c r="J95" s="71"/>
      <c r="K95" s="71"/>
      <c r="L95" s="71"/>
      <c r="M95" s="71"/>
      <c r="N95" s="71"/>
      <c r="O95" s="69" t="s">
        <v>168</v>
      </c>
      <c r="P95" s="69"/>
      <c r="Q95" s="14">
        <v>30</v>
      </c>
      <c r="R95" s="14">
        <v>1</v>
      </c>
      <c r="S95" s="14"/>
      <c r="T95" s="73"/>
      <c r="U95" s="14"/>
      <c r="V95" s="14"/>
      <c r="W95" s="14"/>
      <c r="X95" s="69"/>
      <c r="Y95" s="60">
        <f ca="1">Table29[[#This Row],[5/9/2025]]+2-TODAY()</f>
        <v>-220</v>
      </c>
      <c r="Z95" s="14">
        <f>IF(ISBLANK(Table29[[#This Row],[Roster Received By]]),1,0)</f>
        <v>1</v>
      </c>
      <c r="AA95" s="14">
        <f ca="1">IF(Table29[[#This Row],[5/5/2025]]&gt;TODAY(),1,)</f>
        <v>0</v>
      </c>
    </row>
    <row r="96" spans="1:27" s="76" customFormat="1" x14ac:dyDescent="0.25">
      <c r="A96" s="69"/>
      <c r="B96" s="69" t="s">
        <v>80</v>
      </c>
      <c r="C96" s="70" t="s">
        <v>81</v>
      </c>
      <c r="D96" s="70" t="s">
        <v>82</v>
      </c>
      <c r="E96" s="69" t="s">
        <v>229</v>
      </c>
      <c r="F96" s="72">
        <v>45792</v>
      </c>
      <c r="G96" s="72">
        <v>45792</v>
      </c>
      <c r="H96" s="71">
        <v>0.33333333333333331</v>
      </c>
      <c r="I96" s="71"/>
      <c r="J96" s="72"/>
      <c r="K96" s="72"/>
      <c r="L96" s="72"/>
      <c r="M96" s="72"/>
      <c r="N96" s="72"/>
      <c r="O96" s="69" t="s">
        <v>168</v>
      </c>
      <c r="P96" s="69"/>
      <c r="Q96" s="14">
        <v>30</v>
      </c>
      <c r="R96" s="14">
        <v>1</v>
      </c>
      <c r="S96" s="14"/>
      <c r="T96" s="73"/>
      <c r="U96" s="14"/>
      <c r="V96" s="14"/>
      <c r="W96" s="14"/>
      <c r="X96" s="69"/>
      <c r="Y96" s="60">
        <f ca="1">Table29[[#This Row],[5/9/2025]]+2-TODAY()</f>
        <v>-213</v>
      </c>
      <c r="Z96" s="14">
        <f>IF(ISBLANK(Table29[[#This Row],[Roster Received By]]),1,0)</f>
        <v>1</v>
      </c>
      <c r="AA96" s="14">
        <f ca="1">IF(Table29[[#This Row],[5/5/2025]]&gt;TODAY(),1,)</f>
        <v>0</v>
      </c>
    </row>
    <row r="97" spans="1:27" s="76" customFormat="1" x14ac:dyDescent="0.25">
      <c r="A97" s="52" t="s">
        <v>348</v>
      </c>
      <c r="B97" s="69" t="s">
        <v>80</v>
      </c>
      <c r="C97" s="70" t="s">
        <v>81</v>
      </c>
      <c r="D97" s="70" t="s">
        <v>82</v>
      </c>
      <c r="E97" s="69" t="s">
        <v>25</v>
      </c>
      <c r="F97" s="72">
        <v>45818</v>
      </c>
      <c r="G97" s="72">
        <v>45818</v>
      </c>
      <c r="H97" s="71"/>
      <c r="I97" s="147">
        <v>0.79166666666666663</v>
      </c>
      <c r="J97" s="75"/>
      <c r="K97" s="75"/>
      <c r="L97" s="75"/>
      <c r="M97" s="109"/>
      <c r="N97" s="71">
        <v>0.33333333333333331</v>
      </c>
      <c r="O97" s="69" t="s">
        <v>168</v>
      </c>
      <c r="P97" s="69"/>
      <c r="Q97" s="14">
        <v>30</v>
      </c>
      <c r="R97" s="14">
        <v>1</v>
      </c>
      <c r="S97" s="14"/>
      <c r="T97" s="73"/>
      <c r="U97" s="14"/>
      <c r="V97" s="14"/>
      <c r="W97" s="14"/>
      <c r="X97" s="69"/>
      <c r="Y97" s="60">
        <f ca="1">Table29[[#This Row],[5/9/2025]]+2-TODAY()</f>
        <v>-187</v>
      </c>
      <c r="Z97" s="14">
        <f>IF(ISBLANK(Table29[[#This Row],[Roster Received By]]),1,0)</f>
        <v>1</v>
      </c>
      <c r="AA97" s="14">
        <f ca="1">IF(Table29[[#This Row],[5/5/2025]]&gt;TODAY(),1,)</f>
        <v>0</v>
      </c>
    </row>
    <row r="98" spans="1:27" s="76" customFormat="1" x14ac:dyDescent="0.25">
      <c r="A98" s="52"/>
      <c r="B98" s="69" t="s">
        <v>80</v>
      </c>
      <c r="C98" s="70" t="s">
        <v>81</v>
      </c>
      <c r="D98" s="70" t="s">
        <v>82</v>
      </c>
      <c r="E98" s="69" t="s">
        <v>307</v>
      </c>
      <c r="F98" s="72">
        <v>45820</v>
      </c>
      <c r="G98" s="72">
        <v>45820</v>
      </c>
      <c r="H98" s="71">
        <v>0.33333333333333331</v>
      </c>
      <c r="I98" s="71"/>
      <c r="J98" s="71"/>
      <c r="K98" s="71"/>
      <c r="L98" s="71"/>
      <c r="M98" s="71"/>
      <c r="N98" s="71"/>
      <c r="O98" s="69" t="s">
        <v>168</v>
      </c>
      <c r="P98" s="69"/>
      <c r="Q98" s="14">
        <v>30</v>
      </c>
      <c r="R98" s="14">
        <v>1</v>
      </c>
      <c r="S98" s="14"/>
      <c r="T98" s="73"/>
      <c r="U98" s="14"/>
      <c r="V98" s="14"/>
      <c r="W98" s="14"/>
      <c r="X98" s="69"/>
      <c r="Y98" s="60">
        <f ca="1">Table29[[#This Row],[5/9/2025]]+2-TODAY()</f>
        <v>-185</v>
      </c>
      <c r="Z98" s="14">
        <f>IF(ISBLANK(Table29[[#This Row],[Roster Received By]]),1,0)</f>
        <v>1</v>
      </c>
      <c r="AA98" s="14">
        <f ca="1">IF(Table29[[#This Row],[5/5/2025]]&gt;TODAY(),1,)</f>
        <v>0</v>
      </c>
    </row>
    <row r="99" spans="1:27" s="76" customFormat="1" x14ac:dyDescent="0.25">
      <c r="A99" s="52"/>
      <c r="B99" s="69" t="s">
        <v>80</v>
      </c>
      <c r="C99" s="70" t="s">
        <v>81</v>
      </c>
      <c r="D99" s="70" t="s">
        <v>82</v>
      </c>
      <c r="E99" s="69" t="s">
        <v>263</v>
      </c>
      <c r="F99" s="72">
        <v>45855</v>
      </c>
      <c r="G99" s="72">
        <v>45855</v>
      </c>
      <c r="H99" s="71">
        <v>0.33333333333333331</v>
      </c>
      <c r="I99" s="71"/>
      <c r="J99" s="72"/>
      <c r="K99" s="72"/>
      <c r="L99" s="72"/>
      <c r="M99" s="72"/>
      <c r="N99" s="72"/>
      <c r="O99" s="69" t="s">
        <v>168</v>
      </c>
      <c r="P99" s="69"/>
      <c r="Q99" s="14">
        <v>30</v>
      </c>
      <c r="R99" s="14">
        <v>1</v>
      </c>
      <c r="S99" s="73"/>
      <c r="T99" s="73"/>
      <c r="U99" s="14"/>
      <c r="V99" s="14"/>
      <c r="W99" s="14"/>
      <c r="X99" s="69"/>
      <c r="Y99" s="60">
        <f ca="1">Table29[[#This Row],[5/9/2025]]+2-TODAY()</f>
        <v>-150</v>
      </c>
      <c r="Z99" s="14">
        <f>IF(ISBLANK(Table29[[#This Row],[Roster Received By]]),1,0)</f>
        <v>1</v>
      </c>
      <c r="AA99" s="14">
        <f ca="1">IF(Table29[[#This Row],[5/5/2025]]&gt;TODAY(),1,)</f>
        <v>0</v>
      </c>
    </row>
    <row r="100" spans="1:27" s="76" customFormat="1" x14ac:dyDescent="0.25">
      <c r="A100" s="52"/>
      <c r="B100" s="69" t="s">
        <v>80</v>
      </c>
      <c r="C100" s="70" t="s">
        <v>81</v>
      </c>
      <c r="D100" s="70" t="s">
        <v>82</v>
      </c>
      <c r="E100" s="54" t="s">
        <v>294</v>
      </c>
      <c r="F100" s="72">
        <v>45862</v>
      </c>
      <c r="G100" s="72">
        <v>45862</v>
      </c>
      <c r="H100" s="71">
        <v>0.33333333333333331</v>
      </c>
      <c r="I100" s="75"/>
      <c r="J100" s="71"/>
      <c r="K100" s="75"/>
      <c r="L100" s="75"/>
      <c r="M100" s="75"/>
      <c r="N100" s="75"/>
      <c r="O100" s="69" t="s">
        <v>168</v>
      </c>
      <c r="P100" s="69"/>
      <c r="Q100" s="14">
        <v>30</v>
      </c>
      <c r="R100" s="14">
        <v>1</v>
      </c>
      <c r="S100" s="14"/>
      <c r="T100" s="73"/>
      <c r="U100" s="14"/>
      <c r="V100" s="14"/>
      <c r="W100" s="14"/>
      <c r="X100" s="69"/>
      <c r="Y100" s="60">
        <f ca="1">Table29[[#This Row],[5/9/2025]]+2-TODAY()</f>
        <v>-143</v>
      </c>
      <c r="Z100" s="14">
        <f>IF(ISBLANK(Table29[[#This Row],[Roster Received By]]),1,0)</f>
        <v>1</v>
      </c>
      <c r="AA100" s="14">
        <f ca="1">IF(Table29[[#This Row],[5/5/2025]]&gt;TODAY(),1,)</f>
        <v>0</v>
      </c>
    </row>
    <row r="101" spans="1:27" s="76" customFormat="1" x14ac:dyDescent="0.25">
      <c r="A101" s="69" t="s">
        <v>347</v>
      </c>
      <c r="B101" s="69" t="s">
        <v>80</v>
      </c>
      <c r="C101" s="70" t="s">
        <v>81</v>
      </c>
      <c r="D101" s="70" t="s">
        <v>82</v>
      </c>
      <c r="E101" s="69" t="s">
        <v>25</v>
      </c>
      <c r="F101" s="72">
        <v>45873</v>
      </c>
      <c r="G101" s="72">
        <v>45873</v>
      </c>
      <c r="H101" s="71"/>
      <c r="I101" s="78">
        <v>0.45833333333333331</v>
      </c>
      <c r="J101" s="71">
        <v>0.33333333333333331</v>
      </c>
      <c r="K101" s="72"/>
      <c r="L101" s="72"/>
      <c r="M101" s="72"/>
      <c r="N101" s="72"/>
      <c r="O101" s="69" t="s">
        <v>168</v>
      </c>
      <c r="P101" s="69"/>
      <c r="Q101" s="14">
        <v>30</v>
      </c>
      <c r="R101" s="14">
        <v>1</v>
      </c>
      <c r="S101" s="14"/>
      <c r="T101" s="73"/>
      <c r="U101" s="14"/>
      <c r="V101" s="14"/>
      <c r="W101" s="14"/>
      <c r="X101" s="69"/>
      <c r="Y101" s="60">
        <f ca="1">Table29[[#This Row],[5/9/2025]]+2-TODAY()</f>
        <v>-132</v>
      </c>
      <c r="Z101" s="14">
        <f>IF(ISBLANK(Table29[[#This Row],[Roster Received By]]),1,0)</f>
        <v>1</v>
      </c>
      <c r="AA101" s="14">
        <f ca="1">IF(Table29[[#This Row],[5/5/2025]]&gt;TODAY(),1,)</f>
        <v>0</v>
      </c>
    </row>
    <row r="102" spans="1:27" s="76" customFormat="1" x14ac:dyDescent="0.25">
      <c r="A102" s="70"/>
      <c r="B102" s="69" t="s">
        <v>80</v>
      </c>
      <c r="C102" s="70" t="s">
        <v>81</v>
      </c>
      <c r="D102" s="70" t="s">
        <v>82</v>
      </c>
      <c r="E102" s="69" t="s">
        <v>229</v>
      </c>
      <c r="F102" s="56">
        <v>45876</v>
      </c>
      <c r="G102" s="56">
        <v>45876</v>
      </c>
      <c r="H102" s="71">
        <v>0.33333333333333331</v>
      </c>
      <c r="I102" s="75"/>
      <c r="J102" s="75"/>
      <c r="K102" s="75"/>
      <c r="L102" s="75"/>
      <c r="M102" s="71"/>
      <c r="N102" s="75"/>
      <c r="O102" s="69" t="s">
        <v>168</v>
      </c>
      <c r="P102" s="69"/>
      <c r="Q102" s="14">
        <v>30</v>
      </c>
      <c r="R102" s="14">
        <v>1</v>
      </c>
      <c r="S102" s="14"/>
      <c r="T102" s="73"/>
      <c r="U102" s="14"/>
      <c r="V102" s="14"/>
      <c r="W102" s="73"/>
      <c r="X102" s="69"/>
      <c r="Y102" s="60">
        <f ca="1">Table29[[#This Row],[5/9/2025]]+2-TODAY()</f>
        <v>-129</v>
      </c>
      <c r="Z102" s="14">
        <f>IF(ISBLANK(Table29[[#This Row],[Roster Received By]]),1,0)</f>
        <v>1</v>
      </c>
      <c r="AA102" s="14">
        <f ca="1">IF(Table29[[#This Row],[5/5/2025]]&gt;TODAY(),1,)</f>
        <v>0</v>
      </c>
    </row>
    <row r="103" spans="1:27" s="76" customFormat="1" x14ac:dyDescent="0.25">
      <c r="A103" s="52"/>
      <c r="B103" s="69" t="s">
        <v>80</v>
      </c>
      <c r="C103" s="70" t="s">
        <v>81</v>
      </c>
      <c r="D103" s="70" t="s">
        <v>82</v>
      </c>
      <c r="E103" s="69" t="s">
        <v>170</v>
      </c>
      <c r="F103" s="56">
        <v>45890</v>
      </c>
      <c r="G103" s="56">
        <v>45890</v>
      </c>
      <c r="H103" s="71">
        <v>0.33333333333333331</v>
      </c>
      <c r="I103" s="75"/>
      <c r="J103" s="71"/>
      <c r="K103" s="75"/>
      <c r="L103" s="75"/>
      <c r="M103" s="75"/>
      <c r="N103" s="75"/>
      <c r="O103" s="69" t="s">
        <v>168</v>
      </c>
      <c r="P103" s="69"/>
      <c r="Q103" s="14">
        <v>30</v>
      </c>
      <c r="R103" s="14">
        <v>1</v>
      </c>
      <c r="S103" s="14"/>
      <c r="T103" s="73"/>
      <c r="U103" s="14"/>
      <c r="V103" s="14"/>
      <c r="W103" s="14"/>
      <c r="X103" s="69"/>
      <c r="Y103" s="60">
        <f ca="1">Table29[[#This Row],[5/9/2025]]+2-TODAY()</f>
        <v>-115</v>
      </c>
      <c r="Z103" s="14">
        <f>IF(ISBLANK(Table29[[#This Row],[Roster Received By]]),1,0)</f>
        <v>1</v>
      </c>
      <c r="AA103" s="14">
        <f ca="1">IF(Table29[[#This Row],[5/5/2025]]&gt;TODAY(),1,)</f>
        <v>0</v>
      </c>
    </row>
    <row r="104" spans="1:27" s="105" customFormat="1" x14ac:dyDescent="0.25">
      <c r="A104" s="52"/>
      <c r="B104" s="69" t="s">
        <v>80</v>
      </c>
      <c r="C104" s="70" t="s">
        <v>81</v>
      </c>
      <c r="D104" s="70" t="s">
        <v>82</v>
      </c>
      <c r="E104" s="69" t="s">
        <v>166</v>
      </c>
      <c r="F104" s="72">
        <v>45905</v>
      </c>
      <c r="G104" s="72">
        <v>45905</v>
      </c>
      <c r="H104" s="71">
        <v>0.33333333333333331</v>
      </c>
      <c r="I104" s="75"/>
      <c r="J104" s="72"/>
      <c r="K104" s="72"/>
      <c r="L104" s="72"/>
      <c r="M104" s="72"/>
      <c r="N104" s="72"/>
      <c r="O104" s="69" t="s">
        <v>168</v>
      </c>
      <c r="P104" s="69"/>
      <c r="Q104" s="73">
        <v>30</v>
      </c>
      <c r="R104" s="74">
        <v>1</v>
      </c>
      <c r="S104" s="73"/>
      <c r="T104" s="73"/>
      <c r="U104" s="14"/>
      <c r="V104" s="14"/>
      <c r="W104" s="14"/>
      <c r="X104" s="69"/>
      <c r="Y104" s="60">
        <f ca="1">Table29[[#This Row],[5/9/2025]]+2-TODAY()</f>
        <v>-100</v>
      </c>
      <c r="Z104" s="14">
        <f>IF(ISBLANK(Table29[[#This Row],[Roster Received By]]),1,0)</f>
        <v>1</v>
      </c>
      <c r="AA104" s="14">
        <f ca="1">IF(Table29[[#This Row],[5/5/2025]]&gt;TODAY(),1,)</f>
        <v>0</v>
      </c>
    </row>
    <row r="105" spans="1:27" s="76" customFormat="1" x14ac:dyDescent="0.25">
      <c r="A105" s="52"/>
      <c r="B105" s="69" t="s">
        <v>80</v>
      </c>
      <c r="C105" s="70" t="s">
        <v>81</v>
      </c>
      <c r="D105" s="70" t="s">
        <v>82</v>
      </c>
      <c r="E105" s="69" t="s">
        <v>328</v>
      </c>
      <c r="F105" s="72">
        <v>45911</v>
      </c>
      <c r="G105" s="72">
        <v>45911</v>
      </c>
      <c r="H105" s="71">
        <v>0.33333333333333331</v>
      </c>
      <c r="I105" s="75"/>
      <c r="J105" s="75"/>
      <c r="K105" s="75"/>
      <c r="L105" s="75"/>
      <c r="M105" s="75"/>
      <c r="N105" s="75"/>
      <c r="O105" s="69" t="s">
        <v>168</v>
      </c>
      <c r="P105" s="69"/>
      <c r="Q105" s="14">
        <v>30</v>
      </c>
      <c r="R105" s="14">
        <v>1</v>
      </c>
      <c r="S105" s="14"/>
      <c r="T105" s="73"/>
      <c r="U105" s="14"/>
      <c r="V105" s="14"/>
      <c r="W105" s="14"/>
      <c r="X105" s="69"/>
      <c r="Y105" s="60">
        <f ca="1">Table29[[#This Row],[5/9/2025]]+2-TODAY()</f>
        <v>-94</v>
      </c>
      <c r="Z105" s="14">
        <f>IF(ISBLANK(Table29[[#This Row],[Roster Received By]]),1,0)</f>
        <v>1</v>
      </c>
      <c r="AA105" s="14">
        <f ca="1">IF(Table29[[#This Row],[5/5/2025]]&gt;TODAY(),1,)</f>
        <v>0</v>
      </c>
    </row>
    <row r="106" spans="1:27" s="52" customFormat="1" x14ac:dyDescent="0.25">
      <c r="A106" s="69" t="s">
        <v>346</v>
      </c>
      <c r="B106" s="69" t="s">
        <v>80</v>
      </c>
      <c r="C106" s="70" t="s">
        <v>81</v>
      </c>
      <c r="D106" s="70" t="s">
        <v>82</v>
      </c>
      <c r="E106" s="69" t="s">
        <v>25</v>
      </c>
      <c r="F106" s="72">
        <v>45923</v>
      </c>
      <c r="G106" s="72">
        <v>45923</v>
      </c>
      <c r="H106" s="71"/>
      <c r="I106" s="75">
        <v>8.3333333333333329E-2</v>
      </c>
      <c r="J106" s="71"/>
      <c r="K106" s="71"/>
      <c r="L106" s="71">
        <v>0.33333333333333331</v>
      </c>
      <c r="M106" s="71"/>
      <c r="N106" s="71"/>
      <c r="O106" s="69" t="s">
        <v>168</v>
      </c>
      <c r="P106" s="69"/>
      <c r="Q106" s="14">
        <v>30</v>
      </c>
      <c r="R106" s="14">
        <v>1</v>
      </c>
      <c r="S106" s="14"/>
      <c r="T106" s="73"/>
      <c r="U106" s="14"/>
      <c r="V106" s="14"/>
      <c r="W106" s="14"/>
      <c r="X106" s="69"/>
      <c r="Y106" s="60">
        <f ca="1">Table29[[#This Row],[5/9/2025]]+2-TODAY()</f>
        <v>-82</v>
      </c>
      <c r="Z106" s="14">
        <f>IF(ISBLANK(Table29[[#This Row],[Roster Received By]]),1,0)</f>
        <v>1</v>
      </c>
      <c r="AA106" s="14">
        <f ca="1">IF(Table29[[#This Row],[5/5/2025]]&gt;TODAY(),1,)</f>
        <v>0</v>
      </c>
    </row>
    <row r="107" spans="1:27" s="52" customFormat="1" x14ac:dyDescent="0.25">
      <c r="B107" s="69" t="s">
        <v>83</v>
      </c>
      <c r="C107" s="70" t="s">
        <v>84</v>
      </c>
      <c r="D107" s="70" t="s">
        <v>85</v>
      </c>
      <c r="E107" s="69" t="s">
        <v>263</v>
      </c>
      <c r="F107" s="72">
        <v>45678</v>
      </c>
      <c r="G107" s="72">
        <v>45679</v>
      </c>
      <c r="H107" s="71">
        <v>0.33333333333333331</v>
      </c>
      <c r="I107" s="71"/>
      <c r="J107" s="71"/>
      <c r="K107" s="71"/>
      <c r="L107" s="71"/>
      <c r="M107" s="71"/>
      <c r="N107" s="71"/>
      <c r="O107" s="69" t="s">
        <v>168</v>
      </c>
      <c r="P107" s="69"/>
      <c r="Q107" s="14">
        <v>30</v>
      </c>
      <c r="R107" s="14">
        <v>2</v>
      </c>
      <c r="S107" s="14"/>
      <c r="T107" s="73"/>
      <c r="U107" s="14"/>
      <c r="V107" s="14"/>
      <c r="W107" s="14"/>
      <c r="X107" s="69"/>
      <c r="Y107" s="60">
        <f ca="1">Table29[[#This Row],[5/9/2025]]+2-TODAY()</f>
        <v>-326</v>
      </c>
      <c r="Z107" s="14">
        <f>IF(ISBLANK(Table29[[#This Row],[Roster Received By]]),1,0)</f>
        <v>1</v>
      </c>
      <c r="AA107" s="14">
        <f ca="1">IF(Table29[[#This Row],[5/5/2025]]&gt;TODAY(),1,)</f>
        <v>0</v>
      </c>
    </row>
    <row r="108" spans="1:27" s="52" customFormat="1" x14ac:dyDescent="0.25">
      <c r="A108" s="52" t="s">
        <v>342</v>
      </c>
      <c r="B108" s="69" t="s">
        <v>83</v>
      </c>
      <c r="C108" s="70" t="s">
        <v>84</v>
      </c>
      <c r="D108" s="70" t="s">
        <v>85</v>
      </c>
      <c r="E108" s="69" t="s">
        <v>286</v>
      </c>
      <c r="F108" s="72">
        <v>45691</v>
      </c>
      <c r="G108" s="72">
        <v>45692</v>
      </c>
      <c r="H108" s="71">
        <v>0.33333333333333331</v>
      </c>
      <c r="I108" s="71"/>
      <c r="J108" s="71"/>
      <c r="K108" s="71"/>
      <c r="L108" s="71"/>
      <c r="M108" s="71"/>
      <c r="N108" s="71"/>
      <c r="O108" s="69" t="s">
        <v>168</v>
      </c>
      <c r="P108" s="69"/>
      <c r="Q108" s="14">
        <v>30</v>
      </c>
      <c r="R108" s="14">
        <v>2</v>
      </c>
      <c r="S108" s="14"/>
      <c r="T108" s="73"/>
      <c r="U108" s="14"/>
      <c r="V108" s="14"/>
      <c r="W108" s="14"/>
      <c r="X108" s="69"/>
      <c r="Y108" s="60">
        <f ca="1">Table29[[#This Row],[5/9/2025]]+2-TODAY()</f>
        <v>-313</v>
      </c>
      <c r="Z108" s="14">
        <f>IF(ISBLANK(Table29[[#This Row],[Roster Received By]]),1,0)</f>
        <v>1</v>
      </c>
      <c r="AA108" s="14">
        <f ca="1">IF(Table29[[#This Row],[5/5/2025]]&gt;TODAY(),1,)</f>
        <v>0</v>
      </c>
    </row>
    <row r="109" spans="1:27" s="52" customFormat="1" x14ac:dyDescent="0.25">
      <c r="B109" s="69" t="s">
        <v>83</v>
      </c>
      <c r="C109" s="70" t="s">
        <v>84</v>
      </c>
      <c r="D109" s="70" t="s">
        <v>85</v>
      </c>
      <c r="E109" s="69" t="s">
        <v>211</v>
      </c>
      <c r="F109" s="72">
        <v>45726</v>
      </c>
      <c r="G109" s="72">
        <v>45727</v>
      </c>
      <c r="H109" s="71">
        <v>0.33333333333333331</v>
      </c>
      <c r="I109" s="71"/>
      <c r="J109" s="71"/>
      <c r="K109" s="71"/>
      <c r="L109" s="71"/>
      <c r="M109" s="71"/>
      <c r="N109" s="71"/>
      <c r="O109" s="69" t="s">
        <v>168</v>
      </c>
      <c r="P109" s="69"/>
      <c r="Q109" s="14">
        <v>30</v>
      </c>
      <c r="R109" s="14">
        <v>2</v>
      </c>
      <c r="S109" s="14"/>
      <c r="T109" s="73"/>
      <c r="U109" s="14"/>
      <c r="V109" s="14"/>
      <c r="W109" s="14"/>
      <c r="X109" s="69"/>
      <c r="Y109" s="60">
        <f ca="1">Table29[[#This Row],[5/9/2025]]+2-TODAY()</f>
        <v>-278</v>
      </c>
      <c r="Z109" s="14">
        <f>IF(ISBLANK(Table29[[#This Row],[Roster Received By]]),1,0)</f>
        <v>1</v>
      </c>
      <c r="AA109" s="14">
        <f ca="1">IF(Table29[[#This Row],[5/5/2025]]&gt;TODAY(),1,)</f>
        <v>0</v>
      </c>
    </row>
    <row r="110" spans="1:27" s="52" customFormat="1" x14ac:dyDescent="0.25">
      <c r="A110" s="69"/>
      <c r="B110" s="69" t="s">
        <v>83</v>
      </c>
      <c r="C110" s="70" t="s">
        <v>84</v>
      </c>
      <c r="D110" s="70" t="s">
        <v>85</v>
      </c>
      <c r="E110" s="69" t="s">
        <v>170</v>
      </c>
      <c r="F110" s="72">
        <v>45733</v>
      </c>
      <c r="G110" s="72">
        <v>45734</v>
      </c>
      <c r="H110" s="71">
        <v>0.33333333333333331</v>
      </c>
      <c r="I110" s="71"/>
      <c r="J110" s="71"/>
      <c r="K110" s="71"/>
      <c r="L110" s="71"/>
      <c r="M110" s="71"/>
      <c r="N110" s="71"/>
      <c r="O110" s="69" t="s">
        <v>168</v>
      </c>
      <c r="P110" s="69"/>
      <c r="Q110" s="14">
        <v>30</v>
      </c>
      <c r="R110" s="14">
        <v>2</v>
      </c>
      <c r="S110" s="14"/>
      <c r="T110" s="73"/>
      <c r="U110" s="14"/>
      <c r="V110" s="14"/>
      <c r="W110" s="14"/>
      <c r="X110" s="69"/>
      <c r="Y110" s="60">
        <f ca="1">Table29[[#This Row],[5/9/2025]]+2-TODAY()</f>
        <v>-271</v>
      </c>
      <c r="Z110" s="14">
        <f>IF(ISBLANK(Table29[[#This Row],[Roster Received By]]),1,0)</f>
        <v>1</v>
      </c>
      <c r="AA110" s="14">
        <f ca="1">IF(Table29[[#This Row],[5/5/2025]]&gt;TODAY(),1,)</f>
        <v>0</v>
      </c>
    </row>
    <row r="111" spans="1:27" s="52" customFormat="1" x14ac:dyDescent="0.25">
      <c r="B111" s="69" t="s">
        <v>83</v>
      </c>
      <c r="C111" s="70" t="s">
        <v>84</v>
      </c>
      <c r="D111" s="70" t="s">
        <v>85</v>
      </c>
      <c r="E111" s="69" t="s">
        <v>290</v>
      </c>
      <c r="F111" s="72">
        <v>45754</v>
      </c>
      <c r="G111" s="72">
        <v>45755</v>
      </c>
      <c r="H111" s="71">
        <v>0.33333333333333331</v>
      </c>
      <c r="I111" s="75"/>
      <c r="J111" s="72"/>
      <c r="K111" s="72"/>
      <c r="L111" s="72"/>
      <c r="M111" s="72"/>
      <c r="N111" s="72"/>
      <c r="O111" s="69" t="s">
        <v>168</v>
      </c>
      <c r="P111" s="69"/>
      <c r="Q111" s="14">
        <v>30</v>
      </c>
      <c r="R111" s="14">
        <v>2</v>
      </c>
      <c r="S111" s="14"/>
      <c r="T111" s="73"/>
      <c r="U111" s="14"/>
      <c r="V111" s="14"/>
      <c r="W111" s="14"/>
      <c r="X111" s="69"/>
      <c r="Y111" s="60">
        <f ca="1">Table29[[#This Row],[5/9/2025]]+2-TODAY()</f>
        <v>-250</v>
      </c>
      <c r="Z111" s="14">
        <f>IF(ISBLANK(Table29[[#This Row],[Roster Received By]]),1,0)</f>
        <v>1</v>
      </c>
      <c r="AA111" s="14">
        <f ca="1">IF(Table29[[#This Row],[5/5/2025]]&gt;TODAY(),1,)</f>
        <v>0</v>
      </c>
    </row>
    <row r="112" spans="1:27" s="52" customFormat="1" x14ac:dyDescent="0.25">
      <c r="B112" s="69" t="s">
        <v>83</v>
      </c>
      <c r="C112" s="70" t="s">
        <v>84</v>
      </c>
      <c r="D112" s="70" t="s">
        <v>85</v>
      </c>
      <c r="E112" s="54" t="s">
        <v>294</v>
      </c>
      <c r="F112" s="56">
        <v>45761</v>
      </c>
      <c r="G112" s="56">
        <v>45762</v>
      </c>
      <c r="H112" s="71">
        <v>0.33333333333333331</v>
      </c>
      <c r="I112" s="71"/>
      <c r="J112" s="72"/>
      <c r="K112" s="72"/>
      <c r="L112" s="72"/>
      <c r="M112" s="72"/>
      <c r="N112" s="72"/>
      <c r="O112" s="69" t="s">
        <v>168</v>
      </c>
      <c r="P112" s="69"/>
      <c r="Q112" s="14">
        <v>30</v>
      </c>
      <c r="R112" s="14">
        <v>2</v>
      </c>
      <c r="S112" s="14"/>
      <c r="T112" s="73"/>
      <c r="U112" s="14"/>
      <c r="V112" s="14"/>
      <c r="W112" s="14"/>
      <c r="X112" s="69"/>
      <c r="Y112" s="60">
        <f ca="1">Table29[[#This Row],[5/9/2025]]+2-TODAY()</f>
        <v>-243</v>
      </c>
      <c r="Z112" s="14">
        <f>IF(ISBLANK(Table29[[#This Row],[Roster Received By]]),1,0)</f>
        <v>1</v>
      </c>
      <c r="AA112" s="14">
        <f ca="1">IF(Table29[[#This Row],[5/5/2025]]&gt;TODAY(),1,)</f>
        <v>0</v>
      </c>
    </row>
    <row r="113" spans="1:27" s="52" customFormat="1" ht="15.75" thickBot="1" x14ac:dyDescent="0.3">
      <c r="A113" s="148"/>
      <c r="B113" s="113" t="s">
        <v>83</v>
      </c>
      <c r="C113" s="70" t="s">
        <v>84</v>
      </c>
      <c r="D113" s="70" t="s">
        <v>85</v>
      </c>
      <c r="E113" s="81" t="s">
        <v>298</v>
      </c>
      <c r="F113" s="56">
        <v>45782</v>
      </c>
      <c r="G113" s="56">
        <v>45783</v>
      </c>
      <c r="H113" s="71">
        <v>0.33333333333333331</v>
      </c>
      <c r="I113" s="78" t="s">
        <v>349</v>
      </c>
      <c r="J113" s="115"/>
      <c r="K113" s="115"/>
      <c r="L113" s="115"/>
      <c r="M113" s="115"/>
      <c r="N113" s="115"/>
      <c r="O113" s="69" t="s">
        <v>168</v>
      </c>
      <c r="P113" s="69"/>
      <c r="Q113" s="14">
        <v>30</v>
      </c>
      <c r="R113" s="14">
        <v>2</v>
      </c>
      <c r="S113" s="149"/>
      <c r="T113" s="73"/>
      <c r="U113" s="14"/>
      <c r="V113" s="14"/>
      <c r="W113" s="14"/>
      <c r="X113" s="69"/>
      <c r="Y113" s="60">
        <f ca="1">Table29[[#This Row],[5/9/2025]]+2-TODAY()</f>
        <v>-222</v>
      </c>
      <c r="Z113" s="14">
        <f>IF(ISBLANK(Table29[[#This Row],[Roster Received By]]),1,0)</f>
        <v>1</v>
      </c>
      <c r="AA113" s="14">
        <f ca="1">IF(Table29[[#This Row],[5/5/2025]]&gt;TODAY(),1,)</f>
        <v>0</v>
      </c>
    </row>
    <row r="114" spans="1:27" s="52" customFormat="1" ht="15.75" thickTop="1" x14ac:dyDescent="0.25">
      <c r="B114" s="69" t="s">
        <v>83</v>
      </c>
      <c r="C114" s="70" t="s">
        <v>84</v>
      </c>
      <c r="D114" s="70" t="s">
        <v>85</v>
      </c>
      <c r="E114" s="69" t="s">
        <v>254</v>
      </c>
      <c r="F114" s="144">
        <v>45845</v>
      </c>
      <c r="G114" s="144">
        <v>45846</v>
      </c>
      <c r="H114" s="71">
        <v>0.33333333333333331</v>
      </c>
      <c r="I114" s="71"/>
      <c r="J114" s="71"/>
      <c r="K114" s="71"/>
      <c r="L114" s="71"/>
      <c r="M114" s="71"/>
      <c r="N114" s="71"/>
      <c r="O114" s="69" t="s">
        <v>168</v>
      </c>
      <c r="P114" s="69"/>
      <c r="Q114" s="14">
        <v>30</v>
      </c>
      <c r="R114" s="14">
        <v>2</v>
      </c>
      <c r="S114" s="14"/>
      <c r="T114" s="73"/>
      <c r="U114" s="14"/>
      <c r="V114" s="14"/>
      <c r="W114" s="70"/>
      <c r="X114" s="69"/>
      <c r="Y114" s="60">
        <f ca="1">Table29[[#This Row],[5/9/2025]]+2-TODAY()</f>
        <v>-159</v>
      </c>
      <c r="Z114" s="14">
        <f>IF(ISBLANK(Table29[[#This Row],[Roster Received By]]),1,0)</f>
        <v>1</v>
      </c>
      <c r="AA114" s="14">
        <f ca="1">IF(Table29[[#This Row],[5/5/2025]]&gt;TODAY(),1,)</f>
        <v>0</v>
      </c>
    </row>
    <row r="115" spans="1:27" x14ac:dyDescent="0.25">
      <c r="A115" s="52"/>
      <c r="B115" s="69" t="s">
        <v>83</v>
      </c>
      <c r="C115" s="70" t="s">
        <v>84</v>
      </c>
      <c r="D115" s="70" t="s">
        <v>85</v>
      </c>
      <c r="E115" s="69" t="s">
        <v>297</v>
      </c>
      <c r="F115" s="72">
        <v>45880</v>
      </c>
      <c r="G115" s="72">
        <v>45881</v>
      </c>
      <c r="H115" s="71">
        <v>0.33333333333333331</v>
      </c>
      <c r="I115" s="71"/>
      <c r="J115" s="71"/>
      <c r="K115" s="71"/>
      <c r="L115" s="71"/>
      <c r="M115" s="71"/>
      <c r="N115" s="71"/>
      <c r="O115" s="69" t="s">
        <v>168</v>
      </c>
      <c r="P115" s="69"/>
      <c r="Q115" s="14">
        <v>30</v>
      </c>
      <c r="R115" s="14">
        <v>2</v>
      </c>
      <c r="S115" s="14"/>
      <c r="T115" s="73"/>
      <c r="U115" s="14"/>
      <c r="V115" s="14"/>
      <c r="W115" s="74"/>
      <c r="X115" s="69"/>
      <c r="Y115" s="60">
        <f ca="1">Table29[[#This Row],[5/9/2025]]+2-TODAY()</f>
        <v>-124</v>
      </c>
      <c r="Z115" s="14">
        <f>IF(ISBLANK(Table29[[#This Row],[Roster Received By]]),1,0)</f>
        <v>1</v>
      </c>
      <c r="AA115" s="14">
        <f ca="1">IF(Table29[[#This Row],[5/5/2025]]&gt;TODAY(),1,)</f>
        <v>0</v>
      </c>
    </row>
    <row r="116" spans="1:27" x14ac:dyDescent="0.25">
      <c r="A116" s="52" t="s">
        <v>342</v>
      </c>
      <c r="B116" s="69" t="s">
        <v>86</v>
      </c>
      <c r="C116" s="70" t="s">
        <v>87</v>
      </c>
      <c r="D116" s="70" t="s">
        <v>88</v>
      </c>
      <c r="E116" s="69" t="s">
        <v>286</v>
      </c>
      <c r="F116" s="72">
        <v>45693</v>
      </c>
      <c r="G116" s="72">
        <v>45693</v>
      </c>
      <c r="H116" s="71">
        <v>0.33333333333333331</v>
      </c>
      <c r="I116" s="75"/>
      <c r="J116" s="72"/>
      <c r="K116" s="72"/>
      <c r="L116" s="72"/>
      <c r="M116" s="72"/>
      <c r="N116" s="72"/>
      <c r="O116" s="69" t="s">
        <v>168</v>
      </c>
      <c r="P116" s="69"/>
      <c r="Q116" s="14">
        <v>30</v>
      </c>
      <c r="R116" s="14">
        <v>1</v>
      </c>
      <c r="S116" s="14"/>
      <c r="T116" s="73"/>
      <c r="U116" s="14"/>
      <c r="V116" s="14"/>
      <c r="W116" s="14"/>
      <c r="X116" s="69"/>
      <c r="Y116" s="60">
        <f ca="1">Table29[[#This Row],[5/9/2025]]+2-TODAY()</f>
        <v>-312</v>
      </c>
      <c r="Z116" s="14">
        <f>IF(ISBLANK(Table29[[#This Row],[Roster Received By]]),1,0)</f>
        <v>1</v>
      </c>
      <c r="AA116" s="14">
        <f ca="1">IF(Table29[[#This Row],[5/5/2025]]&gt;TODAY(),1,)</f>
        <v>0</v>
      </c>
    </row>
    <row r="117" spans="1:27" x14ac:dyDescent="0.25">
      <c r="A117" s="52"/>
      <c r="B117" s="69" t="s">
        <v>86</v>
      </c>
      <c r="C117" s="70" t="s">
        <v>87</v>
      </c>
      <c r="D117" s="70" t="s">
        <v>88</v>
      </c>
      <c r="E117" s="69" t="s">
        <v>211</v>
      </c>
      <c r="F117" s="72">
        <v>45728</v>
      </c>
      <c r="G117" s="72">
        <v>45728</v>
      </c>
      <c r="H117" s="71">
        <v>0.33333333333333331</v>
      </c>
      <c r="I117" s="71"/>
      <c r="J117" s="71"/>
      <c r="K117" s="71"/>
      <c r="L117" s="71"/>
      <c r="M117" s="71"/>
      <c r="N117" s="71"/>
      <c r="O117" s="69" t="s">
        <v>168</v>
      </c>
      <c r="P117" s="69"/>
      <c r="Q117" s="14">
        <v>30</v>
      </c>
      <c r="R117" s="14">
        <v>1</v>
      </c>
      <c r="S117" s="14"/>
      <c r="T117" s="73"/>
      <c r="U117" s="14"/>
      <c r="V117" s="14"/>
      <c r="W117" s="14"/>
      <c r="X117" s="69"/>
      <c r="Y117" s="60">
        <f ca="1">Table29[[#This Row],[5/9/2025]]+2-TODAY()</f>
        <v>-277</v>
      </c>
      <c r="Z117" s="14">
        <f>IF(ISBLANK(Table29[[#This Row],[Roster Received By]]),1,0)</f>
        <v>1</v>
      </c>
      <c r="AA117" s="14">
        <f ca="1">IF(Table29[[#This Row],[5/5/2025]]&gt;TODAY(),1,)</f>
        <v>0</v>
      </c>
    </row>
    <row r="118" spans="1:27" x14ac:dyDescent="0.25">
      <c r="A118" s="52"/>
      <c r="B118" s="69" t="s">
        <v>86</v>
      </c>
      <c r="C118" s="70" t="s">
        <v>87</v>
      </c>
      <c r="D118" s="70" t="s">
        <v>88</v>
      </c>
      <c r="E118" s="69" t="s">
        <v>290</v>
      </c>
      <c r="F118" s="72">
        <v>45756</v>
      </c>
      <c r="G118" s="72">
        <v>45756</v>
      </c>
      <c r="H118" s="71">
        <v>0.33333333333333331</v>
      </c>
      <c r="I118" s="71"/>
      <c r="J118" s="71"/>
      <c r="K118" s="71"/>
      <c r="L118" s="71"/>
      <c r="M118" s="71"/>
      <c r="N118" s="71"/>
      <c r="O118" s="69" t="s">
        <v>168</v>
      </c>
      <c r="P118" s="69"/>
      <c r="Q118" s="14">
        <v>30</v>
      </c>
      <c r="R118" s="14">
        <v>1</v>
      </c>
      <c r="S118" s="14"/>
      <c r="T118" s="73"/>
      <c r="U118" s="14"/>
      <c r="V118" s="14"/>
      <c r="W118" s="14"/>
      <c r="X118" s="69"/>
      <c r="Y118" s="60">
        <f ca="1">Table29[[#This Row],[5/9/2025]]+2-TODAY()</f>
        <v>-249</v>
      </c>
      <c r="Z118" s="14">
        <f>IF(ISBLANK(Table29[[#This Row],[Roster Received By]]),1,0)</f>
        <v>1</v>
      </c>
      <c r="AA118" s="14">
        <f ca="1">IF(Table29[[#This Row],[5/5/2025]]&gt;TODAY(),1,)</f>
        <v>0</v>
      </c>
    </row>
    <row r="119" spans="1:27" x14ac:dyDescent="0.25">
      <c r="A119" s="52"/>
      <c r="B119" s="69" t="s">
        <v>86</v>
      </c>
      <c r="C119" s="70" t="s">
        <v>87</v>
      </c>
      <c r="D119" s="70" t="s">
        <v>88</v>
      </c>
      <c r="E119" s="69" t="s">
        <v>294</v>
      </c>
      <c r="F119" s="72">
        <v>45763</v>
      </c>
      <c r="G119" s="72">
        <v>45763</v>
      </c>
      <c r="H119" s="71">
        <v>0.33333333333333331</v>
      </c>
      <c r="I119" s="75"/>
      <c r="J119" s="72"/>
      <c r="K119" s="72"/>
      <c r="L119" s="72"/>
      <c r="M119" s="72"/>
      <c r="N119" s="72"/>
      <c r="O119" s="69" t="s">
        <v>168</v>
      </c>
      <c r="P119" s="69"/>
      <c r="Q119" s="14">
        <v>30</v>
      </c>
      <c r="R119" s="14">
        <v>1</v>
      </c>
      <c r="S119" s="14"/>
      <c r="T119" s="73"/>
      <c r="U119" s="14"/>
      <c r="V119" s="14"/>
      <c r="W119" s="14"/>
      <c r="X119" s="69"/>
      <c r="Y119" s="60">
        <f ca="1">Table29[[#This Row],[5/9/2025]]+2-TODAY()</f>
        <v>-242</v>
      </c>
      <c r="Z119" s="14">
        <f>IF(ISBLANK(Table29[[#This Row],[Roster Received By]]),1,0)</f>
        <v>1</v>
      </c>
      <c r="AA119" s="14">
        <f ca="1">IF(Table29[[#This Row],[5/5/2025]]&gt;TODAY(),1,)</f>
        <v>0</v>
      </c>
    </row>
    <row r="120" spans="1:27" x14ac:dyDescent="0.25">
      <c r="A120" s="69"/>
      <c r="B120" s="69" t="s">
        <v>86</v>
      </c>
      <c r="C120" s="70" t="s">
        <v>87</v>
      </c>
      <c r="D120" s="70" t="s">
        <v>88</v>
      </c>
      <c r="E120" s="69" t="s">
        <v>298</v>
      </c>
      <c r="F120" s="72">
        <v>45784</v>
      </c>
      <c r="G120" s="72">
        <v>45784</v>
      </c>
      <c r="H120" s="71">
        <v>0.33333333333333331</v>
      </c>
      <c r="I120" s="71"/>
      <c r="J120" s="71"/>
      <c r="K120" s="71"/>
      <c r="L120" s="71"/>
      <c r="M120" s="71"/>
      <c r="N120" s="71"/>
      <c r="O120" s="69" t="s">
        <v>168</v>
      </c>
      <c r="P120" s="69"/>
      <c r="Q120" s="14">
        <v>30</v>
      </c>
      <c r="R120" s="14">
        <v>1</v>
      </c>
      <c r="S120" s="14"/>
      <c r="T120" s="73"/>
      <c r="U120" s="14"/>
      <c r="V120" s="14"/>
      <c r="W120" s="14"/>
      <c r="X120" s="69"/>
      <c r="Y120" s="60">
        <f ca="1">Table29[[#This Row],[5/9/2025]]+2-TODAY()</f>
        <v>-221</v>
      </c>
      <c r="Z120" s="14">
        <f>IF(ISBLANK(Table29[[#This Row],[Roster Received By]]),1,0)</f>
        <v>1</v>
      </c>
      <c r="AA120" s="14">
        <f ca="1">IF(Table29[[#This Row],[5/5/2025]]&gt;TODAY(),1,)</f>
        <v>0</v>
      </c>
    </row>
    <row r="121" spans="1:27" x14ac:dyDescent="0.25">
      <c r="A121" s="52"/>
      <c r="B121" s="69" t="s">
        <v>86</v>
      </c>
      <c r="C121" s="70" t="s">
        <v>87</v>
      </c>
      <c r="D121" s="70" t="s">
        <v>88</v>
      </c>
      <c r="E121" s="69" t="s">
        <v>278</v>
      </c>
      <c r="F121" s="144">
        <v>45811</v>
      </c>
      <c r="G121" s="144">
        <v>45811</v>
      </c>
      <c r="H121" s="71">
        <v>0.33333333333333331</v>
      </c>
      <c r="I121" s="75"/>
      <c r="J121" s="72"/>
      <c r="K121" s="72"/>
      <c r="L121" s="72"/>
      <c r="M121" s="72"/>
      <c r="N121" s="72"/>
      <c r="O121" s="69" t="s">
        <v>168</v>
      </c>
      <c r="P121" s="69"/>
      <c r="Q121" s="14">
        <v>30</v>
      </c>
      <c r="R121" s="14">
        <v>1</v>
      </c>
      <c r="S121" s="14"/>
      <c r="T121" s="73"/>
      <c r="U121" s="14"/>
      <c r="V121" s="14"/>
      <c r="W121" s="14"/>
      <c r="X121" s="69"/>
      <c r="Y121" s="60">
        <f ca="1">Table29[[#This Row],[5/9/2025]]+2-TODAY()</f>
        <v>-194</v>
      </c>
      <c r="Z121" s="14">
        <f>IF(ISBLANK(Table29[[#This Row],[Roster Received By]]),1,0)</f>
        <v>1</v>
      </c>
      <c r="AA121" s="14">
        <f ca="1">IF(Table29[[#This Row],[5/5/2025]]&gt;TODAY(),1,)</f>
        <v>0</v>
      </c>
    </row>
    <row r="122" spans="1:27" x14ac:dyDescent="0.25">
      <c r="A122" s="52"/>
      <c r="B122" s="69" t="s">
        <v>86</v>
      </c>
      <c r="C122" s="70" t="s">
        <v>87</v>
      </c>
      <c r="D122" s="70" t="s">
        <v>88</v>
      </c>
      <c r="E122" s="111" t="s">
        <v>328</v>
      </c>
      <c r="F122" s="150">
        <v>45813</v>
      </c>
      <c r="G122" s="150">
        <v>45813</v>
      </c>
      <c r="H122" s="71">
        <v>0.33333333333333331</v>
      </c>
      <c r="I122" s="75"/>
      <c r="J122" s="72"/>
      <c r="K122" s="72"/>
      <c r="L122" s="72"/>
      <c r="M122" s="72"/>
      <c r="N122" s="72"/>
      <c r="O122" s="69" t="s">
        <v>168</v>
      </c>
      <c r="P122" s="69"/>
      <c r="Q122" s="14">
        <v>30</v>
      </c>
      <c r="R122" s="14">
        <v>1</v>
      </c>
      <c r="S122" s="14"/>
      <c r="T122" s="73"/>
      <c r="U122" s="14"/>
      <c r="V122" s="14"/>
      <c r="W122" s="70"/>
      <c r="X122" s="69"/>
      <c r="Y122" s="60">
        <f ca="1">Table29[[#This Row],[5/9/2025]]+2-TODAY()</f>
        <v>-192</v>
      </c>
      <c r="Z122" s="14">
        <f>IF(ISBLANK(Table29[[#This Row],[Roster Received By]]),1,0)</f>
        <v>1</v>
      </c>
      <c r="AA122" s="14">
        <f ca="1">IF(Table29[[#This Row],[5/5/2025]]&gt;TODAY(),1,)</f>
        <v>0</v>
      </c>
    </row>
    <row r="123" spans="1:27" x14ac:dyDescent="0.25">
      <c r="A123" s="52"/>
      <c r="B123" s="69" t="s">
        <v>86</v>
      </c>
      <c r="C123" s="70" t="s">
        <v>87</v>
      </c>
      <c r="D123" s="70" t="s">
        <v>88</v>
      </c>
      <c r="E123" s="69" t="s">
        <v>229</v>
      </c>
      <c r="F123" s="144">
        <v>45817</v>
      </c>
      <c r="G123" s="144">
        <v>45817</v>
      </c>
      <c r="H123" s="71">
        <v>0.33333333333333331</v>
      </c>
      <c r="I123" s="71"/>
      <c r="J123" s="71"/>
      <c r="K123" s="71"/>
      <c r="L123" s="71"/>
      <c r="M123" s="71"/>
      <c r="N123" s="71"/>
      <c r="O123" s="69" t="s">
        <v>168</v>
      </c>
      <c r="P123" s="69"/>
      <c r="Q123" s="14">
        <v>30</v>
      </c>
      <c r="R123" s="14">
        <v>1</v>
      </c>
      <c r="S123" s="14"/>
      <c r="T123" s="73"/>
      <c r="U123" s="14"/>
      <c r="V123" s="14"/>
      <c r="W123" s="14"/>
      <c r="X123" s="69"/>
      <c r="Y123" s="60">
        <f ca="1">Table29[[#This Row],[5/9/2025]]+2-TODAY()</f>
        <v>-188</v>
      </c>
      <c r="Z123" s="14">
        <f>IF(ISBLANK(Table29[[#This Row],[Roster Received By]]),1,0)</f>
        <v>1</v>
      </c>
      <c r="AA123" s="14">
        <f ca="1">IF(Table29[[#This Row],[5/5/2025]]&gt;TODAY(),1,)</f>
        <v>0</v>
      </c>
    </row>
    <row r="124" spans="1:27" x14ac:dyDescent="0.25">
      <c r="A124" s="52"/>
      <c r="B124" s="69" t="s">
        <v>86</v>
      </c>
      <c r="C124" s="70" t="s">
        <v>87</v>
      </c>
      <c r="D124" s="70" t="s">
        <v>88</v>
      </c>
      <c r="E124" s="69" t="s">
        <v>293</v>
      </c>
      <c r="F124" s="72">
        <v>45838</v>
      </c>
      <c r="G124" s="72">
        <v>45838</v>
      </c>
      <c r="H124" s="71">
        <v>0.33333333333333331</v>
      </c>
      <c r="I124" s="75"/>
      <c r="J124" s="72"/>
      <c r="K124" s="72"/>
      <c r="L124" s="72"/>
      <c r="M124" s="72"/>
      <c r="N124" s="72"/>
      <c r="O124" s="69" t="s">
        <v>168</v>
      </c>
      <c r="P124" s="69"/>
      <c r="Q124" s="14">
        <v>30</v>
      </c>
      <c r="R124" s="14">
        <v>1</v>
      </c>
      <c r="S124" s="14"/>
      <c r="T124" s="73"/>
      <c r="U124" s="14"/>
      <c r="V124" s="14"/>
      <c r="W124" s="14"/>
      <c r="X124" s="69"/>
      <c r="Y124" s="60">
        <f ca="1">Table29[[#This Row],[5/9/2025]]+2-TODAY()</f>
        <v>-167</v>
      </c>
      <c r="Z124" s="14">
        <f>IF(ISBLANK(Table29[[#This Row],[Roster Received By]]),1,0)</f>
        <v>1</v>
      </c>
      <c r="AA124" s="14">
        <f ca="1">IF(Table29[[#This Row],[5/5/2025]]&gt;TODAY(),1,)</f>
        <v>0</v>
      </c>
    </row>
    <row r="125" spans="1:27" x14ac:dyDescent="0.25">
      <c r="A125" s="52"/>
      <c r="B125" s="69" t="s">
        <v>86</v>
      </c>
      <c r="C125" s="70" t="s">
        <v>87</v>
      </c>
      <c r="D125" s="70" t="s">
        <v>88</v>
      </c>
      <c r="E125" s="69" t="s">
        <v>198</v>
      </c>
      <c r="F125" s="144">
        <v>45845</v>
      </c>
      <c r="G125" s="144">
        <v>45845</v>
      </c>
      <c r="H125" s="71">
        <v>0.33333333333333331</v>
      </c>
      <c r="I125" s="75"/>
      <c r="J125" s="75"/>
      <c r="K125" s="75"/>
      <c r="L125" s="75"/>
      <c r="M125" s="75"/>
      <c r="N125" s="72"/>
      <c r="O125" s="69" t="s">
        <v>168</v>
      </c>
      <c r="P125" s="69"/>
      <c r="Q125" s="14">
        <v>30</v>
      </c>
      <c r="R125" s="14">
        <v>1</v>
      </c>
      <c r="S125" s="14"/>
      <c r="T125" s="73"/>
      <c r="U125" s="14"/>
      <c r="V125" s="14"/>
      <c r="W125" s="14"/>
      <c r="X125" s="69"/>
      <c r="Y125" s="60">
        <f ca="1">Table29[[#This Row],[5/9/2025]]+2-TODAY()</f>
        <v>-160</v>
      </c>
      <c r="Z125" s="14">
        <f>IF(ISBLANK(Table29[[#This Row],[Roster Received By]]),1,0)</f>
        <v>1</v>
      </c>
      <c r="AA125" s="14">
        <f ca="1">IF(Table29[[#This Row],[5/5/2025]]&gt;TODAY(),1,)</f>
        <v>0</v>
      </c>
    </row>
    <row r="126" spans="1:27" x14ac:dyDescent="0.25">
      <c r="A126" s="52"/>
      <c r="B126" s="69" t="s">
        <v>86</v>
      </c>
      <c r="C126" s="70" t="s">
        <v>87</v>
      </c>
      <c r="D126" s="70" t="s">
        <v>88</v>
      </c>
      <c r="E126" s="54" t="s">
        <v>330</v>
      </c>
      <c r="F126" s="56">
        <v>45847</v>
      </c>
      <c r="G126" s="56">
        <v>45847</v>
      </c>
      <c r="H126" s="71">
        <v>0.33333333333333331</v>
      </c>
      <c r="I126" s="71"/>
      <c r="J126" s="72"/>
      <c r="K126" s="72"/>
      <c r="L126" s="72"/>
      <c r="M126" s="72"/>
      <c r="N126" s="72"/>
      <c r="O126" s="69" t="s">
        <v>168</v>
      </c>
      <c r="P126" s="69"/>
      <c r="Q126" s="14">
        <v>30</v>
      </c>
      <c r="R126" s="14">
        <v>1</v>
      </c>
      <c r="S126" s="14"/>
      <c r="T126" s="73"/>
      <c r="U126" s="14"/>
      <c r="V126" s="14"/>
      <c r="W126" s="14"/>
      <c r="X126" s="69"/>
      <c r="Y126" s="60">
        <f ca="1">Table29[[#This Row],[5/9/2025]]+2-TODAY()</f>
        <v>-158</v>
      </c>
      <c r="Z126" s="14">
        <f>IF(ISBLANK(Table29[[#This Row],[Roster Received By]]),1,0)</f>
        <v>1</v>
      </c>
      <c r="AA126" s="14">
        <f ca="1">IF(Table29[[#This Row],[5/5/2025]]&gt;TODAY(),1,)</f>
        <v>0</v>
      </c>
    </row>
    <row r="127" spans="1:27" x14ac:dyDescent="0.25">
      <c r="A127" s="52"/>
      <c r="B127" s="69" t="s">
        <v>86</v>
      </c>
      <c r="C127" s="70" t="s">
        <v>87</v>
      </c>
      <c r="D127" s="70" t="s">
        <v>88</v>
      </c>
      <c r="E127" s="69" t="s">
        <v>343</v>
      </c>
      <c r="F127" s="150">
        <v>45873</v>
      </c>
      <c r="G127" s="150">
        <v>45873</v>
      </c>
      <c r="H127" s="71">
        <v>0.33333333333333331</v>
      </c>
      <c r="I127" s="71"/>
      <c r="J127" s="71"/>
      <c r="K127" s="71"/>
      <c r="L127" s="71"/>
      <c r="M127" s="71"/>
      <c r="N127" s="71"/>
      <c r="O127" s="69" t="s">
        <v>168</v>
      </c>
      <c r="P127" s="69"/>
      <c r="Q127" s="14">
        <v>30</v>
      </c>
      <c r="R127" s="14">
        <v>1</v>
      </c>
      <c r="S127" s="14"/>
      <c r="T127" s="73"/>
      <c r="U127" s="14"/>
      <c r="V127" s="14"/>
      <c r="W127" s="14"/>
      <c r="X127" s="69"/>
      <c r="Y127" s="60">
        <f ca="1">Table29[[#This Row],[5/9/2025]]+2-TODAY()</f>
        <v>-132</v>
      </c>
      <c r="Z127" s="14">
        <f>IF(ISBLANK(Table29[[#This Row],[Roster Received By]]),1,0)</f>
        <v>1</v>
      </c>
      <c r="AA127" s="14">
        <f ca="1">IF(Table29[[#This Row],[5/5/2025]]&gt;TODAY(),1,)</f>
        <v>0</v>
      </c>
    </row>
    <row r="128" spans="1:27" x14ac:dyDescent="0.25">
      <c r="A128" s="52"/>
      <c r="B128" s="69" t="s">
        <v>86</v>
      </c>
      <c r="C128" s="70" t="s">
        <v>87</v>
      </c>
      <c r="D128" s="70" t="s">
        <v>88</v>
      </c>
      <c r="E128" s="69" t="s">
        <v>166</v>
      </c>
      <c r="F128" s="72">
        <v>45875</v>
      </c>
      <c r="G128" s="72">
        <v>45875</v>
      </c>
      <c r="H128" s="71">
        <v>0.33333333333333331</v>
      </c>
      <c r="I128" s="75"/>
      <c r="J128" s="75"/>
      <c r="K128" s="75"/>
      <c r="L128" s="75"/>
      <c r="M128" s="75"/>
      <c r="N128" s="72"/>
      <c r="O128" s="69" t="s">
        <v>168</v>
      </c>
      <c r="P128" s="69"/>
      <c r="Q128" s="14">
        <v>30</v>
      </c>
      <c r="R128" s="14">
        <v>1</v>
      </c>
      <c r="S128" s="14"/>
      <c r="T128" s="73"/>
      <c r="U128" s="14"/>
      <c r="V128" s="14"/>
      <c r="W128" s="14"/>
      <c r="X128" s="69"/>
      <c r="Y128" s="60">
        <f ca="1">Table29[[#This Row],[5/9/2025]]+2-TODAY()</f>
        <v>-130</v>
      </c>
      <c r="Z128" s="14">
        <f>IF(ISBLANK(Table29[[#This Row],[Roster Received By]]),1,0)</f>
        <v>1</v>
      </c>
      <c r="AA128" s="14">
        <f ca="1">IF(Table29[[#This Row],[5/5/2025]]&gt;TODAY(),1,)</f>
        <v>0</v>
      </c>
    </row>
    <row r="129" spans="1:27" x14ac:dyDescent="0.25">
      <c r="A129" s="52"/>
      <c r="B129" s="69" t="s">
        <v>86</v>
      </c>
      <c r="C129" s="70" t="s">
        <v>87</v>
      </c>
      <c r="D129" s="70" t="s">
        <v>88</v>
      </c>
      <c r="E129" s="69" t="s">
        <v>295</v>
      </c>
      <c r="F129" s="72">
        <v>45883</v>
      </c>
      <c r="G129" s="72">
        <v>45883</v>
      </c>
      <c r="H129" s="71">
        <v>0.33333333333333331</v>
      </c>
      <c r="I129" s="75"/>
      <c r="J129" s="72"/>
      <c r="K129" s="72"/>
      <c r="L129" s="72"/>
      <c r="M129" s="72"/>
      <c r="N129" s="72"/>
      <c r="O129" s="69" t="s">
        <v>168</v>
      </c>
      <c r="P129" s="69"/>
      <c r="Q129" s="14">
        <v>30</v>
      </c>
      <c r="R129" s="14">
        <v>1</v>
      </c>
      <c r="S129" s="14"/>
      <c r="T129" s="73"/>
      <c r="U129" s="14"/>
      <c r="V129" s="14"/>
      <c r="W129" s="14"/>
      <c r="X129" s="69"/>
      <c r="Y129" s="60">
        <f ca="1">Table29[[#This Row],[5/9/2025]]+2-TODAY()</f>
        <v>-122</v>
      </c>
      <c r="Z129" s="14">
        <f>IF(ISBLANK(Table29[[#This Row],[Roster Received By]]),1,0)</f>
        <v>1</v>
      </c>
      <c r="AA129" s="14">
        <f ca="1">IF(Table29[[#This Row],[5/5/2025]]&gt;TODAY(),1,)</f>
        <v>0</v>
      </c>
    </row>
    <row r="130" spans="1:27" x14ac:dyDescent="0.25">
      <c r="A130" s="52"/>
      <c r="B130" s="69" t="s">
        <v>86</v>
      </c>
      <c r="C130" s="70" t="s">
        <v>87</v>
      </c>
      <c r="D130" s="70" t="s">
        <v>88</v>
      </c>
      <c r="E130" s="69" t="s">
        <v>327</v>
      </c>
      <c r="F130" s="72">
        <v>45894</v>
      </c>
      <c r="G130" s="72">
        <v>45894</v>
      </c>
      <c r="H130" s="71">
        <v>0.33333333333333331</v>
      </c>
      <c r="I130" s="71"/>
      <c r="J130" s="71"/>
      <c r="K130" s="71"/>
      <c r="L130" s="71"/>
      <c r="M130" s="71"/>
      <c r="N130" s="71"/>
      <c r="O130" s="69" t="s">
        <v>168</v>
      </c>
      <c r="P130" s="69"/>
      <c r="Q130" s="14">
        <v>30</v>
      </c>
      <c r="R130" s="14">
        <v>1</v>
      </c>
      <c r="S130" s="14"/>
      <c r="T130" s="73"/>
      <c r="U130" s="14"/>
      <c r="V130" s="14"/>
      <c r="W130" s="14"/>
      <c r="X130" s="69"/>
      <c r="Y130" s="60">
        <f ca="1">Table29[[#This Row],[5/9/2025]]+2-TODAY()</f>
        <v>-111</v>
      </c>
      <c r="Z130" s="14">
        <f>IF(ISBLANK(Table29[[#This Row],[Roster Received By]]),1,0)</f>
        <v>1</v>
      </c>
      <c r="AA130" s="14">
        <f ca="1">IF(Table29[[#This Row],[5/5/2025]]&gt;TODAY(),1,)</f>
        <v>0</v>
      </c>
    </row>
    <row r="131" spans="1:27" x14ac:dyDescent="0.25">
      <c r="A131" s="52"/>
      <c r="B131" s="69" t="s">
        <v>89</v>
      </c>
      <c r="C131" s="70" t="s">
        <v>90</v>
      </c>
      <c r="D131" s="70" t="s">
        <v>91</v>
      </c>
      <c r="E131" s="69" t="s">
        <v>263</v>
      </c>
      <c r="F131" s="72">
        <v>45680</v>
      </c>
      <c r="G131" s="72">
        <v>45680</v>
      </c>
      <c r="H131" s="71">
        <v>0.33333333333333331</v>
      </c>
      <c r="I131" s="71"/>
      <c r="J131" s="71"/>
      <c r="K131" s="71"/>
      <c r="L131" s="71"/>
      <c r="M131" s="71"/>
      <c r="N131" s="71"/>
      <c r="O131" s="69" t="s">
        <v>168</v>
      </c>
      <c r="P131" s="69"/>
      <c r="Q131" s="14">
        <v>30</v>
      </c>
      <c r="R131" s="14">
        <v>1</v>
      </c>
      <c r="S131" s="14"/>
      <c r="T131" s="73"/>
      <c r="U131" s="14"/>
      <c r="V131" s="14"/>
      <c r="W131" s="14"/>
      <c r="X131" s="69"/>
      <c r="Y131" s="60">
        <f ca="1">Table29[[#This Row],[5/9/2025]]+2-TODAY()</f>
        <v>-325</v>
      </c>
      <c r="Z131" s="14">
        <f>IF(ISBLANK(Table29[[#This Row],[Roster Received By]]),1,0)</f>
        <v>1</v>
      </c>
      <c r="AA131" s="14">
        <f ca="1">IF(Table29[[#This Row],[5/5/2025]]&gt;TODAY(),1,)</f>
        <v>0</v>
      </c>
    </row>
    <row r="132" spans="1:27" x14ac:dyDescent="0.25">
      <c r="A132" s="52" t="s">
        <v>342</v>
      </c>
      <c r="B132" s="69" t="s">
        <v>89</v>
      </c>
      <c r="C132" s="70" t="s">
        <v>90</v>
      </c>
      <c r="D132" s="70" t="s">
        <v>91</v>
      </c>
      <c r="E132" s="69" t="s">
        <v>286</v>
      </c>
      <c r="F132" s="72">
        <v>45694</v>
      </c>
      <c r="G132" s="72">
        <v>45694</v>
      </c>
      <c r="H132" s="71">
        <v>0.33333333333333331</v>
      </c>
      <c r="I132" s="71"/>
      <c r="J132" s="71"/>
      <c r="K132" s="71"/>
      <c r="L132" s="71"/>
      <c r="M132" s="71"/>
      <c r="N132" s="71"/>
      <c r="O132" s="69" t="s">
        <v>168</v>
      </c>
      <c r="P132" s="69"/>
      <c r="Q132" s="14">
        <v>30</v>
      </c>
      <c r="R132" s="14">
        <v>1</v>
      </c>
      <c r="S132" s="14"/>
      <c r="T132" s="73"/>
      <c r="U132" s="14"/>
      <c r="V132" s="14"/>
      <c r="W132" s="14"/>
      <c r="X132" s="69"/>
      <c r="Y132" s="60">
        <f ca="1">Table29[[#This Row],[5/9/2025]]+2-TODAY()</f>
        <v>-311</v>
      </c>
      <c r="Z132" s="14">
        <f>IF(ISBLANK(Table29[[#This Row],[Roster Received By]]),1,0)</f>
        <v>1</v>
      </c>
      <c r="AA132" s="14">
        <f ca="1">IF(Table29[[#This Row],[5/5/2025]]&gt;TODAY(),1,)</f>
        <v>0</v>
      </c>
    </row>
    <row r="133" spans="1:27" x14ac:dyDescent="0.25">
      <c r="A133" t="s">
        <v>350</v>
      </c>
      <c r="B133" s="69" t="s">
        <v>89</v>
      </c>
      <c r="C133" s="70" t="s">
        <v>90</v>
      </c>
      <c r="D133" s="70" t="s">
        <v>91</v>
      </c>
      <c r="E133" s="82" t="s">
        <v>351</v>
      </c>
      <c r="F133" s="72">
        <v>45698</v>
      </c>
      <c r="G133" s="72">
        <v>45698</v>
      </c>
      <c r="H133" s="71">
        <v>0.33333333333333331</v>
      </c>
      <c r="I133" s="71"/>
      <c r="J133" s="71"/>
      <c r="K133" s="71"/>
      <c r="L133" s="71"/>
      <c r="M133" s="71"/>
      <c r="N133" s="71"/>
      <c r="O133" s="69" t="s">
        <v>168</v>
      </c>
      <c r="P133" s="69"/>
      <c r="Q133" s="14">
        <v>30</v>
      </c>
      <c r="R133" s="14">
        <v>1</v>
      </c>
      <c r="S133" s="14"/>
      <c r="T133" s="73"/>
      <c r="U133" s="14"/>
      <c r="V133" s="14"/>
      <c r="W133" s="14"/>
      <c r="X133" s="69"/>
      <c r="Y133" s="60">
        <f ca="1">Table29[[#This Row],[5/9/2025]]+2-TODAY()</f>
        <v>-307</v>
      </c>
      <c r="Z133" s="14">
        <f>IF(ISBLANK(Table29[[#This Row],[Roster Received By]]),1,0)</f>
        <v>1</v>
      </c>
      <c r="AA133" s="14">
        <f ca="1">IF(Table29[[#This Row],[5/5/2025]]&gt;TODAY(),1,)</f>
        <v>0</v>
      </c>
    </row>
    <row r="134" spans="1:27" x14ac:dyDescent="0.25">
      <c r="A134" s="52"/>
      <c r="B134" s="69" t="s">
        <v>89</v>
      </c>
      <c r="C134" s="70" t="s">
        <v>90</v>
      </c>
      <c r="D134" s="70" t="s">
        <v>91</v>
      </c>
      <c r="E134" s="69" t="s">
        <v>211</v>
      </c>
      <c r="F134" s="72">
        <v>45729</v>
      </c>
      <c r="G134" s="72">
        <v>45729</v>
      </c>
      <c r="H134" s="71">
        <v>0.33333333333333331</v>
      </c>
      <c r="I134" s="75"/>
      <c r="J134" s="72"/>
      <c r="K134" s="72"/>
      <c r="L134" s="72"/>
      <c r="M134" s="72"/>
      <c r="N134" s="72"/>
      <c r="O134" s="69" t="s">
        <v>168</v>
      </c>
      <c r="P134" s="69"/>
      <c r="Q134" s="14">
        <v>30</v>
      </c>
      <c r="R134" s="14">
        <v>1</v>
      </c>
      <c r="S134" s="14"/>
      <c r="T134" s="73"/>
      <c r="U134" s="14"/>
      <c r="V134" s="14"/>
      <c r="W134" s="14"/>
      <c r="X134" s="69"/>
      <c r="Y134" s="60">
        <f ca="1">Table29[[#This Row],[5/9/2025]]+2-TODAY()</f>
        <v>-276</v>
      </c>
      <c r="Z134" s="14">
        <f>IF(ISBLANK(Table29[[#This Row],[Roster Received By]]),1,0)</f>
        <v>1</v>
      </c>
      <c r="AA134" s="14">
        <f ca="1">IF(Table29[[#This Row],[5/5/2025]]&gt;TODAY(),1,)</f>
        <v>0</v>
      </c>
    </row>
    <row r="135" spans="1:27" x14ac:dyDescent="0.25">
      <c r="A135" s="52"/>
      <c r="B135" s="69" t="s">
        <v>89</v>
      </c>
      <c r="C135" s="70" t="s">
        <v>90</v>
      </c>
      <c r="D135" s="70" t="s">
        <v>91</v>
      </c>
      <c r="E135" s="69" t="s">
        <v>170</v>
      </c>
      <c r="F135" s="72">
        <v>45735</v>
      </c>
      <c r="G135" s="72">
        <v>45735</v>
      </c>
      <c r="H135" s="71">
        <v>0.33333333333333331</v>
      </c>
      <c r="I135" s="75"/>
      <c r="J135" s="72"/>
      <c r="K135" s="72"/>
      <c r="L135" s="72"/>
      <c r="M135" s="72"/>
      <c r="N135" s="72"/>
      <c r="O135" s="69" t="s">
        <v>168</v>
      </c>
      <c r="P135" s="69"/>
      <c r="Q135" s="14">
        <v>30</v>
      </c>
      <c r="R135" s="14">
        <v>1</v>
      </c>
      <c r="S135" s="14"/>
      <c r="T135" s="73"/>
      <c r="U135" s="14"/>
      <c r="V135" s="14"/>
      <c r="W135" s="77"/>
      <c r="X135" s="69"/>
      <c r="Y135" s="60">
        <f ca="1">Table29[[#This Row],[5/9/2025]]+2-TODAY()</f>
        <v>-270</v>
      </c>
      <c r="Z135" s="14">
        <f>IF(ISBLANK(Table29[[#This Row],[Roster Received By]]),1,0)</f>
        <v>1</v>
      </c>
      <c r="AA135" s="14">
        <f ca="1">IF(Table29[[#This Row],[5/5/2025]]&gt;TODAY(),1,)</f>
        <v>0</v>
      </c>
    </row>
    <row r="136" spans="1:27" x14ac:dyDescent="0.25">
      <c r="A136" s="52"/>
      <c r="B136" s="69" t="s">
        <v>89</v>
      </c>
      <c r="C136" s="70" t="s">
        <v>90</v>
      </c>
      <c r="D136" s="70" t="s">
        <v>91</v>
      </c>
      <c r="E136" s="69" t="s">
        <v>290</v>
      </c>
      <c r="F136" s="72">
        <v>45757</v>
      </c>
      <c r="G136" s="72">
        <v>45757</v>
      </c>
      <c r="H136" s="71">
        <v>0.33333333333333331</v>
      </c>
      <c r="I136" s="71"/>
      <c r="J136" s="71"/>
      <c r="K136" s="71"/>
      <c r="L136" s="71"/>
      <c r="M136" s="71"/>
      <c r="N136" s="71"/>
      <c r="O136" s="69" t="s">
        <v>168</v>
      </c>
      <c r="P136" s="69"/>
      <c r="Q136" s="14">
        <v>30</v>
      </c>
      <c r="R136" s="14">
        <v>1</v>
      </c>
      <c r="S136" s="14"/>
      <c r="T136" s="73"/>
      <c r="U136" s="14"/>
      <c r="V136" s="14"/>
      <c r="W136" s="14"/>
      <c r="X136" s="69"/>
      <c r="Y136" s="60">
        <f ca="1">Table29[[#This Row],[5/9/2025]]+2-TODAY()</f>
        <v>-248</v>
      </c>
      <c r="Z136" s="14">
        <f>IF(ISBLANK(Table29[[#This Row],[Roster Received By]]),1,0)</f>
        <v>1</v>
      </c>
      <c r="AA136" s="14">
        <f ca="1">IF(Table29[[#This Row],[5/5/2025]]&gt;TODAY(),1,)</f>
        <v>0</v>
      </c>
    </row>
    <row r="137" spans="1:27" x14ac:dyDescent="0.25">
      <c r="A137" s="52"/>
      <c r="B137" s="69" t="s">
        <v>89</v>
      </c>
      <c r="C137" s="70" t="s">
        <v>90</v>
      </c>
      <c r="D137" s="70" t="s">
        <v>91</v>
      </c>
      <c r="E137" s="69" t="s">
        <v>294</v>
      </c>
      <c r="F137" s="72">
        <v>45764</v>
      </c>
      <c r="G137" s="72">
        <v>45764</v>
      </c>
      <c r="H137" s="71">
        <v>0.33333333333333331</v>
      </c>
      <c r="I137" s="71"/>
      <c r="J137" s="71"/>
      <c r="K137" s="71"/>
      <c r="L137" s="71"/>
      <c r="M137" s="71"/>
      <c r="N137" s="71"/>
      <c r="O137" s="69" t="s">
        <v>168</v>
      </c>
      <c r="P137" s="69"/>
      <c r="Q137" s="14">
        <v>30</v>
      </c>
      <c r="R137" s="14">
        <v>1</v>
      </c>
      <c r="S137" s="14"/>
      <c r="T137" s="73"/>
      <c r="U137" s="14"/>
      <c r="V137" s="14"/>
      <c r="W137" s="70"/>
      <c r="X137" s="69"/>
      <c r="Y137" s="60">
        <f ca="1">Table29[[#This Row],[5/9/2025]]+2-TODAY()</f>
        <v>-241</v>
      </c>
      <c r="Z137" s="14">
        <f>IF(ISBLANK(Table29[[#This Row],[Roster Received By]]),1,0)</f>
        <v>1</v>
      </c>
      <c r="AA137" s="14">
        <f ca="1">IF(Table29[[#This Row],[5/5/2025]]&gt;TODAY(),1,)</f>
        <v>0</v>
      </c>
    </row>
    <row r="138" spans="1:27" x14ac:dyDescent="0.25">
      <c r="A138" s="69"/>
      <c r="B138" s="69" t="s">
        <v>89</v>
      </c>
      <c r="C138" s="70" t="s">
        <v>90</v>
      </c>
      <c r="D138" s="70" t="s">
        <v>91</v>
      </c>
      <c r="E138" s="69" t="s">
        <v>298</v>
      </c>
      <c r="F138" s="72">
        <v>45785</v>
      </c>
      <c r="G138" s="72">
        <v>45785</v>
      </c>
      <c r="H138" s="71">
        <v>0.33333333333333331</v>
      </c>
      <c r="I138" s="75"/>
      <c r="J138" s="72"/>
      <c r="K138" s="72"/>
      <c r="L138" s="72"/>
      <c r="M138" s="72"/>
      <c r="N138" s="72"/>
      <c r="O138" s="69" t="s">
        <v>168</v>
      </c>
      <c r="P138" s="69"/>
      <c r="Q138" s="14">
        <v>30</v>
      </c>
      <c r="R138" s="14">
        <v>1</v>
      </c>
      <c r="S138" s="14"/>
      <c r="T138" s="73"/>
      <c r="U138" s="14"/>
      <c r="V138" s="14"/>
      <c r="W138" s="14"/>
      <c r="X138" s="69"/>
      <c r="Y138" s="60">
        <f ca="1">Table29[[#This Row],[5/9/2025]]+2-TODAY()</f>
        <v>-220</v>
      </c>
      <c r="Z138" s="14">
        <f>IF(ISBLANK(Table29[[#This Row],[Roster Received By]]),1,0)</f>
        <v>1</v>
      </c>
      <c r="AA138" s="14">
        <f ca="1">IF(Table29[[#This Row],[5/5/2025]]&gt;TODAY(),1,)</f>
        <v>0</v>
      </c>
    </row>
    <row r="139" spans="1:27" x14ac:dyDescent="0.25">
      <c r="A139" s="52"/>
      <c r="B139" s="69" t="s">
        <v>110</v>
      </c>
      <c r="C139" s="70" t="s">
        <v>111</v>
      </c>
      <c r="D139" s="70" t="s">
        <v>112</v>
      </c>
      <c r="E139" s="69" t="s">
        <v>263</v>
      </c>
      <c r="F139" s="144">
        <v>45681</v>
      </c>
      <c r="G139" s="144">
        <v>45681</v>
      </c>
      <c r="H139" s="71">
        <v>0.33333333333333331</v>
      </c>
      <c r="I139" s="71"/>
      <c r="J139" s="71"/>
      <c r="K139" s="71"/>
      <c r="L139" s="71"/>
      <c r="M139" s="71"/>
      <c r="N139" s="71"/>
      <c r="O139" s="69" t="s">
        <v>168</v>
      </c>
      <c r="P139" s="69"/>
      <c r="Q139" s="14">
        <v>30</v>
      </c>
      <c r="R139" s="14">
        <v>1</v>
      </c>
      <c r="S139" s="14"/>
      <c r="T139" s="73"/>
      <c r="U139" s="14"/>
      <c r="V139" s="14"/>
      <c r="W139" s="14"/>
      <c r="X139" s="69"/>
      <c r="Y139" s="60">
        <f ca="1">Table29[[#This Row],[5/9/2025]]+2-TODAY()</f>
        <v>-324</v>
      </c>
      <c r="Z139" s="14">
        <f>IF(ISBLANK(Table29[[#This Row],[Roster Received By]]),1,0)</f>
        <v>1</v>
      </c>
      <c r="AA139" s="14">
        <f ca="1">IF(Table29[[#This Row],[5/5/2025]]&gt;TODAY(),1,)</f>
        <v>0</v>
      </c>
    </row>
    <row r="140" spans="1:27" x14ac:dyDescent="0.25">
      <c r="A140" s="52" t="s">
        <v>342</v>
      </c>
      <c r="B140" s="69" t="s">
        <v>110</v>
      </c>
      <c r="C140" s="70" t="s">
        <v>111</v>
      </c>
      <c r="D140" s="70" t="s">
        <v>112</v>
      </c>
      <c r="E140" s="69" t="s">
        <v>286</v>
      </c>
      <c r="F140" s="72">
        <v>45695</v>
      </c>
      <c r="G140" s="72">
        <v>45695</v>
      </c>
      <c r="H140" s="71">
        <v>0.33333333333333331</v>
      </c>
      <c r="I140" s="71"/>
      <c r="J140" s="71"/>
      <c r="K140" s="71"/>
      <c r="L140" s="71"/>
      <c r="M140" s="71"/>
      <c r="N140" s="71"/>
      <c r="O140" s="69" t="s">
        <v>168</v>
      </c>
      <c r="P140" s="69"/>
      <c r="Q140" s="14">
        <v>30</v>
      </c>
      <c r="R140" s="14">
        <v>1</v>
      </c>
      <c r="S140" s="14"/>
      <c r="T140" s="73"/>
      <c r="U140" s="14"/>
      <c r="V140" s="14"/>
      <c r="W140" s="14"/>
      <c r="X140" s="69"/>
      <c r="Y140" s="60">
        <f ca="1">Table29[[#This Row],[5/9/2025]]+2-TODAY()</f>
        <v>-310</v>
      </c>
      <c r="Z140" s="14">
        <f>IF(ISBLANK(Table29[[#This Row],[Roster Received By]]),1,0)</f>
        <v>1</v>
      </c>
      <c r="AA140" s="14">
        <f ca="1">IF(Table29[[#This Row],[5/5/2025]]&gt;TODAY(),1,)</f>
        <v>0</v>
      </c>
    </row>
    <row r="141" spans="1:27" x14ac:dyDescent="0.25">
      <c r="A141" s="52" t="s">
        <v>350</v>
      </c>
      <c r="B141" s="69" t="s">
        <v>110</v>
      </c>
      <c r="C141" s="70" t="s">
        <v>111</v>
      </c>
      <c r="D141" s="70" t="s">
        <v>112</v>
      </c>
      <c r="E141" s="82" t="s">
        <v>351</v>
      </c>
      <c r="F141" s="56">
        <v>45699</v>
      </c>
      <c r="G141" s="56">
        <v>45699</v>
      </c>
      <c r="H141" s="71">
        <v>0.33333333333333331</v>
      </c>
      <c r="I141" s="75"/>
      <c r="J141" s="72"/>
      <c r="K141" s="72"/>
      <c r="L141" s="72"/>
      <c r="M141" s="72"/>
      <c r="N141" s="72"/>
      <c r="O141" s="69" t="s">
        <v>168</v>
      </c>
      <c r="P141" s="69"/>
      <c r="Q141" s="14">
        <v>30</v>
      </c>
      <c r="R141" s="14">
        <v>1</v>
      </c>
      <c r="S141" s="14"/>
      <c r="T141" s="73"/>
      <c r="U141" s="14"/>
      <c r="V141" s="14"/>
      <c r="W141" s="70"/>
      <c r="X141" s="69"/>
      <c r="Y141" s="79">
        <f ca="1">Table29[[#This Row],[5/9/2025]]+2-TODAY()</f>
        <v>-306</v>
      </c>
      <c r="Z141" s="14">
        <f>IF(ISBLANK(Table29[[#This Row],[Roster Received By]]),1,0)</f>
        <v>1</v>
      </c>
      <c r="AA141" s="70">
        <f ca="1">IF(Table29[[#This Row],[5/5/2025]]&gt;TODAY(),1,)</f>
        <v>0</v>
      </c>
    </row>
    <row r="142" spans="1:27" x14ac:dyDescent="0.25">
      <c r="A142" s="52"/>
      <c r="B142" s="69" t="s">
        <v>110</v>
      </c>
      <c r="C142" s="70" t="s">
        <v>111</v>
      </c>
      <c r="D142" s="70" t="s">
        <v>112</v>
      </c>
      <c r="E142" s="69" t="s">
        <v>211</v>
      </c>
      <c r="F142" s="72">
        <v>45730</v>
      </c>
      <c r="G142" s="72">
        <v>45730</v>
      </c>
      <c r="H142" s="71">
        <v>0.33333333333333331</v>
      </c>
      <c r="I142" s="75"/>
      <c r="J142" s="72"/>
      <c r="K142" s="72"/>
      <c r="L142" s="72"/>
      <c r="M142" s="72"/>
      <c r="N142" s="72"/>
      <c r="O142" s="69" t="s">
        <v>168</v>
      </c>
      <c r="P142" s="69"/>
      <c r="Q142" s="14">
        <v>30</v>
      </c>
      <c r="R142" s="14">
        <v>1</v>
      </c>
      <c r="S142" s="14"/>
      <c r="T142" s="73"/>
      <c r="U142" s="14"/>
      <c r="V142" s="14"/>
      <c r="W142" s="14"/>
      <c r="X142" s="69"/>
      <c r="Y142" s="60">
        <f ca="1">Table29[[#This Row],[5/9/2025]]+2-TODAY()</f>
        <v>-275</v>
      </c>
      <c r="Z142" s="14">
        <f>IF(ISBLANK(Table29[[#This Row],[Roster Received By]]),1,0)</f>
        <v>1</v>
      </c>
      <c r="AA142" s="14">
        <f ca="1">IF(Table29[[#This Row],[5/5/2025]]&gt;TODAY(),1,)</f>
        <v>0</v>
      </c>
    </row>
    <row r="143" spans="1:27" x14ac:dyDescent="0.25">
      <c r="A143" s="52"/>
      <c r="B143" s="69" t="s">
        <v>110</v>
      </c>
      <c r="C143" s="70" t="s">
        <v>111</v>
      </c>
      <c r="D143" s="70" t="s">
        <v>112</v>
      </c>
      <c r="E143" s="69" t="s">
        <v>170</v>
      </c>
      <c r="F143" s="56">
        <v>45736</v>
      </c>
      <c r="G143" s="56">
        <v>45736</v>
      </c>
      <c r="H143" s="71">
        <v>0.33333333333333331</v>
      </c>
      <c r="I143" s="71"/>
      <c r="J143" s="71"/>
      <c r="K143" s="71"/>
      <c r="L143" s="71"/>
      <c r="M143" s="71"/>
      <c r="N143" s="71"/>
      <c r="O143" s="69" t="s">
        <v>168</v>
      </c>
      <c r="P143" s="69"/>
      <c r="Q143" s="14">
        <v>30</v>
      </c>
      <c r="R143" s="14">
        <v>1</v>
      </c>
      <c r="S143" s="14"/>
      <c r="T143" s="73"/>
      <c r="U143" s="14"/>
      <c r="V143" s="14"/>
      <c r="W143" s="14"/>
      <c r="X143" s="69"/>
      <c r="Y143" s="60">
        <f ca="1">Table29[[#This Row],[5/9/2025]]+2-TODAY()</f>
        <v>-269</v>
      </c>
      <c r="Z143" s="14">
        <f>IF(ISBLANK(Table29[[#This Row],[Roster Received By]]),1,0)</f>
        <v>1</v>
      </c>
      <c r="AA143" s="14">
        <f ca="1">IF(Table29[[#This Row],[5/5/2025]]&gt;TODAY(),1,)</f>
        <v>0</v>
      </c>
    </row>
    <row r="144" spans="1:27" x14ac:dyDescent="0.25">
      <c r="A144" s="52"/>
      <c r="B144" s="69" t="s">
        <v>110</v>
      </c>
      <c r="C144" s="70" t="s">
        <v>111</v>
      </c>
      <c r="D144" s="70" t="s">
        <v>112</v>
      </c>
      <c r="E144" s="69" t="s">
        <v>290</v>
      </c>
      <c r="F144" s="144">
        <v>45758</v>
      </c>
      <c r="G144" s="72">
        <v>45758</v>
      </c>
      <c r="H144" s="71">
        <v>0.33333333333333331</v>
      </c>
      <c r="I144" s="71"/>
      <c r="J144" s="71"/>
      <c r="K144" s="71"/>
      <c r="L144" s="71"/>
      <c r="M144" s="71"/>
      <c r="N144" s="71"/>
      <c r="O144" s="69" t="s">
        <v>168</v>
      </c>
      <c r="P144" s="69"/>
      <c r="Q144" s="14">
        <v>30</v>
      </c>
      <c r="R144" s="14">
        <v>1</v>
      </c>
      <c r="S144" s="14"/>
      <c r="T144" s="73"/>
      <c r="U144" s="14"/>
      <c r="V144" s="14"/>
      <c r="W144" s="14"/>
      <c r="X144" s="69"/>
      <c r="Y144" s="60">
        <f ca="1">Table29[[#This Row],[5/9/2025]]+2-TODAY()</f>
        <v>-247</v>
      </c>
      <c r="Z144" s="14">
        <f>IF(ISBLANK(Table29[[#This Row],[Roster Received By]]),1,0)</f>
        <v>1</v>
      </c>
      <c r="AA144" s="14">
        <f ca="1">IF(Table29[[#This Row],[5/5/2025]]&gt;TODAY(),1,)</f>
        <v>0</v>
      </c>
    </row>
    <row r="145" spans="1:27" x14ac:dyDescent="0.25">
      <c r="A145" s="69"/>
      <c r="B145" s="69" t="s">
        <v>110</v>
      </c>
      <c r="C145" s="70" t="s">
        <v>111</v>
      </c>
      <c r="D145" s="70" t="s">
        <v>112</v>
      </c>
      <c r="E145" s="69" t="s">
        <v>294</v>
      </c>
      <c r="F145" s="144">
        <v>45765</v>
      </c>
      <c r="G145" s="144">
        <v>45765</v>
      </c>
      <c r="H145" s="71">
        <v>0.33333333333333331</v>
      </c>
      <c r="I145" s="75"/>
      <c r="J145" s="72"/>
      <c r="K145" s="72"/>
      <c r="L145" s="72"/>
      <c r="M145" s="72"/>
      <c r="N145" s="72"/>
      <c r="O145" s="69" t="s">
        <v>168</v>
      </c>
      <c r="P145" s="69"/>
      <c r="Q145" s="73">
        <v>30</v>
      </c>
      <c r="R145" s="74">
        <v>1</v>
      </c>
      <c r="S145" s="73"/>
      <c r="T145" s="73"/>
      <c r="U145" s="14"/>
      <c r="V145" s="14"/>
      <c r="W145" s="14"/>
      <c r="X145" s="69"/>
      <c r="Y145" s="60">
        <f ca="1">Table29[[#This Row],[5/9/2025]]+2-TODAY()</f>
        <v>-240</v>
      </c>
      <c r="Z145" s="14">
        <f>IF(ISBLANK(Table29[[#This Row],[Roster Received By]]),1,0)</f>
        <v>1</v>
      </c>
      <c r="AA145" s="14">
        <f ca="1">IF(Table29[[#This Row],[5/5/2025]]&gt;TODAY(),1,)</f>
        <v>0</v>
      </c>
    </row>
    <row r="146" spans="1:27" x14ac:dyDescent="0.25">
      <c r="A146" s="52"/>
      <c r="B146" s="69" t="s">
        <v>110</v>
      </c>
      <c r="C146" s="70" t="s">
        <v>111</v>
      </c>
      <c r="D146" s="70" t="s">
        <v>112</v>
      </c>
      <c r="E146" s="69" t="s">
        <v>298</v>
      </c>
      <c r="F146" s="72">
        <v>45786</v>
      </c>
      <c r="G146" s="72">
        <v>45786</v>
      </c>
      <c r="H146" s="71">
        <v>0.33333333333333331</v>
      </c>
      <c r="I146" s="75"/>
      <c r="J146" s="72"/>
      <c r="K146" s="72"/>
      <c r="L146" s="72"/>
      <c r="M146" s="72"/>
      <c r="N146" s="72"/>
      <c r="O146" s="69" t="s">
        <v>168</v>
      </c>
      <c r="P146" s="69"/>
      <c r="Q146" s="14">
        <v>30</v>
      </c>
      <c r="R146" s="14">
        <v>1</v>
      </c>
      <c r="S146" s="14"/>
      <c r="T146" s="73"/>
      <c r="U146" s="14"/>
      <c r="V146" s="14"/>
      <c r="W146" s="70"/>
      <c r="X146" s="69"/>
      <c r="Y146" s="60">
        <f ca="1">Table29[[#This Row],[5/9/2025]]+2-TODAY()</f>
        <v>-219</v>
      </c>
      <c r="Z146" s="14">
        <f>IF(ISBLANK(Table29[[#This Row],[Roster Received By]]),1,0)</f>
        <v>1</v>
      </c>
      <c r="AA146" s="14">
        <f ca="1">IF(Table29[[#This Row],[5/5/2025]]&gt;TODAY(),1,)</f>
        <v>0</v>
      </c>
    </row>
    <row r="147" spans="1:27" x14ac:dyDescent="0.25">
      <c r="A147" s="69"/>
      <c r="B147" s="69" t="s">
        <v>110</v>
      </c>
      <c r="C147" s="70" t="s">
        <v>111</v>
      </c>
      <c r="D147" s="70" t="s">
        <v>112</v>
      </c>
      <c r="E147" s="69" t="s">
        <v>278</v>
      </c>
      <c r="F147" s="144">
        <v>45812</v>
      </c>
      <c r="G147" s="144">
        <v>45812</v>
      </c>
      <c r="H147" s="71">
        <v>0.33333333333333331</v>
      </c>
      <c r="I147" s="78"/>
      <c r="J147" s="72"/>
      <c r="K147" s="72"/>
      <c r="L147" s="72"/>
      <c r="M147" s="72"/>
      <c r="N147" s="72"/>
      <c r="O147" s="69" t="s">
        <v>168</v>
      </c>
      <c r="P147" s="69"/>
      <c r="Q147" s="14">
        <v>30</v>
      </c>
      <c r="R147" s="14">
        <v>1</v>
      </c>
      <c r="S147" s="14"/>
      <c r="T147" s="73"/>
      <c r="U147" s="14"/>
      <c r="V147" s="14"/>
      <c r="W147" s="70"/>
      <c r="X147" s="69"/>
      <c r="Y147" s="60">
        <f ca="1">Table29[[#This Row],[5/9/2025]]+2-TODAY()</f>
        <v>-193</v>
      </c>
      <c r="Z147" s="14">
        <f>IF(ISBLANK(Table29[[#This Row],[Roster Received By]]),1,0)</f>
        <v>1</v>
      </c>
      <c r="AA147" s="14">
        <f ca="1">IF(Table29[[#This Row],[5/5/2025]]&gt;TODAY(),1,)</f>
        <v>0</v>
      </c>
    </row>
    <row r="148" spans="1:27" x14ac:dyDescent="0.25">
      <c r="A148" s="52"/>
      <c r="B148" s="69" t="s">
        <v>110</v>
      </c>
      <c r="C148" s="70" t="s">
        <v>111</v>
      </c>
      <c r="D148" s="70" t="s">
        <v>112</v>
      </c>
      <c r="E148" s="69" t="s">
        <v>328</v>
      </c>
      <c r="F148" s="144">
        <v>45814</v>
      </c>
      <c r="G148" s="144">
        <v>45814</v>
      </c>
      <c r="H148" s="71">
        <v>0.33333333333333331</v>
      </c>
      <c r="I148" s="71"/>
      <c r="J148" s="71"/>
      <c r="K148" s="71"/>
      <c r="L148" s="71"/>
      <c r="M148" s="71"/>
      <c r="N148" s="71"/>
      <c r="O148" s="69" t="s">
        <v>168</v>
      </c>
      <c r="P148" s="69"/>
      <c r="Q148" s="14">
        <v>30</v>
      </c>
      <c r="R148" s="14">
        <v>1</v>
      </c>
      <c r="S148" s="14"/>
      <c r="T148" s="73"/>
      <c r="U148" s="14"/>
      <c r="V148" s="14"/>
      <c r="W148" s="14"/>
      <c r="X148" s="69"/>
      <c r="Y148" s="60">
        <f ca="1">Table29[[#This Row],[5/9/2025]]+2-TODAY()</f>
        <v>-191</v>
      </c>
      <c r="Z148" s="14">
        <f>IF(ISBLANK(Table29[[#This Row],[Roster Received By]]),1,0)</f>
        <v>1</v>
      </c>
      <c r="AA148" s="14">
        <f ca="1">IF(Table29[[#This Row],[5/5/2025]]&gt;TODAY(),1,)</f>
        <v>0</v>
      </c>
    </row>
    <row r="149" spans="1:27" x14ac:dyDescent="0.25">
      <c r="A149" s="52"/>
      <c r="B149" s="69" t="s">
        <v>110</v>
      </c>
      <c r="C149" s="70" t="s">
        <v>111</v>
      </c>
      <c r="D149" s="70" t="s">
        <v>112</v>
      </c>
      <c r="E149" s="69" t="s">
        <v>229</v>
      </c>
      <c r="F149" s="144">
        <v>45818</v>
      </c>
      <c r="G149" s="144">
        <v>45818</v>
      </c>
      <c r="H149" s="71">
        <v>0.33333333333333331</v>
      </c>
      <c r="I149" s="71"/>
      <c r="J149" s="71"/>
      <c r="K149" s="71"/>
      <c r="L149" s="71"/>
      <c r="M149" s="71"/>
      <c r="N149" s="71"/>
      <c r="O149" s="69" t="s">
        <v>168</v>
      </c>
      <c r="P149" s="69"/>
      <c r="Q149" s="14">
        <v>30</v>
      </c>
      <c r="R149" s="14">
        <v>1</v>
      </c>
      <c r="S149" s="14"/>
      <c r="T149" s="73"/>
      <c r="U149" s="14"/>
      <c r="V149" s="14"/>
      <c r="W149" s="14"/>
      <c r="X149" s="69"/>
      <c r="Y149" s="60">
        <f ca="1">Table29[[#This Row],[5/9/2025]]+2-TODAY()</f>
        <v>-187</v>
      </c>
      <c r="Z149" s="14">
        <f>IF(ISBLANK(Table29[[#This Row],[Roster Received By]]),1,0)</f>
        <v>1</v>
      </c>
      <c r="AA149" s="14">
        <f ca="1">IF(Table29[[#This Row],[5/5/2025]]&gt;TODAY(),1,)</f>
        <v>0</v>
      </c>
    </row>
    <row r="150" spans="1:27" x14ac:dyDescent="0.25">
      <c r="A150" s="52"/>
      <c r="B150" s="69" t="s">
        <v>110</v>
      </c>
      <c r="C150" s="70" t="s">
        <v>111</v>
      </c>
      <c r="D150" s="70" t="s">
        <v>112</v>
      </c>
      <c r="E150" s="69" t="s">
        <v>326</v>
      </c>
      <c r="F150" s="144">
        <v>45819</v>
      </c>
      <c r="G150" s="144">
        <v>45819</v>
      </c>
      <c r="H150" s="71">
        <v>0.33333333333333331</v>
      </c>
      <c r="I150" s="71"/>
      <c r="J150" s="71"/>
      <c r="K150" s="71"/>
      <c r="L150" s="71"/>
      <c r="M150" s="71"/>
      <c r="N150" s="71"/>
      <c r="O150" s="69" t="s">
        <v>168</v>
      </c>
      <c r="P150" s="69"/>
      <c r="Q150" s="14">
        <v>30</v>
      </c>
      <c r="R150" s="14">
        <v>1</v>
      </c>
      <c r="S150" s="14"/>
      <c r="T150" s="73"/>
      <c r="U150" s="14"/>
      <c r="V150" s="14"/>
      <c r="W150" s="14"/>
      <c r="X150" s="69"/>
      <c r="Y150" s="60">
        <f ca="1">Table29[[#This Row],[5/9/2025]]+2-TODAY()</f>
        <v>-186</v>
      </c>
      <c r="Z150" s="14">
        <f>IF(ISBLANK(Table29[[#This Row],[Roster Received By]]),1,0)</f>
        <v>1</v>
      </c>
      <c r="AA150" s="14">
        <f ca="1">IF(Table29[[#This Row],[5/5/2025]]&gt;TODAY(),1,)</f>
        <v>0</v>
      </c>
    </row>
    <row r="151" spans="1:27" x14ac:dyDescent="0.25">
      <c r="A151" s="69" t="s">
        <v>352</v>
      </c>
      <c r="B151" s="69" t="s">
        <v>110</v>
      </c>
      <c r="C151" s="70" t="s">
        <v>111</v>
      </c>
      <c r="D151" s="70" t="s">
        <v>112</v>
      </c>
      <c r="E151" s="54" t="s">
        <v>353</v>
      </c>
      <c r="F151" s="144">
        <v>45820</v>
      </c>
      <c r="G151" s="144">
        <v>45820</v>
      </c>
      <c r="H151" s="71">
        <v>0.33333333333333331</v>
      </c>
      <c r="I151" s="75"/>
      <c r="J151" s="72"/>
      <c r="K151" s="72"/>
      <c r="L151" s="72"/>
      <c r="M151" s="72"/>
      <c r="N151" s="72"/>
      <c r="O151" s="69" t="s">
        <v>168</v>
      </c>
      <c r="P151" s="69"/>
      <c r="Q151" s="14">
        <v>30</v>
      </c>
      <c r="R151" s="14">
        <v>1</v>
      </c>
      <c r="S151" s="14"/>
      <c r="T151" s="73"/>
      <c r="U151" s="14"/>
      <c r="V151" s="14"/>
      <c r="W151" s="14"/>
      <c r="X151" s="69"/>
      <c r="Y151" s="60">
        <f ca="1">Table29[[#This Row],[5/9/2025]]+2-TODAY()</f>
        <v>-185</v>
      </c>
      <c r="Z151" s="14">
        <f>IF(ISBLANK(Table29[[#This Row],[Roster Received By]]),1,0)</f>
        <v>1</v>
      </c>
      <c r="AA151" s="14">
        <f ca="1">IF(Table29[[#This Row],[5/5/2025]]&gt;TODAY(),1,)</f>
        <v>0</v>
      </c>
    </row>
    <row r="152" spans="1:27" x14ac:dyDescent="0.25">
      <c r="A152" s="52"/>
      <c r="B152" s="69" t="s">
        <v>110</v>
      </c>
      <c r="C152" s="70" t="s">
        <v>111</v>
      </c>
      <c r="D152" s="70" t="s">
        <v>112</v>
      </c>
      <c r="E152" s="69" t="s">
        <v>293</v>
      </c>
      <c r="F152" s="144">
        <v>45839</v>
      </c>
      <c r="G152" s="144">
        <v>45839</v>
      </c>
      <c r="H152" s="71">
        <v>0.33333333333333331</v>
      </c>
      <c r="I152" s="71"/>
      <c r="J152" s="71"/>
      <c r="K152" s="71"/>
      <c r="L152" s="71"/>
      <c r="M152" s="71"/>
      <c r="N152" s="71"/>
      <c r="O152" s="69" t="s">
        <v>168</v>
      </c>
      <c r="P152" s="69"/>
      <c r="Q152" s="14">
        <v>30</v>
      </c>
      <c r="R152" s="14">
        <v>1</v>
      </c>
      <c r="S152" s="14"/>
      <c r="T152" s="73"/>
      <c r="U152" s="14"/>
      <c r="V152" s="14"/>
      <c r="W152" s="14"/>
      <c r="X152" s="69"/>
      <c r="Y152" s="60">
        <f ca="1">Table29[[#This Row],[5/9/2025]]+2-TODAY()</f>
        <v>-166</v>
      </c>
      <c r="Z152" s="14">
        <f>IF(ISBLANK(Table29[[#This Row],[Roster Received By]]),1,0)</f>
        <v>1</v>
      </c>
      <c r="AA152" s="14">
        <f ca="1">IF(Table29[[#This Row],[5/5/2025]]&gt;TODAY(),1,)</f>
        <v>0</v>
      </c>
    </row>
    <row r="153" spans="1:27" x14ac:dyDescent="0.25">
      <c r="A153" s="69"/>
      <c r="B153" s="69" t="s">
        <v>110</v>
      </c>
      <c r="C153" s="70" t="s">
        <v>111</v>
      </c>
      <c r="D153" s="70" t="s">
        <v>112</v>
      </c>
      <c r="E153" s="69" t="s">
        <v>198</v>
      </c>
      <c r="F153" s="144">
        <v>45846</v>
      </c>
      <c r="G153" s="144">
        <v>45846</v>
      </c>
      <c r="H153" s="71">
        <v>0.33333333333333331</v>
      </c>
      <c r="I153" s="78"/>
      <c r="J153" s="72"/>
      <c r="K153" s="72"/>
      <c r="L153" s="72"/>
      <c r="M153" s="72"/>
      <c r="N153" s="72"/>
      <c r="O153" s="69" t="s">
        <v>168</v>
      </c>
      <c r="P153" s="69"/>
      <c r="Q153" s="73">
        <v>30</v>
      </c>
      <c r="R153" s="74">
        <v>1</v>
      </c>
      <c r="S153" s="73"/>
      <c r="T153" s="73"/>
      <c r="U153" s="14"/>
      <c r="V153" s="14"/>
      <c r="W153" s="70"/>
      <c r="X153" s="69"/>
      <c r="Y153" s="60">
        <f ca="1">Table29[[#This Row],[5/9/2025]]+2-TODAY()</f>
        <v>-159</v>
      </c>
      <c r="Z153" s="14">
        <f>IF(ISBLANK(Table29[[#This Row],[Roster Received By]]),1,0)</f>
        <v>1</v>
      </c>
      <c r="AA153" s="14">
        <f ca="1">IF(Table29[[#This Row],[5/5/2025]]&gt;TODAY(),1,)</f>
        <v>0</v>
      </c>
    </row>
    <row r="154" spans="1:27" x14ac:dyDescent="0.25">
      <c r="A154" s="69"/>
      <c r="B154" s="69" t="s">
        <v>110</v>
      </c>
      <c r="C154" s="70" t="s">
        <v>111</v>
      </c>
      <c r="D154" s="70" t="s">
        <v>112</v>
      </c>
      <c r="E154" s="69" t="s">
        <v>254</v>
      </c>
      <c r="F154" s="144">
        <v>45847</v>
      </c>
      <c r="G154" s="144">
        <v>45847</v>
      </c>
      <c r="H154" s="71">
        <v>0.33333333333333331</v>
      </c>
      <c r="I154" s="71"/>
      <c r="J154" s="71"/>
      <c r="K154" s="71"/>
      <c r="L154" s="71"/>
      <c r="M154" s="71"/>
      <c r="N154" s="71"/>
      <c r="O154" s="69" t="s">
        <v>168</v>
      </c>
      <c r="P154" s="69"/>
      <c r="Q154" s="14">
        <v>30</v>
      </c>
      <c r="R154" s="14">
        <v>1</v>
      </c>
      <c r="S154" s="14"/>
      <c r="T154" s="73"/>
      <c r="U154" s="14"/>
      <c r="V154" s="14"/>
      <c r="W154" s="14"/>
      <c r="X154" s="69"/>
      <c r="Y154" s="60">
        <f ca="1">Table29[[#This Row],[5/9/2025]]+2-TODAY()</f>
        <v>-158</v>
      </c>
      <c r="Z154" s="14">
        <f>IF(ISBLANK(Table29[[#This Row],[Roster Received By]]),1,0)</f>
        <v>1</v>
      </c>
      <c r="AA154" s="14">
        <f ca="1">IF(Table29[[#This Row],[5/5/2025]]&gt;TODAY(),1,)</f>
        <v>0</v>
      </c>
    </row>
    <row r="155" spans="1:27" x14ac:dyDescent="0.25">
      <c r="A155" s="69"/>
      <c r="B155" s="69" t="s">
        <v>110</v>
      </c>
      <c r="C155" s="70" t="s">
        <v>111</v>
      </c>
      <c r="D155" s="70" t="s">
        <v>112</v>
      </c>
      <c r="E155" s="69" t="s">
        <v>330</v>
      </c>
      <c r="F155" s="72">
        <v>45848</v>
      </c>
      <c r="G155" s="72">
        <v>45848</v>
      </c>
      <c r="H155" s="71">
        <v>0.33333333333333331</v>
      </c>
      <c r="I155" s="78"/>
      <c r="J155" s="72"/>
      <c r="K155" s="72"/>
      <c r="L155" s="72"/>
      <c r="M155" s="72"/>
      <c r="N155" s="72"/>
      <c r="O155" s="69" t="s">
        <v>168</v>
      </c>
      <c r="P155" s="69"/>
      <c r="Q155" s="73">
        <v>30</v>
      </c>
      <c r="R155" s="74">
        <v>1</v>
      </c>
      <c r="S155" s="73"/>
      <c r="T155" s="73"/>
      <c r="U155" s="14"/>
      <c r="V155" s="14"/>
      <c r="W155" s="70"/>
      <c r="X155" s="69"/>
      <c r="Y155" s="60">
        <f ca="1">Table29[[#This Row],[5/9/2025]]+2-TODAY()</f>
        <v>-157</v>
      </c>
      <c r="Z155" s="14">
        <f>IF(ISBLANK(Table29[[#This Row],[Roster Received By]]),1,0)</f>
        <v>1</v>
      </c>
      <c r="AA155" s="14">
        <f ca="1">IF(Table29[[#This Row],[5/5/2025]]&gt;TODAY(),1,)</f>
        <v>0</v>
      </c>
    </row>
    <row r="156" spans="1:27" x14ac:dyDescent="0.25">
      <c r="A156" s="52"/>
      <c r="B156" s="69" t="s">
        <v>110</v>
      </c>
      <c r="C156" s="70" t="s">
        <v>111</v>
      </c>
      <c r="D156" s="70" t="s">
        <v>112</v>
      </c>
      <c r="E156" s="69" t="s">
        <v>343</v>
      </c>
      <c r="F156" s="72">
        <v>45874</v>
      </c>
      <c r="G156" s="72">
        <v>45874</v>
      </c>
      <c r="H156" s="71">
        <v>0.33333333333333331</v>
      </c>
      <c r="I156" s="75"/>
      <c r="J156" s="72"/>
      <c r="K156" s="72"/>
      <c r="L156" s="72"/>
      <c r="M156" s="72"/>
      <c r="N156" s="72"/>
      <c r="O156" s="69" t="s">
        <v>168</v>
      </c>
      <c r="P156" s="69"/>
      <c r="Q156" s="73">
        <v>30</v>
      </c>
      <c r="R156" s="74">
        <v>1</v>
      </c>
      <c r="S156" s="73"/>
      <c r="T156" s="73"/>
      <c r="U156" s="14"/>
      <c r="V156" s="14"/>
      <c r="W156" s="14"/>
      <c r="X156" s="69"/>
      <c r="Y156" s="60">
        <f ca="1">Table29[[#This Row],[5/9/2025]]+2-TODAY()</f>
        <v>-131</v>
      </c>
      <c r="Z156" s="14">
        <f>IF(ISBLANK(Table29[[#This Row],[Roster Received By]]),1,0)</f>
        <v>1</v>
      </c>
      <c r="AA156" s="14">
        <f ca="1">IF(Table29[[#This Row],[5/5/2025]]&gt;TODAY(),1,)</f>
        <v>0</v>
      </c>
    </row>
    <row r="157" spans="1:27" x14ac:dyDescent="0.25">
      <c r="A157" s="69"/>
      <c r="B157" s="69" t="s">
        <v>110</v>
      </c>
      <c r="C157" s="70" t="s">
        <v>111</v>
      </c>
      <c r="D157" s="70" t="s">
        <v>112</v>
      </c>
      <c r="E157" s="69" t="s">
        <v>166</v>
      </c>
      <c r="F157" s="72">
        <v>45876</v>
      </c>
      <c r="G157" s="72">
        <v>45876</v>
      </c>
      <c r="H157" s="71">
        <v>0.33333333333333331</v>
      </c>
      <c r="I157" s="78"/>
      <c r="J157" s="72"/>
      <c r="K157" s="72"/>
      <c r="L157" s="72"/>
      <c r="M157" s="72"/>
      <c r="N157" s="72"/>
      <c r="O157" s="69" t="s">
        <v>168</v>
      </c>
      <c r="P157" s="69"/>
      <c r="Q157" s="73">
        <v>30</v>
      </c>
      <c r="R157" s="74">
        <v>1</v>
      </c>
      <c r="S157" s="73"/>
      <c r="T157" s="73"/>
      <c r="U157" s="14"/>
      <c r="V157" s="14"/>
      <c r="W157" s="70"/>
      <c r="X157" s="69"/>
      <c r="Y157" s="60">
        <f ca="1">Table29[[#This Row],[5/9/2025]]+2-TODAY()</f>
        <v>-129</v>
      </c>
      <c r="Z157" s="14">
        <f>IF(ISBLANK(Table29[[#This Row],[Roster Received By]]),1,0)</f>
        <v>1</v>
      </c>
      <c r="AA157" s="14">
        <f ca="1">IF(Table29[[#This Row],[5/5/2025]]&gt;TODAY(),1,)</f>
        <v>0</v>
      </c>
    </row>
    <row r="158" spans="1:27" x14ac:dyDescent="0.25">
      <c r="A158" s="69"/>
      <c r="B158" s="69" t="s">
        <v>110</v>
      </c>
      <c r="C158" s="70" t="s">
        <v>111</v>
      </c>
      <c r="D158" s="70" t="s">
        <v>112</v>
      </c>
      <c r="E158" s="69" t="s">
        <v>297</v>
      </c>
      <c r="F158" s="72">
        <v>45882</v>
      </c>
      <c r="G158" s="72">
        <v>45882</v>
      </c>
      <c r="H158" s="71">
        <v>0.33333333333333331</v>
      </c>
      <c r="I158" s="78"/>
      <c r="J158" s="72"/>
      <c r="K158" s="72"/>
      <c r="L158" s="72"/>
      <c r="M158" s="72"/>
      <c r="N158" s="72"/>
      <c r="O158" s="69" t="s">
        <v>168</v>
      </c>
      <c r="P158" s="69"/>
      <c r="Q158" s="73">
        <v>30</v>
      </c>
      <c r="R158" s="74">
        <v>1</v>
      </c>
      <c r="S158" s="73"/>
      <c r="T158" s="73"/>
      <c r="U158" s="14"/>
      <c r="V158" s="14"/>
      <c r="W158" s="70"/>
      <c r="X158" s="69"/>
      <c r="Y158" s="60">
        <f ca="1">Table29[[#This Row],[5/9/2025]]+2-TODAY()</f>
        <v>-123</v>
      </c>
      <c r="Z158" s="14">
        <f>IF(ISBLANK(Table29[[#This Row],[Roster Received By]]),1,0)</f>
        <v>1</v>
      </c>
      <c r="AA158" s="14">
        <f ca="1">IF(Table29[[#This Row],[5/5/2025]]&gt;TODAY(),1,)</f>
        <v>0</v>
      </c>
    </row>
    <row r="159" spans="1:27" x14ac:dyDescent="0.25">
      <c r="A159" s="52"/>
      <c r="B159" s="69" t="s">
        <v>110</v>
      </c>
      <c r="C159" s="70" t="s">
        <v>111</v>
      </c>
      <c r="D159" s="70" t="s">
        <v>112</v>
      </c>
      <c r="E159" s="69" t="s">
        <v>295</v>
      </c>
      <c r="F159" s="150">
        <v>45884</v>
      </c>
      <c r="G159" s="150">
        <v>45884</v>
      </c>
      <c r="H159" s="71">
        <v>0.33333333333333331</v>
      </c>
      <c r="I159" s="71"/>
      <c r="J159" s="71"/>
      <c r="K159" s="71"/>
      <c r="L159" s="71"/>
      <c r="M159" s="71"/>
      <c r="N159" s="71"/>
      <c r="O159" s="69" t="s">
        <v>168</v>
      </c>
      <c r="P159" s="69"/>
      <c r="Q159" s="14">
        <v>30</v>
      </c>
      <c r="R159" s="14">
        <v>1</v>
      </c>
      <c r="S159" s="14"/>
      <c r="T159" s="73"/>
      <c r="U159" s="14"/>
      <c r="V159" s="14"/>
      <c r="W159" s="14"/>
      <c r="X159" s="69"/>
      <c r="Y159" s="60">
        <f ca="1">Table29[[#This Row],[5/9/2025]]+2-TODAY()</f>
        <v>-121</v>
      </c>
      <c r="Z159" s="14">
        <f>IF(ISBLANK(Table29[[#This Row],[Roster Received By]]),1,0)</f>
        <v>1</v>
      </c>
      <c r="AA159" s="14">
        <f ca="1">IF(Table29[[#This Row],[5/5/2025]]&gt;TODAY(),1,)</f>
        <v>0</v>
      </c>
    </row>
    <row r="160" spans="1:27" x14ac:dyDescent="0.25">
      <c r="A160" s="52"/>
      <c r="B160" s="69" t="s">
        <v>110</v>
      </c>
      <c r="C160" s="70" t="s">
        <v>111</v>
      </c>
      <c r="D160" s="70" t="s">
        <v>112</v>
      </c>
      <c r="E160" s="69" t="s">
        <v>327</v>
      </c>
      <c r="F160" s="144">
        <v>45895</v>
      </c>
      <c r="G160" s="144">
        <v>45895</v>
      </c>
      <c r="H160" s="71">
        <v>0.33333333333333331</v>
      </c>
      <c r="I160" s="71"/>
      <c r="J160" s="71"/>
      <c r="K160" s="71"/>
      <c r="L160" s="71"/>
      <c r="M160" s="71"/>
      <c r="N160" s="71"/>
      <c r="O160" s="69" t="s">
        <v>168</v>
      </c>
      <c r="P160" s="69"/>
      <c r="Q160" s="14">
        <v>30</v>
      </c>
      <c r="R160" s="14">
        <v>1</v>
      </c>
      <c r="S160" s="14"/>
      <c r="T160" s="73"/>
      <c r="U160" s="14"/>
      <c r="V160" s="14"/>
      <c r="W160" s="73"/>
      <c r="X160" s="69"/>
      <c r="Y160" s="60">
        <f ca="1">Table29[[#This Row],[5/9/2025]]+2-TODAY()</f>
        <v>-110</v>
      </c>
      <c r="Z160" s="14">
        <f>IF(ISBLANK(Table29[[#This Row],[Roster Received By]]),1,0)</f>
        <v>1</v>
      </c>
      <c r="AA160" s="14">
        <f ca="1">IF(Table29[[#This Row],[5/5/2025]]&gt;TODAY(),1,)</f>
        <v>0</v>
      </c>
    </row>
    <row r="161" spans="1:27" x14ac:dyDescent="0.25">
      <c r="A161" s="69"/>
      <c r="B161" s="122" t="s">
        <v>125</v>
      </c>
      <c r="C161" s="124" t="s">
        <v>354</v>
      </c>
      <c r="D161" s="124" t="s">
        <v>355</v>
      </c>
      <c r="E161" s="151" t="s">
        <v>276</v>
      </c>
      <c r="F161" s="125">
        <v>45726</v>
      </c>
      <c r="G161" s="125">
        <v>45730</v>
      </c>
      <c r="H161" s="126">
        <v>0.33333333333333331</v>
      </c>
      <c r="I161" s="75"/>
      <c r="J161" s="72"/>
      <c r="K161" s="72"/>
      <c r="L161" s="72"/>
      <c r="M161" s="72"/>
      <c r="N161" s="72"/>
      <c r="O161" s="69" t="s">
        <v>168</v>
      </c>
      <c r="P161" s="69"/>
      <c r="Q161" s="14">
        <v>25</v>
      </c>
      <c r="R161" s="14">
        <v>2</v>
      </c>
      <c r="S161" s="14"/>
      <c r="T161" s="73"/>
      <c r="U161" s="14"/>
      <c r="V161" s="14"/>
      <c r="W161" s="14"/>
      <c r="X161" s="69"/>
      <c r="Y161" s="60">
        <f ca="1">Table29[[#This Row],[5/9/2025]]+2-TODAY()</f>
        <v>-275</v>
      </c>
      <c r="Z161" s="14">
        <f>IF(ISBLANK(Table29[[#This Row],[Roster Received By]]),1,0)</f>
        <v>1</v>
      </c>
      <c r="AA161" s="14">
        <f ca="1">IF(Table29[[#This Row],[5/5/2025]]&gt;TODAY(),1,)</f>
        <v>0</v>
      </c>
    </row>
    <row r="162" spans="1:27" x14ac:dyDescent="0.25">
      <c r="A162" s="52"/>
      <c r="B162" s="122" t="s">
        <v>125</v>
      </c>
      <c r="C162" s="124" t="s">
        <v>354</v>
      </c>
      <c r="D162" s="124" t="s">
        <v>355</v>
      </c>
      <c r="E162" s="122" t="s">
        <v>211</v>
      </c>
      <c r="F162" s="125">
        <v>45810</v>
      </c>
      <c r="G162" s="125">
        <v>45814</v>
      </c>
      <c r="H162" s="126">
        <v>0.33333333333333331</v>
      </c>
      <c r="I162" s="71"/>
      <c r="J162" s="71"/>
      <c r="K162" s="71"/>
      <c r="L162" s="71"/>
      <c r="M162" s="71"/>
      <c r="N162" s="71"/>
      <c r="O162" s="69" t="s">
        <v>168</v>
      </c>
      <c r="P162" s="69"/>
      <c r="Q162" s="14">
        <v>25</v>
      </c>
      <c r="R162" s="14">
        <v>2</v>
      </c>
      <c r="S162" s="14"/>
      <c r="T162" s="73"/>
      <c r="U162" s="14"/>
      <c r="V162" s="14"/>
      <c r="W162" s="14"/>
      <c r="X162" s="69"/>
      <c r="Y162" s="60">
        <f ca="1">Table29[[#This Row],[5/9/2025]]+2-TODAY()</f>
        <v>-191</v>
      </c>
      <c r="Z162" s="14">
        <f>IF(ISBLANK(Table29[[#This Row],[Roster Received By]]),1,0)</f>
        <v>1</v>
      </c>
      <c r="AA162" s="14">
        <f ca="1">IF(Table29[[#This Row],[5/5/2025]]&gt;TODAY(),1,)</f>
        <v>0</v>
      </c>
    </row>
    <row r="163" spans="1:27" x14ac:dyDescent="0.25">
      <c r="A163" s="139" t="s">
        <v>128</v>
      </c>
      <c r="B163" s="139">
        <f>SUBTOTAL(103,Table29[Course Title])</f>
        <v>159</v>
      </c>
      <c r="C163" s="139"/>
      <c r="D163" s="139"/>
      <c r="E163" s="139"/>
      <c r="F163" s="140"/>
      <c r="G163" s="140"/>
      <c r="H163" s="139"/>
      <c r="I163" s="139"/>
      <c r="J163" s="139"/>
      <c r="K163" s="139"/>
      <c r="L163" s="139"/>
      <c r="M163" s="139"/>
      <c r="N163" s="139"/>
      <c r="O163" s="139"/>
      <c r="P163" s="139"/>
      <c r="Q163" s="141">
        <f>SUBTOTAL(109,Q4:Q162)</f>
        <v>5315</v>
      </c>
      <c r="R163" s="141">
        <f>SUBTOTAL(109,Table29[Course Length (Days)])</f>
        <v>398</v>
      </c>
      <c r="S163" s="141">
        <f>SUBTOTAL(109,S4:S162)</f>
        <v>0</v>
      </c>
      <c r="T163" s="141">
        <f>SUBTOTAL(109,T4:T162)</f>
        <v>0</v>
      </c>
      <c r="U163" s="141">
        <f>SUBTOTAL(109,U4:U162)</f>
        <v>0</v>
      </c>
      <c r="V163" s="141">
        <f>SUBTOTAL(109,V4:V162)</f>
        <v>0</v>
      </c>
      <c r="W163" s="141">
        <f>SUBTOTAL(109,W4:W162)</f>
        <v>0</v>
      </c>
      <c r="X163" s="139">
        <f>SUBTOTAL(103,Table29[Roster Received By])</f>
        <v>0</v>
      </c>
      <c r="Y163" s="142"/>
      <c r="Z163" s="139"/>
      <c r="AA163" s="139"/>
    </row>
  </sheetData>
  <protectedRanges>
    <protectedRange algorithmName="SHA-512" hashValue="n6K25g9uzAcpntxjqTQaPVdKX1eij75CLB1gBuUNBybVL5B3VaxVW/Tcen54TXijIel0fCN9KO3xZiLZCJMSZw==" saltValue="89UdTK4UUElaUoKBccfOYw==" spinCount="100000" sqref="C3:D3" name="CIN CDP"/>
    <protectedRange algorithmName="SHA-512" hashValue="n6K25g9uzAcpntxjqTQaPVdKX1eij75CLB1gBuUNBybVL5B3VaxVW/Tcen54TXijIel0fCN9KO3xZiLZCJMSZw==" saltValue="89UdTK4UUElaUoKBccfOYw==" spinCount="100000" sqref="C4:D162" name="CIN CDP_1"/>
  </protectedRanges>
  <conditionalFormatting sqref="A11:A23">
    <cfRule type="expression" dxfId="1152" priority="1">
      <formula>$T11="Benzick, Sue"</formula>
    </cfRule>
    <cfRule type="expression" dxfId="1151" priority="2">
      <formula>$T11="Jenne, Richard"</formula>
    </cfRule>
    <cfRule type="expression" dxfId="1150" priority="3">
      <formula>$T11="McQueen, Jennifer"</formula>
    </cfRule>
  </conditionalFormatting>
  <conditionalFormatting sqref="A51">
    <cfRule type="expression" dxfId="1149" priority="4">
      <formula>$T51="Benzick, Sue"</formula>
    </cfRule>
    <cfRule type="expression" dxfId="1148" priority="5">
      <formula>$T51="Jenne, Richard"</formula>
    </cfRule>
    <cfRule type="expression" dxfId="1147" priority="6">
      <formula>$T51="McQueen, Jennifer"</formula>
    </cfRule>
  </conditionalFormatting>
  <conditionalFormatting sqref="E44 F80:G80 F82:G84 F101:G101 F103">
    <cfRule type="expression" dxfId="1146" priority="229">
      <formula>$R44="Benzick, Sue"</formula>
    </cfRule>
    <cfRule type="expression" dxfId="1145" priority="230">
      <formula>$R44="Jenne, Richard"</formula>
    </cfRule>
    <cfRule type="expression" dxfId="1144" priority="231">
      <formula>$R44="McQueen, Jennifer"</formula>
    </cfRule>
  </conditionalFormatting>
  <conditionalFormatting sqref="E64">
    <cfRule type="expression" dxfId="1143" priority="221">
      <formula>#REF!="Jenne, Richard"</formula>
    </cfRule>
    <cfRule type="expression" dxfId="1142" priority="220">
      <formula>#REF!="Benzick, Sue"</formula>
    </cfRule>
    <cfRule type="expression" dxfId="1141" priority="222">
      <formula>#REF!="McQueen, Jennifer"</formula>
    </cfRule>
  </conditionalFormatting>
  <conditionalFormatting sqref="E58:G61 F62:G62">
    <cfRule type="expression" dxfId="1140" priority="225">
      <formula>#REF!="McQueen, Jennifer"</formula>
    </cfRule>
    <cfRule type="expression" dxfId="1139" priority="224">
      <formula>#REF!="Jenne, Richard"</formula>
    </cfRule>
    <cfRule type="expression" dxfId="1138" priority="223">
      <formula>#REF!="Benzick, Sue"</formula>
    </cfRule>
  </conditionalFormatting>
  <conditionalFormatting sqref="E65:G72">
    <cfRule type="expression" dxfId="1137" priority="199">
      <formula>#REF!="Benzick, Sue"</formula>
    </cfRule>
    <cfRule type="expression" dxfId="1136" priority="200">
      <formula>#REF!="Jenne, Richard"</formula>
    </cfRule>
    <cfRule type="expression" dxfId="1135" priority="201">
      <formula>#REF!="McQueen, Jennifer"</formula>
    </cfRule>
  </conditionalFormatting>
  <conditionalFormatting sqref="E75:G75 F76:G76 I76:I84 E77:G77 I88:I97 I99:I100 H105 H109:H112">
    <cfRule type="expression" dxfId="1134" priority="205">
      <formula>#REF!="Benzick, Sue"</formula>
    </cfRule>
    <cfRule type="expression" dxfId="1133" priority="206">
      <formula>#REF!="Jenne, Richard"</formula>
    </cfRule>
    <cfRule type="expression" dxfId="1132" priority="207">
      <formula>#REF!="McQueen, Jennifer"</formula>
    </cfRule>
  </conditionalFormatting>
  <conditionalFormatting sqref="E113:G113">
    <cfRule type="expression" dxfId="1131" priority="193">
      <formula>#REF!="Benzick, Sue"</formula>
    </cfRule>
    <cfRule type="expression" dxfId="1130" priority="194">
      <formula>#REF!="Jenne, Richard"</formula>
    </cfRule>
    <cfRule type="expression" dxfId="1129" priority="195">
      <formula>#REF!="McQueen, Jennifer"</formula>
    </cfRule>
  </conditionalFormatting>
  <conditionalFormatting sqref="F15:F18">
    <cfRule type="expression" dxfId="1128" priority="180">
      <formula>$T15="McQueen, Jennifer"</formula>
    </cfRule>
    <cfRule type="expression" dxfId="1127" priority="178">
      <formula>$T15="Benzick, Sue"</formula>
    </cfRule>
    <cfRule type="expression" dxfId="1126" priority="179">
      <formula>$T15="Jenne, Richard"</formula>
    </cfRule>
  </conditionalFormatting>
  <conditionalFormatting sqref="F23">
    <cfRule type="expression" dxfId="1125" priority="174">
      <formula>$T23="McQueen, Jennifer"</formula>
    </cfRule>
    <cfRule type="expression" dxfId="1124" priority="173">
      <formula>$T23="Jenne, Richard"</formula>
    </cfRule>
    <cfRule type="expression" dxfId="1123" priority="172">
      <formula>$T23="Benzick, Sue"</formula>
    </cfRule>
  </conditionalFormatting>
  <conditionalFormatting sqref="F44:F45">
    <cfRule type="expression" dxfId="1122" priority="167">
      <formula>$T44="Jenne, Richard"</formula>
    </cfRule>
    <cfRule type="expression" dxfId="1121" priority="166">
      <formula>$T44="Benzick, Sue"</formula>
    </cfRule>
    <cfRule type="expression" dxfId="1120" priority="168">
      <formula>$T44="McQueen, Jennifer"</formula>
    </cfRule>
  </conditionalFormatting>
  <conditionalFormatting sqref="F64">
    <cfRule type="expression" dxfId="1119" priority="23">
      <formula>$S64="Jenne, Richard"</formula>
    </cfRule>
    <cfRule type="expression" dxfId="1118" priority="22">
      <formula>$S64="Benzick, Sue"</formula>
    </cfRule>
    <cfRule type="expression" dxfId="1117" priority="24">
      <formula>$S64="McQueen, Jennifer"</formula>
    </cfRule>
  </conditionalFormatting>
  <conditionalFormatting sqref="F104 F110:F111">
    <cfRule type="expression" dxfId="1116" priority="192">
      <formula>$S105="McQueen, Jennifer"</formula>
    </cfRule>
    <cfRule type="expression" dxfId="1115" priority="191">
      <formula>$S105="Jenne, Richard"</formula>
    </cfRule>
    <cfRule type="expression" dxfId="1114" priority="190">
      <formula>$S105="Benzick, Sue"</formula>
    </cfRule>
  </conditionalFormatting>
  <conditionalFormatting sqref="F105:F106">
    <cfRule type="expression" dxfId="1113" priority="187">
      <formula>$S107="Benzick, Sue"</formula>
    </cfRule>
    <cfRule type="expression" dxfId="1112" priority="188">
      <formula>$S107="Jenne, Richard"</formula>
    </cfRule>
    <cfRule type="expression" dxfId="1111" priority="189">
      <formula>$S107="McQueen, Jennifer"</formula>
    </cfRule>
  </conditionalFormatting>
  <conditionalFormatting sqref="F10:G11 F13:G14 J18:N24 E25 E28 A29:A41 E30 E33:E34 F33:G35 J35:N35 E36:F36 F37:G37 F39:G40 E39:E42 F43:G43 A43:A45 A49 A59:A60 A69:A73 A75:A86 A88:A90 J92:N92 A92:A102 J94:N95 E97:E100 J99:N100 B103 E103 A104:B112 J109:N112">
    <cfRule type="expression" dxfId="1110" priority="232">
      <formula>$T10="Benzick, Sue"</formula>
    </cfRule>
    <cfRule type="expression" dxfId="1109" priority="233">
      <formula>$T10="Jenne, Richard"</formula>
    </cfRule>
    <cfRule type="expression" dxfId="1108" priority="234">
      <formula>$T10="McQueen, Jennifer"</formula>
    </cfRule>
  </conditionalFormatting>
  <conditionalFormatting sqref="F19:G22 E48:G56 E57">
    <cfRule type="expression" dxfId="1107" priority="210">
      <formula>#REF!="McQueen, Jennifer"</formula>
    </cfRule>
    <cfRule type="expression" dxfId="1106" priority="208">
      <formula>#REF!="Benzick, Sue"</formula>
    </cfRule>
    <cfRule type="expression" dxfId="1105" priority="209">
      <formula>#REF!="Jenne, Richard"</formula>
    </cfRule>
  </conditionalFormatting>
  <conditionalFormatting sqref="F31:G32">
    <cfRule type="expression" dxfId="1104" priority="171">
      <formula>#REF!="McQueen, Jennifer"</formula>
    </cfRule>
    <cfRule type="expression" dxfId="1103" priority="169">
      <formula>#REF!="Benzick, Sue"</formula>
    </cfRule>
    <cfRule type="expression" dxfId="1102" priority="170">
      <formula>#REF!="Jenne, Richard"</formula>
    </cfRule>
  </conditionalFormatting>
  <conditionalFormatting sqref="F46:G47">
    <cfRule type="expression" dxfId="1101" priority="154">
      <formula>$R46="Benzick, Sue"</formula>
    </cfRule>
    <cfRule type="expression" dxfId="1100" priority="156">
      <formula>$R46="McQueen, Jennifer"</formula>
    </cfRule>
    <cfRule type="expression" dxfId="1099" priority="155">
      <formula>$R46="Jenne, Richard"</formula>
    </cfRule>
  </conditionalFormatting>
  <conditionalFormatting sqref="F57:G57">
    <cfRule type="expression" dxfId="1098" priority="16">
      <formula>#REF!="Benzick, Sue"</formula>
    </cfRule>
    <cfRule type="expression" dxfId="1097" priority="17">
      <formula>#REF!="Jenne, Richard"</formula>
    </cfRule>
    <cfRule type="expression" dxfId="1096" priority="18">
      <formula>#REF!="McQueen, Jennifer"</formula>
    </cfRule>
  </conditionalFormatting>
  <conditionalFormatting sqref="G7:G8 F9:G9">
    <cfRule type="expression" dxfId="1095" priority="181">
      <formula>#REF!="Benzick, Sue"</formula>
    </cfRule>
    <cfRule type="expression" dxfId="1094" priority="182">
      <formula>#REF!="Jenne, Richard"</formula>
    </cfRule>
    <cfRule type="expression" dxfId="1093" priority="183">
      <formula>#REF!="McQueen, Jennifer"</formula>
    </cfRule>
  </conditionalFormatting>
  <conditionalFormatting sqref="G12">
    <cfRule type="expression" dxfId="1092" priority="175">
      <formula>#REF!="Benzick, Sue"</formula>
    </cfRule>
    <cfRule type="expression" dxfId="1091" priority="177">
      <formula>#REF!="McQueen, Jennifer"</formula>
    </cfRule>
    <cfRule type="expression" dxfId="1090" priority="176">
      <formula>#REF!="Jenne, Richard"</formula>
    </cfRule>
  </conditionalFormatting>
  <conditionalFormatting sqref="G38">
    <cfRule type="expression" dxfId="1089" priority="163">
      <formula>#REF!="Benzick, Sue"</formula>
    </cfRule>
    <cfRule type="expression" dxfId="1088" priority="165">
      <formula>#REF!="McQueen, Jennifer"</formula>
    </cfRule>
    <cfRule type="expression" dxfId="1087" priority="164">
      <formula>#REF!="Jenne, Richard"</formula>
    </cfRule>
  </conditionalFormatting>
  <conditionalFormatting sqref="G44:G45">
    <cfRule type="expression" dxfId="1086" priority="158">
      <formula>$T44="Jenne, Richard"</formula>
    </cfRule>
    <cfRule type="expression" dxfId="1085" priority="159">
      <formula>$T44="McQueen, Jennifer"</formula>
    </cfRule>
    <cfRule type="expression" dxfId="1084" priority="157">
      <formula>$T44="Benzick, Sue"</formula>
    </cfRule>
  </conditionalFormatting>
  <conditionalFormatting sqref="G64">
    <cfRule type="expression" dxfId="1083" priority="19">
      <formula>$S64="Benzick, Sue"</formula>
    </cfRule>
    <cfRule type="expression" dxfId="1082" priority="20">
      <formula>$S64="Jenne, Richard"</formula>
    </cfRule>
    <cfRule type="expression" dxfId="1081" priority="21">
      <formula>$S64="McQueen, Jennifer"</formula>
    </cfRule>
  </conditionalFormatting>
  <conditionalFormatting sqref="G98">
    <cfRule type="expression" dxfId="1080" priority="27">
      <formula>$S98="McQueen, Jennifer"</formula>
    </cfRule>
    <cfRule type="expression" dxfId="1079" priority="25">
      <formula>$S98="Benzick, Sue"</formula>
    </cfRule>
    <cfRule type="expression" dxfId="1078" priority="26">
      <formula>$S98="Jenne, Richard"</formula>
    </cfRule>
  </conditionalFormatting>
  <conditionalFormatting sqref="H4:H28">
    <cfRule type="expression" dxfId="1077" priority="11">
      <formula>$S4="Jenne, Richard"</formula>
    </cfRule>
    <cfRule type="expression" dxfId="1076" priority="10">
      <formula>$S4="Benzick, Sue"</formula>
    </cfRule>
    <cfRule type="expression" dxfId="1075" priority="12">
      <formula>$S4="McQueen, Jennifer"</formula>
    </cfRule>
  </conditionalFormatting>
  <conditionalFormatting sqref="H30:H103">
    <cfRule type="expression" dxfId="1074" priority="86">
      <formula>$S30="Jenne, Richard"</formula>
    </cfRule>
    <cfRule type="expression" dxfId="1073" priority="87">
      <formula>$S30="McQueen, Jennifer"</formula>
    </cfRule>
    <cfRule type="expression" dxfId="1072" priority="85">
      <formula>$S30="Benzick, Sue"</formula>
    </cfRule>
  </conditionalFormatting>
  <conditionalFormatting sqref="I4:I14 I18:I25 G28:G30 I38 I42:I50 I51:N51 I61:N61 I62:I63 E63:G63 I64:N65 I68:N69 I71:N72 I75:N75 I85:N86 I98:N98 I101:N103 J104:N104 J106:N108 H113:I113">
    <cfRule type="expression" dxfId="1071" priority="226">
      <formula>#REF!="Benzick, Sue"</formula>
    </cfRule>
    <cfRule type="expression" dxfId="1070" priority="227">
      <formula>#REF!="Jenne, Richard"</formula>
    </cfRule>
    <cfRule type="expression" dxfId="1069" priority="228">
      <formula>#REF!="McQueen, Jennifer"</formula>
    </cfRule>
  </conditionalFormatting>
  <conditionalFormatting sqref="I17">
    <cfRule type="expression" dxfId="1068" priority="126">
      <formula>$S17="McQueen, Jennifer"</formula>
    </cfRule>
    <cfRule type="expression" dxfId="1067" priority="125">
      <formula>$S17="Jenne, Richard"</formula>
    </cfRule>
    <cfRule type="expression" dxfId="1066" priority="124">
      <formula>$S17="Benzick, Sue"</formula>
    </cfRule>
  </conditionalFormatting>
  <conditionalFormatting sqref="I26:I27">
    <cfRule type="expression" dxfId="1065" priority="51">
      <formula>$S26="McQueen, Jennifer"</formula>
    </cfRule>
    <cfRule type="expression" dxfId="1064" priority="50">
      <formula>$S26="Jenne, Richard"</formula>
    </cfRule>
    <cfRule type="expression" dxfId="1063" priority="49">
      <formula>$S26="Benzick, Sue"</formula>
    </cfRule>
  </conditionalFormatting>
  <conditionalFormatting sqref="I31">
    <cfRule type="expression" dxfId="1062" priority="32">
      <formula>$S31="Jenne, Richard"</formula>
    </cfRule>
    <cfRule type="expression" dxfId="1061" priority="31">
      <formula>$S31="Benzick, Sue"</formula>
    </cfRule>
    <cfRule type="expression" dxfId="1060" priority="33">
      <formula>$S31="McQueen, Jennifer"</formula>
    </cfRule>
  </conditionalFormatting>
  <conditionalFormatting sqref="I33">
    <cfRule type="expression" dxfId="1059" priority="40">
      <formula>$S33="Benzick, Sue"</formula>
    </cfRule>
    <cfRule type="expression" dxfId="1058" priority="41">
      <formula>$S33="Jenne, Richard"</formula>
    </cfRule>
    <cfRule type="expression" dxfId="1057" priority="42">
      <formula>$S33="McQueen, Jennifer"</formula>
    </cfRule>
  </conditionalFormatting>
  <conditionalFormatting sqref="I39">
    <cfRule type="expression" dxfId="1056" priority="97">
      <formula>$S39="Benzick, Sue"</formula>
    </cfRule>
    <cfRule type="expression" dxfId="1055" priority="98">
      <formula>$S39="Jenne, Richard"</formula>
    </cfRule>
    <cfRule type="expression" dxfId="1054" priority="99">
      <formula>$S39="McQueen, Jennifer"</formula>
    </cfRule>
  </conditionalFormatting>
  <conditionalFormatting sqref="I41">
    <cfRule type="expression" dxfId="1053" priority="30">
      <formula>$S41="McQueen, Jennifer"</formula>
    </cfRule>
    <cfRule type="expression" dxfId="1052" priority="28">
      <formula>$S41="Benzick, Sue"</formula>
    </cfRule>
    <cfRule type="expression" dxfId="1051" priority="29">
      <formula>$S41="Jenne, Richard"</formula>
    </cfRule>
  </conditionalFormatting>
  <conditionalFormatting sqref="I52:I53 I58:I60">
    <cfRule type="expression" dxfId="1050" priority="213">
      <formula>#REF!="McQueen, Jennifer"</formula>
    </cfRule>
    <cfRule type="expression" dxfId="1049" priority="211">
      <formula>#REF!="Benzick, Sue"</formula>
    </cfRule>
    <cfRule type="expression" dxfId="1048" priority="212">
      <formula>#REF!="Jenne, Richard"</formula>
    </cfRule>
  </conditionalFormatting>
  <conditionalFormatting sqref="I66:I67 I70 I73:I74">
    <cfRule type="expression" dxfId="1047" priority="196">
      <formula>#REF!="Benzick, Sue"</formula>
    </cfRule>
    <cfRule type="expression" dxfId="1046" priority="198">
      <formula>#REF!="McQueen, Jennifer"</formula>
    </cfRule>
    <cfRule type="expression" dxfId="1045" priority="197">
      <formula>#REF!="Jenne, Richard"</formula>
    </cfRule>
  </conditionalFormatting>
  <conditionalFormatting sqref="I28:M29 I30 K34:N34 I34:I36">
    <cfRule type="expression" dxfId="1044" priority="57">
      <formula>#REF!="McQueen, Jennifer"</formula>
    </cfRule>
    <cfRule type="expression" dxfId="1043" priority="56">
      <formula>#REF!="Jenne, Richard"</formula>
    </cfRule>
    <cfRule type="expression" dxfId="1042" priority="55">
      <formula>#REF!="Benzick, Sue"</formula>
    </cfRule>
  </conditionalFormatting>
  <conditionalFormatting sqref="I15:N15 I16 I37:M37 J43:N43 K45:N47">
    <cfRule type="expression" dxfId="1041" priority="147">
      <formula>#REF!="McQueen, Jennifer"</formula>
    </cfRule>
    <cfRule type="expression" dxfId="1040" priority="146">
      <formula>#REF!="Jenne, Richard"</formula>
    </cfRule>
    <cfRule type="expression" dxfId="1039" priority="145">
      <formula>#REF!="Benzick, Sue"</formula>
    </cfRule>
  </conditionalFormatting>
  <conditionalFormatting sqref="I54:N57">
    <cfRule type="expression" dxfId="1038" priority="184">
      <formula>#REF!="Benzick, Sue"</formula>
    </cfRule>
    <cfRule type="expression" dxfId="1037" priority="185">
      <formula>#REF!="Jenne, Richard"</formula>
    </cfRule>
    <cfRule type="expression" dxfId="1036" priority="186">
      <formula>#REF!="McQueen, Jennifer"</formula>
    </cfRule>
  </conditionalFormatting>
  <conditionalFormatting sqref="J9">
    <cfRule type="expression" dxfId="1035" priority="7">
      <formula>$S9="Benzick, Sue"</formula>
    </cfRule>
    <cfRule type="expression" dxfId="1034" priority="9">
      <formula>$S9="McQueen, Jennifer"</formula>
    </cfRule>
    <cfRule type="expression" dxfId="1033" priority="8">
      <formula>$S9="Jenne, Richard"</formula>
    </cfRule>
  </conditionalFormatting>
  <conditionalFormatting sqref="J34">
    <cfRule type="expression" dxfId="1032" priority="37">
      <formula>$S34="Benzick, Sue"</formula>
    </cfRule>
    <cfRule type="expression" dxfId="1031" priority="38">
      <formula>$S34="Jenne, Richard"</formula>
    </cfRule>
    <cfRule type="expression" dxfId="1030" priority="39">
      <formula>$S34="McQueen, Jennifer"</formula>
    </cfRule>
  </conditionalFormatting>
  <conditionalFormatting sqref="J41">
    <cfRule type="expression" dxfId="1029" priority="143">
      <formula>#REF!="Jenne, Richard"</formula>
    </cfRule>
    <cfRule type="expression" dxfId="1028" priority="142">
      <formula>#REF!="Benzick, Sue"</formula>
    </cfRule>
    <cfRule type="expression" dxfId="1027" priority="144">
      <formula>#REF!="McQueen, Jennifer"</formula>
    </cfRule>
  </conditionalFormatting>
  <conditionalFormatting sqref="J45:J47">
    <cfRule type="expression" dxfId="1026" priority="34">
      <formula>$S45="Benzick, Sue"</formula>
    </cfRule>
    <cfRule type="expression" dxfId="1025" priority="35">
      <formula>$S45="Jenne, Richard"</formula>
    </cfRule>
    <cfRule type="expression" dxfId="1024" priority="36">
      <formula>$S45="McQueen, Jennifer"</formula>
    </cfRule>
  </conditionalFormatting>
  <conditionalFormatting sqref="J4:N6 J8:N8 K9:N9">
    <cfRule type="expression" dxfId="1023" priority="150">
      <formula>$S4="McQueen, Jennifer"</formula>
    </cfRule>
    <cfRule type="expression" dxfId="1022" priority="149">
      <formula>$S4="Jenne, Richard"</formula>
    </cfRule>
    <cfRule type="expression" dxfId="1021" priority="148">
      <formula>$S4="Benzick, Sue"</formula>
    </cfRule>
  </conditionalFormatting>
  <conditionalFormatting sqref="J16:N16">
    <cfRule type="expression" dxfId="1020" priority="127">
      <formula>$S16="Benzick, Sue"</formula>
    </cfRule>
    <cfRule type="expression" dxfId="1019" priority="128">
      <formula>$S16="Jenne, Richard"</formula>
    </cfRule>
    <cfRule type="expression" dxfId="1018" priority="129">
      <formula>$S16="McQueen, Jennifer"</formula>
    </cfRule>
  </conditionalFormatting>
  <conditionalFormatting sqref="J17:N17">
    <cfRule type="expression" dxfId="1017" priority="152">
      <formula>$X17="Jenne, Richard"</formula>
    </cfRule>
    <cfRule type="expression" dxfId="1016" priority="151">
      <formula>$X17="Benzick, Sue"</formula>
    </cfRule>
    <cfRule type="expression" dxfId="1015" priority="153">
      <formula>$X17="McQueen, Jennifer"</formula>
    </cfRule>
  </conditionalFormatting>
  <conditionalFormatting sqref="J25:N25">
    <cfRule type="expression" dxfId="1014" priority="58">
      <formula>$S25="Benzick, Sue"</formula>
    </cfRule>
    <cfRule type="expression" dxfId="1013" priority="59">
      <formula>$S25="Jenne, Richard"</formula>
    </cfRule>
    <cfRule type="expression" dxfId="1012" priority="60">
      <formula>$S25="McQueen, Jennifer"</formula>
    </cfRule>
  </conditionalFormatting>
  <conditionalFormatting sqref="J26:N27">
    <cfRule type="expression" dxfId="1011" priority="53">
      <formula>$X26="Jenne, Richard"</formula>
    </cfRule>
    <cfRule type="expression" dxfId="1010" priority="52">
      <formula>$X26="Benzick, Sue"</formula>
    </cfRule>
    <cfRule type="expression" dxfId="1009" priority="54">
      <formula>$X26="McQueen, Jennifer"</formula>
    </cfRule>
  </conditionalFormatting>
  <conditionalFormatting sqref="K41">
    <cfRule type="expression" dxfId="1008" priority="141">
      <formula>#REF!="McQueen, Jennifer"</formula>
    </cfRule>
    <cfRule type="expression" dxfId="1007" priority="140">
      <formula>#REF!="Jenne, Richard"</formula>
    </cfRule>
    <cfRule type="expression" dxfId="1006" priority="139">
      <formula>#REF!="Benzick, Sue"</formula>
    </cfRule>
  </conditionalFormatting>
  <conditionalFormatting sqref="L30:L31">
    <cfRule type="expression" dxfId="1005" priority="46">
      <formula>$S30="Benzick, Sue"</formula>
    </cfRule>
    <cfRule type="expression" dxfId="1004" priority="47">
      <formula>$S30="Jenne, Richard"</formula>
    </cfRule>
    <cfRule type="expression" dxfId="1003" priority="48">
      <formula>$S30="McQueen, Jennifer"</formula>
    </cfRule>
  </conditionalFormatting>
  <conditionalFormatting sqref="L41">
    <cfRule type="expression" dxfId="1002" priority="138">
      <formula>#REF!="McQueen, Jennifer"</formula>
    </cfRule>
    <cfRule type="expression" dxfId="1001" priority="137">
      <formula>#REF!="Jenne, Richard"</formula>
    </cfRule>
    <cfRule type="expression" dxfId="1000" priority="136">
      <formula>#REF!="Benzick, Sue"</formula>
    </cfRule>
  </conditionalFormatting>
  <conditionalFormatting sqref="M32">
    <cfRule type="expression" dxfId="999" priority="44">
      <formula>$S32="Jenne, Richard"</formula>
    </cfRule>
    <cfRule type="expression" dxfId="998" priority="45">
      <formula>$S32="McQueen, Jennifer"</formula>
    </cfRule>
    <cfRule type="expression" dxfId="997" priority="43">
      <formula>$S32="Benzick, Sue"</formula>
    </cfRule>
  </conditionalFormatting>
  <conditionalFormatting sqref="M41">
    <cfRule type="expression" dxfId="996" priority="135">
      <formula>#REF!="McQueen, Jennifer"</formula>
    </cfRule>
    <cfRule type="expression" dxfId="995" priority="133">
      <formula>#REF!="Benzick, Sue"</formula>
    </cfRule>
    <cfRule type="expression" dxfId="994" priority="134">
      <formula>#REF!="Jenne, Richard"</formula>
    </cfRule>
  </conditionalFormatting>
  <conditionalFormatting sqref="N37">
    <cfRule type="expression" dxfId="993" priority="101">
      <formula>$S37="Jenne, Richard"</formula>
    </cfRule>
    <cfRule type="expression" dxfId="992" priority="102">
      <formula>$S37="McQueen, Jennifer"</formula>
    </cfRule>
    <cfRule type="expression" dxfId="991" priority="100">
      <formula>$S37="Benzick, Sue"</formula>
    </cfRule>
  </conditionalFormatting>
  <conditionalFormatting sqref="N40">
    <cfRule type="expression" dxfId="990" priority="94">
      <formula>$S40="Benzick, Sue"</formula>
    </cfRule>
    <cfRule type="expression" dxfId="989" priority="95">
      <formula>$S40="Jenne, Richard"</formula>
    </cfRule>
    <cfRule type="expression" dxfId="988" priority="96">
      <formula>$S40="McQueen, Jennifer"</formula>
    </cfRule>
  </conditionalFormatting>
  <conditionalFormatting sqref="N41">
    <cfRule type="expression" dxfId="987" priority="131">
      <formula>#REF!="Jenne, Richard"</formula>
    </cfRule>
    <cfRule type="expression" dxfId="986" priority="132">
      <formula>#REF!="McQueen, Jennifer"</formula>
    </cfRule>
    <cfRule type="expression" dxfId="985" priority="130">
      <formula>#REF!="Benzick, Sue"</formula>
    </cfRule>
  </conditionalFormatting>
  <conditionalFormatting sqref="T4:T47 K7:N7 A10 J10:N14 S10:S15 S17:S28 A28 N28 H29:I29 S31:S43 E35 L36 L38 L42 S45:S47 E46:E47 A48 S48:T67 J49:N49 J52:N52 J58:N60 J62:N62 T68 S69:T86 A74 J79:N79 E85:G86 E88:G88 S88:T88 J88:N89 E89 S89:S90 T89:T96 F90:G90 K90 M90:N90 F92:G96 S92:S96 J96:N97 F97:F98 S97:T112 E102:F102 E104:E112 I104:I112 T113">
    <cfRule type="expression" dxfId="984" priority="235">
      <formula>$S4="Benzick, Sue"</formula>
    </cfRule>
    <cfRule type="expression" dxfId="983" priority="236">
      <formula>$S4="Jenne, Richard"</formula>
    </cfRule>
    <cfRule type="expression" dxfId="982" priority="237">
      <formula>$S4="McQueen, Jennifer"</formula>
    </cfRule>
  </conditionalFormatting>
  <conditionalFormatting sqref="W4:W15 Y4:Y86 W17:W28 W31:W43 W45:W67 W69:W86 W88:W108 Y88:Y113">
    <cfRule type="expression" dxfId="981" priority="238">
      <formula>$X4="Benzick, Sue"</formula>
    </cfRule>
    <cfRule type="expression" dxfId="980" priority="239">
      <formula>$X4="Jenne, Richard"</formula>
    </cfRule>
    <cfRule type="expression" dxfId="979" priority="240">
      <formula>$X4="McQueen, Jennifer"</formula>
    </cfRule>
  </conditionalFormatting>
  <dataValidations count="3">
    <dataValidation allowBlank="1" showInputMessage="1" showErrorMessage="1" sqref="S88:S113 S4:S86" xr:uid="{F53FA255-9224-4ADF-A230-E84DC8EC89C5}"/>
    <dataValidation type="list" allowBlank="1" showInputMessage="1" showErrorMessage="1" sqref="B164:B170 B172:B442 B4:B162" xr:uid="{73CB25B1-9935-4559-84D6-2CD89F18B02A}">
      <formula1>Class</formula1>
    </dataValidation>
    <dataValidation type="list" allowBlank="1" showInputMessage="1" showErrorMessage="1" sqref="O164:O386" xr:uid="{FFCAD722-D837-4CC2-9C77-BDB70A788B8F}">
      <formula1>Instructor</formula1>
    </dataValidation>
  </dataValidations>
  <printOptions horizontalCentered="1" verticalCentered="1"/>
  <pageMargins left="0.7" right="0.7" top="0.75" bottom="0.75" header="0.3" footer="0.3"/>
  <pageSetup paperSize="5" scale="35" fitToHeight="0" orientation="landscape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C1335-9BC5-4571-85CE-C5CFC6D0D6A3}">
  <dimension ref="A1:Y16"/>
  <sheetViews>
    <sheetView workbookViewId="0">
      <pane xSplit="1" topLeftCell="B1" activePane="topRight" state="frozen"/>
      <selection pane="topRight" activeCell="S8" sqref="S8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356</v>
      </c>
    </row>
    <row r="3" spans="1:25" x14ac:dyDescent="0.25">
      <c r="A3" t="s">
        <v>179</v>
      </c>
      <c r="B3" t="s">
        <v>180</v>
      </c>
      <c r="C3" t="s">
        <v>181</v>
      </c>
      <c r="D3" t="s">
        <v>32</v>
      </c>
      <c r="E3" t="s">
        <v>182</v>
      </c>
      <c r="F3" t="s">
        <v>36</v>
      </c>
      <c r="G3" t="s">
        <v>38</v>
      </c>
      <c r="H3" t="s">
        <v>41</v>
      </c>
      <c r="I3" t="s">
        <v>183</v>
      </c>
      <c r="J3" t="s">
        <v>184</v>
      </c>
      <c r="K3" t="s">
        <v>55</v>
      </c>
      <c r="L3" t="s">
        <v>58</v>
      </c>
      <c r="M3" t="s">
        <v>185</v>
      </c>
      <c r="N3" t="s">
        <v>186</v>
      </c>
      <c r="O3" t="s">
        <v>187</v>
      </c>
      <c r="P3" t="s">
        <v>188</v>
      </c>
      <c r="Q3" t="s">
        <v>189</v>
      </c>
      <c r="R3" t="s">
        <v>190</v>
      </c>
      <c r="S3" t="s">
        <v>191</v>
      </c>
      <c r="T3" t="s">
        <v>192</v>
      </c>
      <c r="U3" t="s">
        <v>193</v>
      </c>
      <c r="V3" t="s">
        <v>194</v>
      </c>
      <c r="W3" t="s">
        <v>116</v>
      </c>
      <c r="X3" t="s">
        <v>195</v>
      </c>
      <c r="Y3" t="s">
        <v>196</v>
      </c>
    </row>
    <row r="4" spans="1:25" x14ac:dyDescent="0.25">
      <c r="A4" t="s">
        <v>197</v>
      </c>
      <c r="B4" t="s">
        <v>357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220</v>
      </c>
      <c r="B5" t="s">
        <v>357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1</v>
      </c>
      <c r="J5">
        <v>1</v>
      </c>
      <c r="K5">
        <v>1</v>
      </c>
      <c r="L5">
        <v>0</v>
      </c>
      <c r="M5">
        <v>0</v>
      </c>
      <c r="N5">
        <v>1</v>
      </c>
      <c r="O5">
        <v>1</v>
      </c>
      <c r="P5">
        <v>0</v>
      </c>
      <c r="Q5">
        <v>0</v>
      </c>
      <c r="R5">
        <v>0</v>
      </c>
      <c r="S5">
        <v>0</v>
      </c>
      <c r="T5">
        <v>0</v>
      </c>
      <c r="U5">
        <v>6</v>
      </c>
      <c r="V5">
        <v>0</v>
      </c>
      <c r="W5">
        <v>3</v>
      </c>
      <c r="X5">
        <v>2</v>
      </c>
      <c r="Y5">
        <v>16</v>
      </c>
    </row>
    <row r="6" spans="1:25" x14ac:dyDescent="0.25">
      <c r="A6" t="s">
        <v>204</v>
      </c>
      <c r="B6" t="s">
        <v>357</v>
      </c>
      <c r="I6">
        <v>2</v>
      </c>
      <c r="P6">
        <v>1</v>
      </c>
      <c r="Q6">
        <v>3</v>
      </c>
      <c r="R6">
        <v>1</v>
      </c>
      <c r="V6">
        <v>3</v>
      </c>
      <c r="Y6">
        <v>10</v>
      </c>
    </row>
    <row r="7" spans="1:25" x14ac:dyDescent="0.25">
      <c r="A7" t="s">
        <v>209</v>
      </c>
      <c r="B7" t="s">
        <v>357</v>
      </c>
      <c r="C7">
        <v>1</v>
      </c>
      <c r="D7">
        <v>1</v>
      </c>
      <c r="E7">
        <v>1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0</v>
      </c>
      <c r="Q7">
        <v>2</v>
      </c>
      <c r="R7">
        <v>1</v>
      </c>
      <c r="S7">
        <v>1</v>
      </c>
      <c r="T7">
        <v>1</v>
      </c>
      <c r="U7">
        <v>1</v>
      </c>
      <c r="V7">
        <v>1</v>
      </c>
      <c r="W7">
        <v>1</v>
      </c>
      <c r="X7">
        <v>1</v>
      </c>
      <c r="Y7">
        <v>22</v>
      </c>
    </row>
    <row r="8" spans="1:25" x14ac:dyDescent="0.25">
      <c r="A8" t="s">
        <v>199</v>
      </c>
      <c r="B8" t="s">
        <v>357</v>
      </c>
      <c r="I8">
        <v>4</v>
      </c>
      <c r="J8">
        <v>2</v>
      </c>
      <c r="O8">
        <v>1</v>
      </c>
      <c r="P8">
        <v>4</v>
      </c>
      <c r="Q8">
        <v>28</v>
      </c>
      <c r="R8">
        <v>15</v>
      </c>
      <c r="S8">
        <v>17</v>
      </c>
      <c r="T8">
        <v>17</v>
      </c>
      <c r="V8">
        <v>1</v>
      </c>
      <c r="W8">
        <v>1</v>
      </c>
      <c r="Y8">
        <v>90</v>
      </c>
    </row>
    <row r="9" spans="1:25" x14ac:dyDescent="0.25">
      <c r="A9" t="s">
        <v>200</v>
      </c>
      <c r="B9" t="s">
        <v>357</v>
      </c>
      <c r="Y9">
        <v>0</v>
      </c>
    </row>
    <row r="10" spans="1:25" x14ac:dyDescent="0.25">
      <c r="A10" t="s">
        <v>201</v>
      </c>
      <c r="B10" t="s">
        <v>357</v>
      </c>
      <c r="Y10">
        <v>0</v>
      </c>
    </row>
    <row r="11" spans="1:25" x14ac:dyDescent="0.25">
      <c r="A11" t="s">
        <v>202</v>
      </c>
      <c r="B11" t="s">
        <v>357</v>
      </c>
      <c r="Y11">
        <v>0</v>
      </c>
    </row>
    <row r="12" spans="1:25" x14ac:dyDescent="0.25">
      <c r="A12" t="s">
        <v>203</v>
      </c>
      <c r="B12" t="s">
        <v>357</v>
      </c>
      <c r="Y12">
        <v>0</v>
      </c>
    </row>
    <row r="13" spans="1:25" x14ac:dyDescent="0.25">
      <c r="A13" t="s">
        <v>205</v>
      </c>
      <c r="B13" t="s">
        <v>357</v>
      </c>
      <c r="Y13">
        <v>0</v>
      </c>
    </row>
    <row r="14" spans="1:25" x14ac:dyDescent="0.25">
      <c r="A14" t="s">
        <v>206</v>
      </c>
      <c r="B14" t="s">
        <v>357</v>
      </c>
      <c r="Y14">
        <v>0</v>
      </c>
    </row>
    <row r="15" spans="1:25" x14ac:dyDescent="0.25">
      <c r="A15" t="s">
        <v>207</v>
      </c>
      <c r="B15" t="s">
        <v>357</v>
      </c>
      <c r="Y15">
        <v>0</v>
      </c>
    </row>
    <row r="16" spans="1:25" x14ac:dyDescent="0.25">
      <c r="A16" t="s">
        <v>208</v>
      </c>
      <c r="B16" t="s">
        <v>357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/>
    <pageSetUpPr fitToPage="1"/>
  </sheetPr>
  <dimension ref="B1:AA62"/>
  <sheetViews>
    <sheetView showGridLines="0" tabSelected="1" zoomScale="80" zoomScaleNormal="80" workbookViewId="0">
      <pane xSplit="9" ySplit="4" topLeftCell="K5" activePane="bottomRight" state="frozen"/>
      <selection pane="topRight"/>
      <selection pane="bottomLeft"/>
      <selection pane="bottomRight" activeCell="B4" sqref="B4"/>
    </sheetView>
  </sheetViews>
  <sheetFormatPr defaultColWidth="9.28515625" defaultRowHeight="15" customHeight="1" x14ac:dyDescent="0.25"/>
  <cols>
    <col min="1" max="1" width="10.28515625" bestFit="1" customWidth="1"/>
    <col min="2" max="2" width="39.5703125" customWidth="1"/>
    <col min="3" max="3" width="7.5703125" customWidth="1"/>
    <col min="4" max="4" width="13.5703125" customWidth="1"/>
    <col min="5" max="5" width="11.28515625" customWidth="1"/>
    <col min="6" max="6" width="9.28515625" customWidth="1"/>
    <col min="7" max="7" width="9.7109375" customWidth="1"/>
    <col min="8" max="8" width="10.28515625" customWidth="1"/>
    <col min="9" max="9" width="9.7109375" customWidth="1"/>
    <col min="10" max="10" width="11.28515625" customWidth="1"/>
    <col min="11" max="11" width="8.28515625" customWidth="1"/>
    <col min="12" max="12" width="10.5703125" customWidth="1"/>
    <col min="13" max="13" width="11.28515625" customWidth="1"/>
    <col min="14" max="14" width="9.7109375" customWidth="1"/>
    <col min="15" max="15" width="7.42578125" customWidth="1"/>
    <col min="16" max="17" width="9.28515625" customWidth="1"/>
    <col min="18" max="18" width="17.28515625" customWidth="1"/>
    <col min="19" max="19" width="16.28515625" customWidth="1"/>
    <col min="20" max="20" width="10.7109375" customWidth="1"/>
    <col min="21" max="21" width="17.5703125" customWidth="1"/>
    <col min="22" max="22" width="12.5703125" customWidth="1"/>
    <col min="23" max="23" width="13.28515625" customWidth="1"/>
    <col min="24" max="24" width="10.5703125" customWidth="1"/>
    <col min="25" max="25" width="22.7109375" customWidth="1"/>
    <col min="26" max="26" width="21.7109375" customWidth="1"/>
    <col min="27" max="27" width="27.28515625" customWidth="1"/>
  </cols>
  <sheetData>
    <row r="1" spans="2:27" x14ac:dyDescent="0.25">
      <c r="B1" s="17"/>
      <c r="C1" s="16"/>
      <c r="D1" s="16"/>
      <c r="E1" s="16"/>
      <c r="F1" s="16"/>
      <c r="G1" s="3"/>
      <c r="H1" s="16"/>
      <c r="I1" s="16"/>
      <c r="J1" s="18"/>
      <c r="K1" s="16"/>
      <c r="L1" s="16"/>
      <c r="M1" s="16"/>
      <c r="N1" s="16"/>
      <c r="O1" s="16"/>
      <c r="P1" s="16"/>
      <c r="Q1" s="16"/>
      <c r="R1" s="16"/>
      <c r="S1" s="16"/>
      <c r="T1" s="2"/>
      <c r="U1" s="19"/>
      <c r="V1" s="19"/>
      <c r="W1" s="19"/>
      <c r="X1" s="19"/>
      <c r="Y1" s="16"/>
      <c r="Z1" s="16"/>
      <c r="AA1" s="16"/>
    </row>
    <row r="2" spans="2:27" x14ac:dyDescent="0.25">
      <c r="B2" s="203"/>
      <c r="C2" s="16"/>
      <c r="D2" s="16"/>
      <c r="E2" s="16"/>
      <c r="F2" s="16"/>
      <c r="G2" s="16"/>
      <c r="H2" s="16"/>
      <c r="I2" s="16"/>
      <c r="J2" s="18"/>
      <c r="K2" s="16"/>
      <c r="L2" s="16"/>
      <c r="M2" s="16"/>
      <c r="N2" s="16"/>
      <c r="O2" s="16"/>
      <c r="P2" s="16"/>
      <c r="Q2" s="16"/>
      <c r="R2" s="16"/>
      <c r="S2" s="16"/>
      <c r="T2" s="16"/>
      <c r="U2" s="19"/>
      <c r="V2" s="19"/>
      <c r="W2" s="19"/>
      <c r="X2" s="19"/>
      <c r="Y2" s="16"/>
      <c r="Z2" s="16"/>
      <c r="AA2" s="16"/>
    </row>
    <row r="3" spans="2:27" ht="15.75" x14ac:dyDescent="0.25">
      <c r="B3" s="716" t="s">
        <v>358</v>
      </c>
      <c r="C3" s="717"/>
      <c r="D3" s="717"/>
      <c r="E3" s="717"/>
      <c r="F3" s="717"/>
      <c r="G3" s="717"/>
      <c r="H3" s="717"/>
      <c r="I3" s="717"/>
      <c r="J3" s="717"/>
      <c r="K3" s="718" t="s">
        <v>359</v>
      </c>
      <c r="L3" s="719"/>
      <c r="M3" s="719"/>
      <c r="N3" s="719"/>
      <c r="O3" s="720"/>
      <c r="P3" s="720"/>
      <c r="Q3" s="720"/>
      <c r="R3" s="720"/>
      <c r="S3" s="720"/>
      <c r="T3" s="720"/>
      <c r="U3" s="720"/>
      <c r="V3" s="715"/>
      <c r="W3" s="44"/>
      <c r="X3" s="721" t="s">
        <v>360</v>
      </c>
      <c r="Y3" s="721"/>
      <c r="Z3" s="721"/>
      <c r="AA3" s="722"/>
    </row>
    <row r="4" spans="2:27" ht="105" x14ac:dyDescent="0.25">
      <c r="B4" s="20" t="s">
        <v>361</v>
      </c>
      <c r="C4" s="21" t="s">
        <v>362</v>
      </c>
      <c r="D4" s="21" t="s">
        <v>9</v>
      </c>
      <c r="E4" s="21" t="s">
        <v>363</v>
      </c>
      <c r="F4" s="21" t="s">
        <v>364</v>
      </c>
      <c r="G4" s="21" t="s">
        <v>365</v>
      </c>
      <c r="H4" s="21" t="s">
        <v>366</v>
      </c>
      <c r="I4" s="21" t="s">
        <v>367</v>
      </c>
      <c r="J4" s="40" t="s">
        <v>368</v>
      </c>
      <c r="K4" s="45" t="s">
        <v>369</v>
      </c>
      <c r="L4" s="202" t="s">
        <v>370</v>
      </c>
      <c r="M4" s="202" t="s">
        <v>371</v>
      </c>
      <c r="N4" s="202" t="s">
        <v>372</v>
      </c>
      <c r="O4" s="41" t="s">
        <v>152</v>
      </c>
      <c r="P4" s="41" t="s">
        <v>373</v>
      </c>
      <c r="Q4" s="41" t="s">
        <v>374</v>
      </c>
      <c r="R4" s="42" t="s">
        <v>375</v>
      </c>
      <c r="S4" s="42" t="s">
        <v>376</v>
      </c>
      <c r="T4" s="42" t="s">
        <v>377</v>
      </c>
      <c r="U4" s="43" t="s">
        <v>378</v>
      </c>
      <c r="V4" s="43" t="s">
        <v>379</v>
      </c>
      <c r="W4" s="46" t="s">
        <v>380</v>
      </c>
      <c r="X4" s="31" t="s">
        <v>381</v>
      </c>
      <c r="Y4" s="22" t="s">
        <v>382</v>
      </c>
      <c r="Z4" s="22" t="s">
        <v>383</v>
      </c>
      <c r="AA4" s="23" t="s">
        <v>223</v>
      </c>
    </row>
    <row r="5" spans="2:27" ht="31.5" x14ac:dyDescent="0.25">
      <c r="B5" s="48" t="s">
        <v>23</v>
      </c>
      <c r="C5" s="34"/>
      <c r="D5" s="34" t="s">
        <v>384</v>
      </c>
      <c r="E5" s="34">
        <f>COUNTIF(Table2[Course Title],Table311[[#This Row],[Courses - Planned vs Need (Active Courses)]])</f>
        <v>10</v>
      </c>
      <c r="F5" s="49">
        <v>45</v>
      </c>
      <c r="G5" s="34">
        <f>Table311[[#This Row],[Course Offerings]]*Table311[[#This Row],[Quota per Offering]]</f>
        <v>450</v>
      </c>
      <c r="H5" s="123">
        <v>248</v>
      </c>
      <c r="I5" s="34">
        <f t="shared" ref="I5:I36" si="0">SUM(G5-H5)</f>
        <v>202</v>
      </c>
      <c r="J5" s="301">
        <f>IFERROR(Table311[[#This Row],[Planned Quotas]]/Table311[[#This Row],[Fleet Quota Need]],100%)</f>
        <v>1.814516129032258</v>
      </c>
      <c r="K5" s="35">
        <f>SUMIF(Table2[Course Title],Table311[[#This Row],[Courses - Planned vs Need (Active Courses)]],Table2[Graduates])</f>
        <v>36</v>
      </c>
      <c r="L5" s="35">
        <f>SUMIF(Table2[Course Title],Table311[[#This Row],[Courses - Planned vs Need (Active Courses)]],Table2[Registered])</f>
        <v>95</v>
      </c>
      <c r="M5" s="35">
        <f>SUMIF(Table2[Course Title],Table311[[#This Row],[Courses - Planned vs Need (Active Courses)]],Table2[Waitlisted])</f>
        <v>0</v>
      </c>
      <c r="N5" s="35">
        <f>SUMIF(Table2[Course Title],Table311[[#This Row],[Courses - Planned vs Need (Active Courses)]],Table2[Walk-ins])</f>
        <v>2</v>
      </c>
      <c r="O5" s="36">
        <f>SUMIF(Table2[Course Title],Table311[[#This Row],[Courses - Planned vs Need (Active Courses)]],Table2[No Shows])</f>
        <v>12</v>
      </c>
      <c r="P5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21</v>
      </c>
      <c r="Q5" s="37">
        <f>ROUNDDOWN(Table311[[#This Row],[To date quotas unused (Open quotas+ no shows)]]/Table311[[#This Row],[Quota per Offering]],0)</f>
        <v>0</v>
      </c>
      <c r="R5" s="36">
        <f t="shared" ref="R5:R36" si="1">SUM(G5-K5)</f>
        <v>414</v>
      </c>
      <c r="S5" s="37">
        <f ca="1">COUNTIFS(Table2[Course Title],Table311[[#This Row],[Courses - Planned vs Need (Active Courses)]],Table2[Roster Status],"1",Table2[Remaining Courses],"0")</f>
        <v>1</v>
      </c>
      <c r="T5" s="37">
        <f ca="1">COUNTIFS(Table2[Course Title],Table311[[#This Row],[Courses - Planned vs Need (Active Courses)]],Table2[Remaining Courses],"1")</f>
        <v>8</v>
      </c>
      <c r="U5" s="39">
        <f t="shared" ref="U5:U36" si="2">IFERROR((K5/H5),100%)</f>
        <v>0.14516129032258066</v>
      </c>
      <c r="V5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0.53333333333333333</v>
      </c>
      <c r="W5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0.73333333333333328</v>
      </c>
      <c r="X5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109</v>
      </c>
      <c r="Y5" s="37">
        <f t="shared" ref="Y5:Y36" ca="1" si="3">SUM(S5,T5)*F5</f>
        <v>405</v>
      </c>
      <c r="Z5" s="37">
        <f>Table311[[#This Row],[Fleet Quota Need]]-Table311[[#This Row],[Total Grads]]</f>
        <v>212</v>
      </c>
      <c r="AA5" s="25"/>
    </row>
    <row r="6" spans="2:27" ht="15.75" x14ac:dyDescent="0.25">
      <c r="B6" s="48" t="s">
        <v>28</v>
      </c>
      <c r="C6" s="34"/>
      <c r="D6" s="34" t="s">
        <v>385</v>
      </c>
      <c r="E6" s="34">
        <f>COUNTIF(Table2[Course Title],Table311[[#This Row],[Courses - Planned vs Need (Active Courses)]])</f>
        <v>2</v>
      </c>
      <c r="F6" s="34">
        <v>25</v>
      </c>
      <c r="G6" s="34">
        <f>Table311[[#This Row],[Course Offerings]]*Table311[[#This Row],[Quota per Offering]]</f>
        <v>50</v>
      </c>
      <c r="H6" s="123">
        <v>472</v>
      </c>
      <c r="I6" s="34">
        <f t="shared" si="0"/>
        <v>-422</v>
      </c>
      <c r="J6" s="301">
        <f>IFERROR(Table311[[#This Row],[Planned Quotas]]/Table311[[#This Row],[Fleet Quota Need]],100%)</f>
        <v>0.1059322033898305</v>
      </c>
      <c r="K6" s="35">
        <f>SUMIF(Table2[Course Title],Table311[[#This Row],[Courses - Planned vs Need (Active Courses)]],Table2[Graduates])</f>
        <v>11</v>
      </c>
      <c r="L6" s="61">
        <f>SUMIF(Table2[Course Title],Table311[[#This Row],[Courses - Planned vs Need (Active Courses)]],Table2[Registered])</f>
        <v>18</v>
      </c>
      <c r="M6" s="61">
        <f>SUMIF(Table2[Course Title],Table311[[#This Row],[Courses - Planned vs Need (Active Courses)]],Table2[Waitlisted])</f>
        <v>0</v>
      </c>
      <c r="N6" s="61">
        <f>SUMIF(Table2[Course Title],Table311[[#This Row],[Courses - Planned vs Need (Active Courses)]],Table2[Walk-ins])</f>
        <v>1</v>
      </c>
      <c r="O6" s="36">
        <f>SUMIF(Table2[Course Title],Table311[[#This Row],[Courses - Planned vs Need (Active Courses)]],Table2[No Shows])</f>
        <v>0</v>
      </c>
      <c r="P6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14</v>
      </c>
      <c r="Q6" s="37">
        <f>ROUNDDOWN(Table311[[#This Row],[To date quotas unused (Open quotas+ no shows)]]/Table311[[#This Row],[Quota per Offering]],0)</f>
        <v>0</v>
      </c>
      <c r="R6" s="36">
        <f t="shared" si="1"/>
        <v>39</v>
      </c>
      <c r="S6" s="37">
        <f ca="1">COUNTIFS(Table2[Course Title],Table311[[#This Row],[Courses - Planned vs Need (Active Courses)]],Table2[Roster Status],"1",Table2[Remaining Courses],"0")</f>
        <v>0</v>
      </c>
      <c r="T6" s="37">
        <f ca="1">COUNTIFS(Table2[Course Title],Table311[[#This Row],[Courses - Planned vs Need (Active Courses)]],Table2[Remaining Courses],"1")</f>
        <v>1</v>
      </c>
      <c r="U6" s="39">
        <f t="shared" si="2"/>
        <v>2.3305084745762712E-2</v>
      </c>
      <c r="V6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0.44</v>
      </c>
      <c r="W6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6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22</v>
      </c>
      <c r="Y6" s="37">
        <f t="shared" ca="1" si="3"/>
        <v>25</v>
      </c>
      <c r="Z6" s="37">
        <f>Table311[[#This Row],[Fleet Quota Need]]-Table311[[#This Row],[Total Grads]]</f>
        <v>461</v>
      </c>
      <c r="AA6" s="25"/>
    </row>
    <row r="7" spans="2:27" ht="15.75" x14ac:dyDescent="0.25">
      <c r="B7" s="48" t="s">
        <v>32</v>
      </c>
      <c r="C7" s="34"/>
      <c r="D7" s="34" t="s">
        <v>385</v>
      </c>
      <c r="E7" s="34">
        <f>COUNTIF(Table2[Course Title],Table311[[#This Row],[Courses - Planned vs Need (Active Courses)]])</f>
        <v>4</v>
      </c>
      <c r="F7" s="34">
        <v>30</v>
      </c>
      <c r="G7" s="34">
        <f>Table311[[#This Row],[Course Offerings]]*Table311[[#This Row],[Quota per Offering]]</f>
        <v>120</v>
      </c>
      <c r="H7" s="123">
        <v>216</v>
      </c>
      <c r="I7" s="34">
        <f t="shared" si="0"/>
        <v>-96</v>
      </c>
      <c r="J7" s="301">
        <f>IFERROR(Table311[[#This Row],[Planned Quotas]]/Table311[[#This Row],[Fleet Quota Need]],100%)</f>
        <v>0.55555555555555558</v>
      </c>
      <c r="K7" s="35">
        <f>SUMIF(Table2[Course Title],Table311[[#This Row],[Courses - Planned vs Need (Active Courses)]],Table2[Graduates])</f>
        <v>21</v>
      </c>
      <c r="L7" s="61">
        <f>SUMIF(Table2[Course Title],Table311[[#This Row],[Courses - Planned vs Need (Active Courses)]],Table2[Registered])</f>
        <v>17</v>
      </c>
      <c r="M7" s="61">
        <f>SUMIF(Table2[Course Title],Table311[[#This Row],[Courses - Planned vs Need (Active Courses)]],Table2[Waitlisted])</f>
        <v>0</v>
      </c>
      <c r="N7" s="61">
        <f>SUMIF(Table2[Course Title],Table311[[#This Row],[Courses - Planned vs Need (Active Courses)]],Table2[Walk-ins])</f>
        <v>0</v>
      </c>
      <c r="O7" s="36">
        <f>SUMIF(Table2[Course Title],Table311[[#This Row],[Courses - Planned vs Need (Active Courses)]],Table2[No Shows])</f>
        <v>0</v>
      </c>
      <c r="P7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9</v>
      </c>
      <c r="Q7" s="37">
        <f>ROUNDDOWN(Table311[[#This Row],[To date quotas unused (Open quotas+ no shows)]]/Table311[[#This Row],[Quota per Offering]],0)</f>
        <v>0</v>
      </c>
      <c r="R7" s="36">
        <f t="shared" si="1"/>
        <v>99</v>
      </c>
      <c r="S7" s="37">
        <f ca="1">COUNTIFS(Table2[Course Title],Table311[[#This Row],[Courses - Planned vs Need (Active Courses)]],Table2[Roster Status],"1",Table2[Remaining Courses],"0")</f>
        <v>0</v>
      </c>
      <c r="T7" s="37">
        <f ca="1">COUNTIFS(Table2[Course Title],Table311[[#This Row],[Courses - Planned vs Need (Active Courses)]],Table2[Remaining Courses],"1")</f>
        <v>3</v>
      </c>
      <c r="U7" s="39">
        <f t="shared" si="2"/>
        <v>9.7222222222222224E-2</v>
      </c>
      <c r="V7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0.7</v>
      </c>
      <c r="W7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7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43</v>
      </c>
      <c r="Y7" s="37">
        <f t="shared" ca="1" si="3"/>
        <v>90</v>
      </c>
      <c r="Z7" s="37">
        <f>Table311[[#This Row],[Fleet Quota Need]]-Table311[[#This Row],[Total Grads]]</f>
        <v>195</v>
      </c>
      <c r="AA7" s="25"/>
    </row>
    <row r="8" spans="2:27" ht="15.75" x14ac:dyDescent="0.25">
      <c r="B8" s="48" t="s">
        <v>34</v>
      </c>
      <c r="C8" s="34"/>
      <c r="D8" s="34" t="s">
        <v>385</v>
      </c>
      <c r="E8" s="34">
        <f>COUNTIF(Table2[Course Title],Table311[[#This Row],[Courses - Planned vs Need (Active Courses)]])</f>
        <v>2</v>
      </c>
      <c r="F8" s="34">
        <v>25</v>
      </c>
      <c r="G8" s="34">
        <f>Table311[[#This Row],[Course Offerings]]*Table311[[#This Row],[Quota per Offering]]</f>
        <v>50</v>
      </c>
      <c r="H8" s="123">
        <v>181</v>
      </c>
      <c r="I8" s="34">
        <f t="shared" si="0"/>
        <v>-131</v>
      </c>
      <c r="J8" s="301">
        <f>IFERROR(Table311[[#This Row],[Planned Quotas]]/Table311[[#This Row],[Fleet Quota Need]],100%)</f>
        <v>0.27624309392265195</v>
      </c>
      <c r="K8" s="35">
        <f>SUMIF(Table2[Course Title],Table311[[#This Row],[Courses - Planned vs Need (Active Courses)]],Table2[Graduates])</f>
        <v>4</v>
      </c>
      <c r="L8" s="61">
        <f>SUMIF(Table2[Course Title],Table311[[#This Row],[Courses - Planned vs Need (Active Courses)]],Table2[Registered])</f>
        <v>8</v>
      </c>
      <c r="M8" s="61">
        <f>SUMIF(Table2[Course Title],Table311[[#This Row],[Courses - Planned vs Need (Active Courses)]],Table2[Waitlisted])</f>
        <v>0</v>
      </c>
      <c r="N8" s="61">
        <f>SUMIF(Table2[Course Title],Table311[[#This Row],[Courses - Planned vs Need (Active Courses)]],Table2[Walk-ins])</f>
        <v>0</v>
      </c>
      <c r="O8" s="36">
        <f>SUMIF(Table2[Course Title],Table311[[#This Row],[Courses - Planned vs Need (Active Courses)]],Table2[No Shows])</f>
        <v>0</v>
      </c>
      <c r="P8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21</v>
      </c>
      <c r="Q8" s="37">
        <f>ROUNDDOWN(Table311[[#This Row],[To date quotas unused (Open quotas+ no shows)]]/Table311[[#This Row],[Quota per Offering]],0)</f>
        <v>0</v>
      </c>
      <c r="R8" s="36">
        <f t="shared" si="1"/>
        <v>46</v>
      </c>
      <c r="S8" s="37">
        <f ca="1">COUNTIFS(Table2[Course Title],Table311[[#This Row],[Courses - Planned vs Need (Active Courses)]],Table2[Roster Status],"1",Table2[Remaining Courses],"0")</f>
        <v>0</v>
      </c>
      <c r="T8" s="37">
        <f ca="1">COUNTIFS(Table2[Course Title],Table311[[#This Row],[Courses - Planned vs Need (Active Courses)]],Table2[Remaining Courses],"1")</f>
        <v>1</v>
      </c>
      <c r="U8" s="39">
        <f t="shared" si="2"/>
        <v>2.2099447513812154E-2</v>
      </c>
      <c r="V8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0.16</v>
      </c>
      <c r="W8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8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23</v>
      </c>
      <c r="Y8" s="37">
        <f t="shared" ca="1" si="3"/>
        <v>25</v>
      </c>
      <c r="Z8" s="37">
        <f>Table311[[#This Row],[Fleet Quota Need]]-Table311[[#This Row],[Total Grads]]</f>
        <v>177</v>
      </c>
      <c r="AA8" s="25"/>
    </row>
    <row r="9" spans="2:27" ht="31.5" x14ac:dyDescent="0.25">
      <c r="B9" s="48" t="s">
        <v>36</v>
      </c>
      <c r="C9" s="34"/>
      <c r="D9" s="34" t="s">
        <v>385</v>
      </c>
      <c r="E9" s="34">
        <f>COUNTIF(Table2[Course Title],Table311[[#This Row],[Courses - Planned vs Need (Active Courses)]])</f>
        <v>4</v>
      </c>
      <c r="F9" s="34">
        <v>30</v>
      </c>
      <c r="G9" s="34">
        <f>Table311[[#This Row],[Course Offerings]]*Table311[[#This Row],[Quota per Offering]]</f>
        <v>120</v>
      </c>
      <c r="H9" s="123">
        <v>163</v>
      </c>
      <c r="I9" s="34">
        <f t="shared" si="0"/>
        <v>-43</v>
      </c>
      <c r="J9" s="301">
        <f>IFERROR(Table311[[#This Row],[Planned Quotas]]/Table311[[#This Row],[Fleet Quota Need]],100%)</f>
        <v>0.73619631901840488</v>
      </c>
      <c r="K9" s="35">
        <f>SUMIF(Table2[Course Title],Table311[[#This Row],[Courses - Planned vs Need (Active Courses)]],Table2[Graduates])</f>
        <v>10</v>
      </c>
      <c r="L9" s="61">
        <f>SUMIF(Table2[Course Title],Table311[[#This Row],[Courses - Planned vs Need (Active Courses)]],Table2[Registered])</f>
        <v>10</v>
      </c>
      <c r="M9" s="61">
        <f>SUMIF(Table2[Course Title],Table311[[#This Row],[Courses - Planned vs Need (Active Courses)]],Table2[Waitlisted])</f>
        <v>0</v>
      </c>
      <c r="N9" s="61">
        <f>SUMIF(Table2[Course Title],Table311[[#This Row],[Courses - Planned vs Need (Active Courses)]],Table2[Walk-ins])</f>
        <v>0</v>
      </c>
      <c r="O9" s="36">
        <f>SUMIF(Table2[Course Title],Table311[[#This Row],[Courses - Planned vs Need (Active Courses)]],Table2[No Shows])</f>
        <v>0</v>
      </c>
      <c r="P9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20</v>
      </c>
      <c r="Q9" s="37">
        <f>ROUNDDOWN(Table311[[#This Row],[To date quotas unused (Open quotas+ no shows)]]/Table311[[#This Row],[Quota per Offering]],0)</f>
        <v>0</v>
      </c>
      <c r="R9" s="36">
        <f t="shared" si="1"/>
        <v>110</v>
      </c>
      <c r="S9" s="37">
        <f ca="1">COUNTIFS(Table2[Course Title],Table311[[#This Row],[Courses - Planned vs Need (Active Courses)]],Table2[Roster Status],"1",Table2[Remaining Courses],"0")</f>
        <v>0</v>
      </c>
      <c r="T9" s="37">
        <f ca="1">COUNTIFS(Table2[Course Title],Table311[[#This Row],[Courses - Planned vs Need (Active Courses)]],Table2[Remaining Courses],"1")</f>
        <v>3</v>
      </c>
      <c r="U9" s="39">
        <f t="shared" si="2"/>
        <v>6.1349693251533742E-2</v>
      </c>
      <c r="V9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0.33333333333333331</v>
      </c>
      <c r="W9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9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50</v>
      </c>
      <c r="Y9" s="37">
        <f t="shared" ca="1" si="3"/>
        <v>90</v>
      </c>
      <c r="Z9" s="37">
        <f>Table311[[#This Row],[Fleet Quota Need]]-Table311[[#This Row],[Total Grads]]</f>
        <v>153</v>
      </c>
      <c r="AA9" s="25"/>
    </row>
    <row r="10" spans="2:27" ht="15.75" x14ac:dyDescent="0.25">
      <c r="B10" s="48" t="s">
        <v>38</v>
      </c>
      <c r="C10" s="34"/>
      <c r="D10" s="34" t="s">
        <v>385</v>
      </c>
      <c r="E10" s="34">
        <f>COUNTIF(Table2[Course Title],Table311[[#This Row],[Courses - Planned vs Need (Active Courses)]])</f>
        <v>2</v>
      </c>
      <c r="F10" s="34">
        <v>25</v>
      </c>
      <c r="G10" s="34">
        <f>Table311[[#This Row],[Course Offerings]]*Table311[[#This Row],[Quota per Offering]]</f>
        <v>50</v>
      </c>
      <c r="H10" s="123">
        <v>216</v>
      </c>
      <c r="I10" s="34">
        <f t="shared" si="0"/>
        <v>-166</v>
      </c>
      <c r="J10" s="301">
        <f>IFERROR(Table311[[#This Row],[Planned Quotas]]/Table311[[#This Row],[Fleet Quota Need]],100%)</f>
        <v>0.23148148148148148</v>
      </c>
      <c r="K10" s="35">
        <f>SUMIF(Table2[Course Title],Table311[[#This Row],[Courses - Planned vs Need (Active Courses)]],Table2[Graduates])</f>
        <v>4</v>
      </c>
      <c r="L10" s="61">
        <f>SUMIF(Table2[Course Title],Table311[[#This Row],[Courses - Planned vs Need (Active Courses)]],Table2[Registered])</f>
        <v>9</v>
      </c>
      <c r="M10" s="61">
        <f>SUMIF(Table2[Course Title],Table311[[#This Row],[Courses - Planned vs Need (Active Courses)]],Table2[Waitlisted])</f>
        <v>0</v>
      </c>
      <c r="N10" s="61">
        <f>SUMIF(Table2[Course Title],Table311[[#This Row],[Courses - Planned vs Need (Active Courses)]],Table2[Walk-ins])</f>
        <v>0</v>
      </c>
      <c r="O10" s="36">
        <f>SUMIF(Table2[Course Title],Table311[[#This Row],[Courses - Planned vs Need (Active Courses)]],Table2[No Shows])</f>
        <v>0</v>
      </c>
      <c r="P10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21</v>
      </c>
      <c r="Q10" s="37">
        <f>ROUNDDOWN(Table311[[#This Row],[To date quotas unused (Open quotas+ no shows)]]/Table311[[#This Row],[Quota per Offering]],0)</f>
        <v>0</v>
      </c>
      <c r="R10" s="36">
        <f t="shared" si="1"/>
        <v>46</v>
      </c>
      <c r="S10" s="37">
        <f ca="1">COUNTIFS(Table2[Course Title],Table311[[#This Row],[Courses - Planned vs Need (Active Courses)]],Table2[Roster Status],"1",Table2[Remaining Courses],"0")</f>
        <v>0</v>
      </c>
      <c r="T10" s="37">
        <f ca="1">COUNTIFS(Table2[Course Title],Table311[[#This Row],[Courses - Planned vs Need (Active Courses)]],Table2[Remaining Courses],"1")</f>
        <v>1</v>
      </c>
      <c r="U10" s="39">
        <f t="shared" si="2"/>
        <v>1.8518518518518517E-2</v>
      </c>
      <c r="V10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0.16</v>
      </c>
      <c r="W10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10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24</v>
      </c>
      <c r="Y10" s="37">
        <f t="shared" ca="1" si="3"/>
        <v>25</v>
      </c>
      <c r="Z10" s="37">
        <f>Table311[[#This Row],[Fleet Quota Need]]-Table311[[#This Row],[Total Grads]]</f>
        <v>212</v>
      </c>
      <c r="AA10" s="25"/>
    </row>
    <row r="11" spans="2:27" ht="15.75" x14ac:dyDescent="0.25">
      <c r="B11" s="48" t="s">
        <v>41</v>
      </c>
      <c r="C11" s="34"/>
      <c r="D11" s="34" t="s">
        <v>385</v>
      </c>
      <c r="E11" s="34">
        <f>COUNTIF(Table2[Course Title],Table311[[#This Row],[Courses - Planned vs Need (Active Courses)]])</f>
        <v>4</v>
      </c>
      <c r="F11" s="34">
        <v>30</v>
      </c>
      <c r="G11" s="34">
        <f>Table311[[#This Row],[Course Offerings]]*Table311[[#This Row],[Quota per Offering]]</f>
        <v>120</v>
      </c>
      <c r="H11" s="123">
        <v>127</v>
      </c>
      <c r="I11" s="34">
        <f t="shared" si="0"/>
        <v>-7</v>
      </c>
      <c r="J11" s="301">
        <f>IFERROR(Table311[[#This Row],[Planned Quotas]]/Table311[[#This Row],[Fleet Quota Need]],100%)</f>
        <v>0.94488188976377951</v>
      </c>
      <c r="K11" s="35">
        <f>SUMIF(Table2[Course Title],Table311[[#This Row],[Courses - Planned vs Need (Active Courses)]],Table2[Graduates])</f>
        <v>16</v>
      </c>
      <c r="L11" s="61">
        <f>SUMIF(Table2[Course Title],Table311[[#This Row],[Courses - Planned vs Need (Active Courses)]],Table2[Registered])</f>
        <v>9</v>
      </c>
      <c r="M11" s="61">
        <f>SUMIF(Table2[Course Title],Table311[[#This Row],[Courses - Planned vs Need (Active Courses)]],Table2[Waitlisted])</f>
        <v>0</v>
      </c>
      <c r="N11" s="61">
        <f>SUMIF(Table2[Course Title],Table311[[#This Row],[Courses - Planned vs Need (Active Courses)]],Table2[Walk-ins])</f>
        <v>0</v>
      </c>
      <c r="O11" s="36">
        <f>SUMIF(Table2[Course Title],Table311[[#This Row],[Courses - Planned vs Need (Active Courses)]],Table2[No Shows])</f>
        <v>0</v>
      </c>
      <c r="P11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14</v>
      </c>
      <c r="Q11" s="37">
        <f>ROUNDDOWN(Table311[[#This Row],[To date quotas unused (Open quotas+ no shows)]]/Table311[[#This Row],[Quota per Offering]],0)</f>
        <v>0</v>
      </c>
      <c r="R11" s="36">
        <f t="shared" si="1"/>
        <v>104</v>
      </c>
      <c r="S11" s="37">
        <f ca="1">COUNTIFS(Table2[Course Title],Table311[[#This Row],[Courses - Planned vs Need (Active Courses)]],Table2[Roster Status],"1",Table2[Remaining Courses],"0")</f>
        <v>0</v>
      </c>
      <c r="T11" s="37">
        <f ca="1">COUNTIFS(Table2[Course Title],Table311[[#This Row],[Courses - Planned vs Need (Active Courses)]],Table2[Remaining Courses],"1")</f>
        <v>3</v>
      </c>
      <c r="U11" s="39">
        <f t="shared" si="2"/>
        <v>0.12598425196850394</v>
      </c>
      <c r="V11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0.53333333333333333</v>
      </c>
      <c r="W11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11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51</v>
      </c>
      <c r="Y11" s="37">
        <f t="shared" ca="1" si="3"/>
        <v>90</v>
      </c>
      <c r="Z11" s="37">
        <f>Table311[[#This Row],[Fleet Quota Need]]-Table311[[#This Row],[Total Grads]]</f>
        <v>111</v>
      </c>
      <c r="AA11" s="25"/>
    </row>
    <row r="12" spans="2:27" ht="31.5" x14ac:dyDescent="0.25">
      <c r="B12" s="48" t="s">
        <v>44</v>
      </c>
      <c r="C12" s="34"/>
      <c r="D12" s="34" t="s">
        <v>386</v>
      </c>
      <c r="E12" s="34">
        <f>COUNTIF(Table2[Course Title],Table311[[#This Row],[Courses - Planned vs Need (Active Courses)]])</f>
        <v>10</v>
      </c>
      <c r="F12" s="34">
        <v>45</v>
      </c>
      <c r="G12" s="34">
        <f>Table311[[#This Row],[Course Offerings]]*Table311[[#This Row],[Quota per Offering]]</f>
        <v>450</v>
      </c>
      <c r="H12" s="123">
        <v>409</v>
      </c>
      <c r="I12" s="34">
        <f t="shared" si="0"/>
        <v>41</v>
      </c>
      <c r="J12" s="301">
        <f>IFERROR(Table311[[#This Row],[Planned Quotas]]/Table311[[#This Row],[Fleet Quota Need]],100%)</f>
        <v>1.1002444987775062</v>
      </c>
      <c r="K12" s="35">
        <f>SUMIF(Table2[Course Title],Table311[[#This Row],[Courses - Planned vs Need (Active Courses)]],Table2[Graduates])</f>
        <v>53</v>
      </c>
      <c r="L12" s="61">
        <f>SUMIF(Table2[Course Title],Table311[[#This Row],[Courses - Planned vs Need (Active Courses)]],Table2[Registered])</f>
        <v>117</v>
      </c>
      <c r="M12" s="61">
        <f>SUMIF(Table2[Course Title],Table311[[#This Row],[Courses - Planned vs Need (Active Courses)]],Table2[Waitlisted])</f>
        <v>0</v>
      </c>
      <c r="N12" s="61">
        <f>SUMIF(Table2[Course Title],Table311[[#This Row],[Courses - Planned vs Need (Active Courses)]],Table2[Walk-ins])</f>
        <v>0</v>
      </c>
      <c r="O12" s="36">
        <f>SUMIF(Table2[Course Title],Table311[[#This Row],[Courses - Planned vs Need (Active Courses)]],Table2[No Shows])</f>
        <v>1</v>
      </c>
      <c r="P12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38</v>
      </c>
      <c r="Q12" s="37">
        <f>ROUNDDOWN(Table311[[#This Row],[To date quotas unused (Open quotas+ no shows)]]/Table311[[#This Row],[Quota per Offering]],0)</f>
        <v>0</v>
      </c>
      <c r="R12" s="36">
        <f t="shared" si="1"/>
        <v>397</v>
      </c>
      <c r="S12" s="37">
        <f ca="1">COUNTIFS(Table2[Course Title],Table311[[#This Row],[Courses - Planned vs Need (Active Courses)]],Table2[Roster Status],"1",Table2[Remaining Courses],"0")</f>
        <v>1</v>
      </c>
      <c r="T12" s="37">
        <f ca="1">COUNTIFS(Table2[Course Title],Table311[[#This Row],[Courses - Planned vs Need (Active Courses)]],Table2[Remaining Courses],"1")</f>
        <v>7</v>
      </c>
      <c r="U12" s="39">
        <f t="shared" si="2"/>
        <v>0.1295843520782396</v>
      </c>
      <c r="V12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0.57777777777777772</v>
      </c>
      <c r="W12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0.98888888888888893</v>
      </c>
      <c r="X12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64</v>
      </c>
      <c r="Y12" s="37">
        <f t="shared" ca="1" si="3"/>
        <v>360</v>
      </c>
      <c r="Z12" s="37">
        <f>Table311[[#This Row],[Fleet Quota Need]]-Table311[[#This Row],[Total Grads]]</f>
        <v>356</v>
      </c>
      <c r="AA12" s="25"/>
    </row>
    <row r="13" spans="2:27" ht="31.5" x14ac:dyDescent="0.25">
      <c r="B13" s="53" t="s">
        <v>48</v>
      </c>
      <c r="C13" s="34" t="s">
        <v>387</v>
      </c>
      <c r="D13" s="34" t="s">
        <v>388</v>
      </c>
      <c r="E13" s="34">
        <f>COUNTIF(Table2[Course Title],Table311[[#This Row],[Courses - Planned vs Need (Active Courses)]])</f>
        <v>49</v>
      </c>
      <c r="F13" s="34">
        <v>25</v>
      </c>
      <c r="G13" s="34">
        <f>Table311[[#This Row],[Course Offerings]]*Table311[[#This Row],[Quota per Offering]]</f>
        <v>1225</v>
      </c>
      <c r="H13" s="123">
        <v>2190</v>
      </c>
      <c r="I13" s="34">
        <f t="shared" si="0"/>
        <v>-965</v>
      </c>
      <c r="J13" s="301">
        <f>IFERROR(Table311[[#This Row],[Planned Quotas]]/Table311[[#This Row],[Fleet Quota Need]],100%)</f>
        <v>0.55936073059360736</v>
      </c>
      <c r="K13" s="35">
        <f>SUMIF(Table2[Course Title],Table311[[#This Row],[Courses - Planned vs Need (Active Courses)]],Table2[Graduates])</f>
        <v>100</v>
      </c>
      <c r="L13" s="61">
        <f>SUMIF(Table2[Course Title],Table311[[#This Row],[Courses - Planned vs Need (Active Courses)]],Table2[Registered])</f>
        <v>294</v>
      </c>
      <c r="M13" s="61">
        <f>SUMIF(Table2[Course Title],Table311[[#This Row],[Courses - Planned vs Need (Active Courses)]],Table2[Waitlisted])</f>
        <v>14</v>
      </c>
      <c r="N13" s="61">
        <f>SUMIF(Table2[Course Title],Table311[[#This Row],[Courses - Planned vs Need (Active Courses)]],Table2[Walk-ins])</f>
        <v>13</v>
      </c>
      <c r="O13" s="36">
        <f>SUMIF(Table2[Course Title],Table311[[#This Row],[Courses - Planned vs Need (Active Courses)]],Table2[No Shows])</f>
        <v>2</v>
      </c>
      <c r="P13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27</v>
      </c>
      <c r="Q13" s="37">
        <f>ROUNDDOWN(Table311[[#This Row],[To date quotas unused (Open quotas+ no shows)]]/Table311[[#This Row],[Quota per Offering]],0)</f>
        <v>1</v>
      </c>
      <c r="R13" s="36">
        <f t="shared" si="1"/>
        <v>1125</v>
      </c>
      <c r="S13" s="37">
        <f ca="1">COUNTIFS(Table2[Course Title],Table311[[#This Row],[Courses - Planned vs Need (Active Courses)]],Table2[Roster Status],"1",Table2[Remaining Courses],"0")</f>
        <v>2</v>
      </c>
      <c r="T13" s="37">
        <f ca="1">COUNTIFS(Table2[Course Title],Table311[[#This Row],[Courses - Planned vs Need (Active Courses)]],Table2[Remaining Courses],"1")</f>
        <v>42</v>
      </c>
      <c r="U13" s="39">
        <f t="shared" si="2"/>
        <v>4.5662100456621002E-2</v>
      </c>
      <c r="V13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0.78400000000000003</v>
      </c>
      <c r="W13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0.98399999999999999</v>
      </c>
      <c r="X13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200</v>
      </c>
      <c r="Y13" s="37">
        <f t="shared" ca="1" si="3"/>
        <v>1100</v>
      </c>
      <c r="Z13" s="37">
        <f>Table311[[#This Row],[Fleet Quota Need]]-Table311[[#This Row],[Total Grads]]</f>
        <v>2090</v>
      </c>
      <c r="AA13" s="25"/>
    </row>
    <row r="14" spans="2:27" ht="15.75" x14ac:dyDescent="0.25">
      <c r="B14" s="53" t="s">
        <v>52</v>
      </c>
      <c r="C14" s="34" t="s">
        <v>387</v>
      </c>
      <c r="D14" s="34" t="s">
        <v>385</v>
      </c>
      <c r="E14" s="34">
        <f>COUNTIF(Table2[Course Title],Table311[[#This Row],[Courses - Planned vs Need (Active Courses)]])</f>
        <v>5</v>
      </c>
      <c r="F14" s="34">
        <v>25</v>
      </c>
      <c r="G14" s="34">
        <f>Table311[[#This Row],[Course Offerings]]*Table311[[#This Row],[Quota per Offering]]</f>
        <v>125</v>
      </c>
      <c r="H14" s="123">
        <v>932</v>
      </c>
      <c r="I14" s="34">
        <f t="shared" si="0"/>
        <v>-807</v>
      </c>
      <c r="J14" s="301">
        <f>IFERROR(Table311[[#This Row],[Planned Quotas]]/Table311[[#This Row],[Fleet Quota Need]],100%)</f>
        <v>0.13412017167381973</v>
      </c>
      <c r="K14" s="35">
        <f>SUMIF(Table2[Course Title],Table311[[#This Row],[Courses - Planned vs Need (Active Courses)]],Table2[Graduates])</f>
        <v>4</v>
      </c>
      <c r="L14" s="61">
        <f>SUMIF(Table2[Course Title],Table311[[#This Row],[Courses - Planned vs Need (Active Courses)]],Table2[Registered])</f>
        <v>26</v>
      </c>
      <c r="M14" s="61">
        <f>SUMIF(Table2[Course Title],Table311[[#This Row],[Courses - Planned vs Need (Active Courses)]],Table2[Waitlisted])</f>
        <v>0</v>
      </c>
      <c r="N14" s="61">
        <f>SUMIF(Table2[Course Title],Table311[[#This Row],[Courses - Planned vs Need (Active Courses)]],Table2[Walk-ins])</f>
        <v>0</v>
      </c>
      <c r="O14" s="36">
        <f>SUMIF(Table2[Course Title],Table311[[#This Row],[Courses - Planned vs Need (Active Courses)]],Table2[No Shows])</f>
        <v>0</v>
      </c>
      <c r="P14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21</v>
      </c>
      <c r="Q14" s="37">
        <f>ROUNDDOWN(Table311[[#This Row],[To date quotas unused (Open quotas+ no shows)]]/Table311[[#This Row],[Quota per Offering]],0)</f>
        <v>0</v>
      </c>
      <c r="R14" s="36">
        <f t="shared" si="1"/>
        <v>121</v>
      </c>
      <c r="S14" s="37">
        <f ca="1">COUNTIFS(Table2[Course Title],Table311[[#This Row],[Courses - Planned vs Need (Active Courses)]],Table2[Roster Status],"1",Table2[Remaining Courses],"0")</f>
        <v>0</v>
      </c>
      <c r="T14" s="37">
        <f ca="1">COUNTIFS(Table2[Course Title],Table311[[#This Row],[Courses - Planned vs Need (Active Courses)]],Table2[Remaining Courses],"1")</f>
        <v>4</v>
      </c>
      <c r="U14" s="39">
        <f t="shared" si="2"/>
        <v>4.2918454935622317E-3</v>
      </c>
      <c r="V14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0.16</v>
      </c>
      <c r="W14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14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10</v>
      </c>
      <c r="Y14" s="37">
        <f t="shared" ca="1" si="3"/>
        <v>100</v>
      </c>
      <c r="Z14" s="37">
        <f>Table311[[#This Row],[Fleet Quota Need]]-Table311[[#This Row],[Total Grads]]</f>
        <v>928</v>
      </c>
      <c r="AA14" s="25"/>
    </row>
    <row r="15" spans="2:27" ht="15.75" x14ac:dyDescent="0.25">
      <c r="B15" s="53" t="s">
        <v>55</v>
      </c>
      <c r="C15" s="34" t="s">
        <v>387</v>
      </c>
      <c r="D15" s="34" t="s">
        <v>388</v>
      </c>
      <c r="E15" s="34">
        <f>COUNTIF(Table2[Course Title],Table311[[#This Row],[Courses - Planned vs Need (Active Courses)]])</f>
        <v>5</v>
      </c>
      <c r="F15" s="34">
        <v>35</v>
      </c>
      <c r="G15" s="34">
        <f>Table311[[#This Row],[Course Offerings]]*Table311[[#This Row],[Quota per Offering]]</f>
        <v>175</v>
      </c>
      <c r="H15" s="123">
        <v>475</v>
      </c>
      <c r="I15" s="34">
        <f t="shared" si="0"/>
        <v>-300</v>
      </c>
      <c r="J15" s="301">
        <f>IFERROR(Table311[[#This Row],[Planned Quotas]]/Table311[[#This Row],[Fleet Quota Need]],100%)</f>
        <v>0.36842105263157893</v>
      </c>
      <c r="K15" s="35">
        <f>SUMIF(Table2[Course Title],Table311[[#This Row],[Courses - Planned vs Need (Active Courses)]],Table2[Graduates])</f>
        <v>0</v>
      </c>
      <c r="L15" s="61">
        <f>SUMIF(Table2[Course Title],Table311[[#This Row],[Courses - Planned vs Need (Active Courses)]],Table2[Registered])</f>
        <v>0</v>
      </c>
      <c r="M15" s="61">
        <f>SUMIF(Table2[Course Title],Table311[[#This Row],[Courses - Planned vs Need (Active Courses)]],Table2[Waitlisted])</f>
        <v>0</v>
      </c>
      <c r="N15" s="61">
        <f>SUMIF(Table2[Course Title],Table311[[#This Row],[Courses - Planned vs Need (Active Courses)]],Table2[Walk-ins])</f>
        <v>0</v>
      </c>
      <c r="O15" s="36">
        <f>SUMIF(Table2[Course Title],Table311[[#This Row],[Courses - Planned vs Need (Active Courses)]],Table2[No Shows])</f>
        <v>0</v>
      </c>
      <c r="P15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15" s="37">
        <f>ROUNDDOWN(Table311[[#This Row],[To date quotas unused (Open quotas+ no shows)]]/Table311[[#This Row],[Quota per Offering]],0)</f>
        <v>0</v>
      </c>
      <c r="R15" s="36">
        <f t="shared" si="1"/>
        <v>175</v>
      </c>
      <c r="S15" s="37">
        <f ca="1">COUNTIFS(Table2[Course Title],Table311[[#This Row],[Courses - Planned vs Need (Active Courses)]],Table2[Roster Status],"1",Table2[Remaining Courses],"0")</f>
        <v>0</v>
      </c>
      <c r="T15" s="37">
        <f ca="1">COUNTIFS(Table2[Course Title],Table311[[#This Row],[Courses - Planned vs Need (Active Courses)]],Table2[Remaining Courses],"1")</f>
        <v>5</v>
      </c>
      <c r="U15" s="39">
        <f t="shared" si="2"/>
        <v>0</v>
      </c>
      <c r="V15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5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5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0</v>
      </c>
      <c r="Y15" s="37">
        <f t="shared" ca="1" si="3"/>
        <v>175</v>
      </c>
      <c r="Z15" s="37">
        <f>Table311[[#This Row],[Fleet Quota Need]]-Table311[[#This Row],[Total Grads]]</f>
        <v>475</v>
      </c>
      <c r="AA15" s="25"/>
    </row>
    <row r="16" spans="2:27" ht="15.75" x14ac:dyDescent="0.25">
      <c r="B16" s="48" t="s">
        <v>58</v>
      </c>
      <c r="C16" s="34"/>
      <c r="D16" s="34" t="s">
        <v>385</v>
      </c>
      <c r="E16" s="34">
        <f>COUNTIF(Table2[Course Title],Table311[[#This Row],[Courses - Planned vs Need (Active Courses)]])</f>
        <v>3</v>
      </c>
      <c r="F16" s="34">
        <v>25</v>
      </c>
      <c r="G16" s="34">
        <f>Table311[[#This Row],[Course Offerings]]*Table311[[#This Row],[Quota per Offering]]</f>
        <v>75</v>
      </c>
      <c r="H16" s="123">
        <v>185</v>
      </c>
      <c r="I16" s="34">
        <f t="shared" si="0"/>
        <v>-110</v>
      </c>
      <c r="J16" s="301">
        <f>IFERROR(Table311[[#This Row],[Planned Quotas]]/Table311[[#This Row],[Fleet Quota Need]],100%)</f>
        <v>0.40540540540540543</v>
      </c>
      <c r="K16" s="35">
        <f>SUMIF(Table2[Course Title],Table311[[#This Row],[Courses - Planned vs Need (Active Courses)]],Table2[Graduates])</f>
        <v>0</v>
      </c>
      <c r="L16" s="61">
        <f>SUMIF(Table2[Course Title],Table311[[#This Row],[Courses - Planned vs Need (Active Courses)]],Table2[Registered])</f>
        <v>8</v>
      </c>
      <c r="M16" s="61">
        <f>SUMIF(Table2[Course Title],Table311[[#This Row],[Courses - Planned vs Need (Active Courses)]],Table2[Waitlisted])</f>
        <v>0</v>
      </c>
      <c r="N16" s="61">
        <f>SUMIF(Table2[Course Title],Table311[[#This Row],[Courses - Planned vs Need (Active Courses)]],Table2[Walk-ins])</f>
        <v>0</v>
      </c>
      <c r="O16" s="36">
        <f>SUMIF(Table2[Course Title],Table311[[#This Row],[Courses - Planned vs Need (Active Courses)]],Table2[No Shows])</f>
        <v>0</v>
      </c>
      <c r="P16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16" s="37">
        <f>ROUNDDOWN(Table311[[#This Row],[To date quotas unused (Open quotas+ no shows)]]/Table311[[#This Row],[Quota per Offering]],0)</f>
        <v>0</v>
      </c>
      <c r="R16" s="36">
        <f t="shared" si="1"/>
        <v>75</v>
      </c>
      <c r="S16" s="37">
        <f ca="1">COUNTIFS(Table2[Course Title],Table311[[#This Row],[Courses - Planned vs Need (Active Courses)]],Table2[Roster Status],"1",Table2[Remaining Courses],"0")</f>
        <v>0</v>
      </c>
      <c r="T16" s="37">
        <f ca="1">COUNTIFS(Table2[Course Title],Table311[[#This Row],[Courses - Planned vs Need (Active Courses)]],Table2[Remaining Courses],"1")</f>
        <v>3</v>
      </c>
      <c r="U16" s="39">
        <f t="shared" si="2"/>
        <v>0</v>
      </c>
      <c r="V16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6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6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42</v>
      </c>
      <c r="Y16" s="37">
        <f t="shared" ca="1" si="3"/>
        <v>75</v>
      </c>
      <c r="Z16" s="37">
        <f>Table311[[#This Row],[Fleet Quota Need]]-Table311[[#This Row],[Total Grads]]</f>
        <v>185</v>
      </c>
      <c r="AA16" s="25"/>
    </row>
    <row r="17" spans="2:27" ht="15.75" x14ac:dyDescent="0.25">
      <c r="B17" s="53" t="s">
        <v>61</v>
      </c>
      <c r="C17" s="34" t="s">
        <v>387</v>
      </c>
      <c r="D17" s="34" t="s">
        <v>384</v>
      </c>
      <c r="E17" s="34">
        <f>COUNTIF(Table2[Course Title],Table311[[#This Row],[Courses - Planned vs Need (Active Courses)]])</f>
        <v>31</v>
      </c>
      <c r="F17" s="34">
        <v>40</v>
      </c>
      <c r="G17" s="34">
        <f>Table311[[#This Row],[Course Offerings]]*Table311[[#This Row],[Quota per Offering]]</f>
        <v>1240</v>
      </c>
      <c r="H17" s="123">
        <v>1008</v>
      </c>
      <c r="I17" s="34">
        <f t="shared" si="0"/>
        <v>232</v>
      </c>
      <c r="J17" s="301">
        <f>IFERROR(Table311[[#This Row],[Planned Quotas]]/Table311[[#This Row],[Fleet Quota Need]],100%)</f>
        <v>1.2301587301587302</v>
      </c>
      <c r="K17" s="35">
        <f>SUMIF(Table2[Course Title],Table311[[#This Row],[Courses - Planned vs Need (Active Courses)]],Table2[Graduates])</f>
        <v>98</v>
      </c>
      <c r="L17" s="61">
        <f>SUMIF(Table2[Course Title],Table311[[#This Row],[Courses - Planned vs Need (Active Courses)]],Table2[Registered])</f>
        <v>165</v>
      </c>
      <c r="M17" s="61">
        <f>SUMIF(Table2[Course Title],Table311[[#This Row],[Courses - Planned vs Need (Active Courses)]],Table2[Waitlisted])</f>
        <v>0</v>
      </c>
      <c r="N17" s="61">
        <f>SUMIF(Table2[Course Title],Table311[[#This Row],[Courses - Planned vs Need (Active Courses)]],Table2[Walk-ins])</f>
        <v>10</v>
      </c>
      <c r="O17" s="36">
        <f>SUMIF(Table2[Course Title],Table311[[#This Row],[Courses - Planned vs Need (Active Courses)]],Table2[No Shows])</f>
        <v>8</v>
      </c>
      <c r="P17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29</v>
      </c>
      <c r="Q17" s="37">
        <f>ROUNDDOWN(Table311[[#This Row],[To date quotas unused (Open quotas+ no shows)]]/Table311[[#This Row],[Quota per Offering]],0)</f>
        <v>0</v>
      </c>
      <c r="R17" s="36">
        <f t="shared" si="1"/>
        <v>1142</v>
      </c>
      <c r="S17" s="37">
        <f ca="1">COUNTIFS(Table2[Course Title],Table311[[#This Row],[Courses - Planned vs Need (Active Courses)]],Table2[Roster Status],"1",Table2[Remaining Courses],"0")</f>
        <v>0</v>
      </c>
      <c r="T17" s="37">
        <f ca="1">COUNTIFS(Table2[Course Title],Table311[[#This Row],[Courses - Planned vs Need (Active Courses)]],Table2[Remaining Courses],"1")</f>
        <v>28</v>
      </c>
      <c r="U17" s="39">
        <f t="shared" si="2"/>
        <v>9.7222222222222224E-2</v>
      </c>
      <c r="V17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0.7583333333333333</v>
      </c>
      <c r="W17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0.93333333333333335</v>
      </c>
      <c r="X17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300</v>
      </c>
      <c r="Y17" s="37">
        <f t="shared" ca="1" si="3"/>
        <v>1120</v>
      </c>
      <c r="Z17" s="37">
        <f>Table311[[#This Row],[Fleet Quota Need]]-Table311[[#This Row],[Total Grads]]</f>
        <v>910</v>
      </c>
      <c r="AA17" s="25"/>
    </row>
    <row r="18" spans="2:27" ht="31.5" x14ac:dyDescent="0.25">
      <c r="B18" s="53" t="s">
        <v>63</v>
      </c>
      <c r="C18" s="34" t="s">
        <v>387</v>
      </c>
      <c r="D18" s="34" t="s">
        <v>384</v>
      </c>
      <c r="E18" s="34">
        <f>COUNTIF(Table2[Course Title],Table311[[#This Row],[Courses - Planned vs Need (Active Courses)]])</f>
        <v>20</v>
      </c>
      <c r="F18" s="34">
        <v>40</v>
      </c>
      <c r="G18" s="34">
        <f>Table311[[#This Row],[Course Offerings]]*Table311[[#This Row],[Quota per Offering]]</f>
        <v>800</v>
      </c>
      <c r="H18" s="123">
        <v>1204</v>
      </c>
      <c r="I18" s="34">
        <f t="shared" si="0"/>
        <v>-404</v>
      </c>
      <c r="J18" s="301">
        <f>IFERROR(Table311[[#This Row],[Planned Quotas]]/Table311[[#This Row],[Fleet Quota Need]],100%)</f>
        <v>0.66445182724252494</v>
      </c>
      <c r="K18" s="35">
        <f>SUMIF(Table2[Course Title],Table311[[#This Row],[Courses - Planned vs Need (Active Courses)]],Table2[Graduates])</f>
        <v>0</v>
      </c>
      <c r="L18" s="61">
        <f>SUMIF(Table2[Course Title],Table311[[#This Row],[Courses - Planned vs Need (Active Courses)]],Table2[Registered])</f>
        <v>18</v>
      </c>
      <c r="M18" s="61">
        <f>SUMIF(Table2[Course Title],Table311[[#This Row],[Courses - Planned vs Need (Active Courses)]],Table2[Waitlisted])</f>
        <v>0</v>
      </c>
      <c r="N18" s="61">
        <f>SUMIF(Table2[Course Title],Table311[[#This Row],[Courses - Planned vs Need (Active Courses)]],Table2[Walk-ins])</f>
        <v>0</v>
      </c>
      <c r="O18" s="36">
        <f>SUMIF(Table2[Course Title],Table311[[#This Row],[Courses - Planned vs Need (Active Courses)]],Table2[No Shows])</f>
        <v>0</v>
      </c>
      <c r="P18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18" s="37">
        <f>ROUNDDOWN(Table311[[#This Row],[To date quotas unused (Open quotas+ no shows)]]/Table311[[#This Row],[Quota per Offering]],0)</f>
        <v>0</v>
      </c>
      <c r="R18" s="36">
        <f t="shared" si="1"/>
        <v>800</v>
      </c>
      <c r="S18" s="37">
        <f ca="1">COUNTIFS(Table2[Course Title],Table311[[#This Row],[Courses - Planned vs Need (Active Courses)]],Table2[Roster Status],"1",Table2[Remaining Courses],"0")</f>
        <v>0</v>
      </c>
      <c r="T18" s="37">
        <f ca="1">COUNTIFS(Table2[Course Title],Table311[[#This Row],[Courses - Planned vs Need (Active Courses)]],Table2[Remaining Courses],"1")</f>
        <v>20</v>
      </c>
      <c r="U18" s="39">
        <f t="shared" si="2"/>
        <v>0</v>
      </c>
      <c r="V18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18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18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62</v>
      </c>
      <c r="Y18" s="37">
        <f t="shared" ca="1" si="3"/>
        <v>800</v>
      </c>
      <c r="Z18" s="37">
        <f>Table311[[#This Row],[Fleet Quota Need]]-Table311[[#This Row],[Total Grads]]</f>
        <v>1204</v>
      </c>
      <c r="AA18" s="25"/>
    </row>
    <row r="19" spans="2:27" ht="31.5" x14ac:dyDescent="0.25">
      <c r="B19" s="48" t="s">
        <v>65</v>
      </c>
      <c r="C19" s="34"/>
      <c r="D19" s="34" t="s">
        <v>388</v>
      </c>
      <c r="E19" s="34">
        <f>COUNTIF(Table2[Course Title],Table311[[#This Row],[Courses - Planned vs Need (Active Courses)]])</f>
        <v>21</v>
      </c>
      <c r="F19" s="34">
        <v>45</v>
      </c>
      <c r="G19" s="34">
        <f>Table311[[#This Row],[Course Offerings]]*Table311[[#This Row],[Quota per Offering]]</f>
        <v>945</v>
      </c>
      <c r="H19" s="123">
        <v>1231</v>
      </c>
      <c r="I19" s="34">
        <f t="shared" si="0"/>
        <v>-286</v>
      </c>
      <c r="J19" s="301">
        <f>IFERROR(Table311[[#This Row],[Planned Quotas]]/Table311[[#This Row],[Fleet Quota Need]],100%)</f>
        <v>0.76766856214459789</v>
      </c>
      <c r="K19" s="35">
        <f>SUMIF(Table2[Course Title],Table311[[#This Row],[Courses - Planned vs Need (Active Courses)]],Table2[Graduates])</f>
        <v>103</v>
      </c>
      <c r="L19" s="61">
        <f>SUMIF(Table2[Course Title],Table311[[#This Row],[Courses - Planned vs Need (Active Courses)]],Table2[Registered])</f>
        <v>214</v>
      </c>
      <c r="M19" s="61">
        <f>SUMIF(Table2[Course Title],Table311[[#This Row],[Courses - Planned vs Need (Active Courses)]],Table2[Waitlisted])</f>
        <v>1</v>
      </c>
      <c r="N19" s="61">
        <f>SUMIF(Table2[Course Title],Table311[[#This Row],[Courses - Planned vs Need (Active Courses)]],Table2[Walk-ins])</f>
        <v>1</v>
      </c>
      <c r="O19" s="36">
        <f>SUMIF(Table2[Course Title],Table311[[#This Row],[Courses - Planned vs Need (Active Courses)]],Table2[No Shows])</f>
        <v>16</v>
      </c>
      <c r="P19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46</v>
      </c>
      <c r="Q19" s="37">
        <f>ROUNDDOWN(Table311[[#This Row],[To date quotas unused (Open quotas+ no shows)]]/Table311[[#This Row],[Quota per Offering]],0)</f>
        <v>1</v>
      </c>
      <c r="R19" s="36">
        <f t="shared" si="1"/>
        <v>842</v>
      </c>
      <c r="S19" s="37">
        <f ca="1">COUNTIFS(Table2[Course Title],Table311[[#This Row],[Courses - Planned vs Need (Active Courses)]],Table2[Roster Status],"1",Table2[Remaining Courses],"0")</f>
        <v>0</v>
      </c>
      <c r="T19" s="37">
        <f ca="1">COUNTIFS(Table2[Course Title],Table311[[#This Row],[Courses - Planned vs Need (Active Courses)]],Table2[Remaining Courses],"1")</f>
        <v>18</v>
      </c>
      <c r="U19" s="39">
        <f t="shared" si="2"/>
        <v>8.3671811535337121E-2</v>
      </c>
      <c r="V19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0.65925925925925921</v>
      </c>
      <c r="W19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0.88148148148148153</v>
      </c>
      <c r="X19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180</v>
      </c>
      <c r="Y19" s="37">
        <f t="shared" ca="1" si="3"/>
        <v>810</v>
      </c>
      <c r="Z19" s="37">
        <f>Table311[[#This Row],[Fleet Quota Need]]-Table311[[#This Row],[Total Grads]]</f>
        <v>1128</v>
      </c>
      <c r="AA19" s="25"/>
    </row>
    <row r="20" spans="2:27" ht="15.75" x14ac:dyDescent="0.25">
      <c r="B20" s="53" t="s">
        <v>68</v>
      </c>
      <c r="C20" s="34" t="s">
        <v>387</v>
      </c>
      <c r="D20" s="34" t="s">
        <v>388</v>
      </c>
      <c r="E20" s="34">
        <f>COUNTIF(Table2[Course Title],Table311[[#This Row],[Courses - Planned vs Need (Active Courses)]])</f>
        <v>1</v>
      </c>
      <c r="F20" s="34">
        <v>30</v>
      </c>
      <c r="G20" s="34">
        <f>Table311[[#This Row],[Course Offerings]]*Table311[[#This Row],[Quota per Offering]]</f>
        <v>30</v>
      </c>
      <c r="H20" s="123">
        <v>822</v>
      </c>
      <c r="I20" s="34">
        <f t="shared" si="0"/>
        <v>-792</v>
      </c>
      <c r="J20" s="301">
        <f>IFERROR(Table311[[#This Row],[Planned Quotas]]/Table311[[#This Row],[Fleet Quota Need]],100%)</f>
        <v>3.6496350364963501E-2</v>
      </c>
      <c r="K20" s="35">
        <f>SUMIF(Table2[Course Title],Table311[[#This Row],[Courses - Planned vs Need (Active Courses)]],Table2[Graduates])</f>
        <v>3</v>
      </c>
      <c r="L20" s="61">
        <f>SUMIF(Table2[Course Title],Table311[[#This Row],[Courses - Planned vs Need (Active Courses)]],Table2[Registered])</f>
        <v>10</v>
      </c>
      <c r="M20" s="61">
        <f>SUMIF(Table2[Course Title],Table311[[#This Row],[Courses - Planned vs Need (Active Courses)]],Table2[Waitlisted])</f>
        <v>0</v>
      </c>
      <c r="N20" s="61">
        <f>SUMIF(Table2[Course Title],Table311[[#This Row],[Courses - Planned vs Need (Active Courses)]],Table2[Walk-ins])</f>
        <v>1</v>
      </c>
      <c r="O20" s="36">
        <f>SUMIF(Table2[Course Title],Table311[[#This Row],[Courses - Planned vs Need (Active Courses)]],Table2[No Shows])</f>
        <v>0</v>
      </c>
      <c r="P20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27</v>
      </c>
      <c r="Q20" s="37">
        <f>ROUNDDOWN(Table311[[#This Row],[To date quotas unused (Open quotas+ no shows)]]/Table311[[#This Row],[Quota per Offering]],0)</f>
        <v>0</v>
      </c>
      <c r="R20" s="36">
        <f t="shared" si="1"/>
        <v>27</v>
      </c>
      <c r="S20" s="37">
        <f>COUNTIFS(Table2[Course Title],Table311[[#This Row],[Courses - Planned vs Need (Active Courses)]],Table2[Roster Status],"1",Table2[Remaining Courses],"0")</f>
        <v>0</v>
      </c>
      <c r="T20" s="37">
        <f ca="1">COUNTIFS(Table2[Course Title],Table311[[#This Row],[Courses - Planned vs Need (Active Courses)]],Table2[Remaining Courses],"1")</f>
        <v>0</v>
      </c>
      <c r="U20" s="39">
        <f t="shared" si="2"/>
        <v>3.6496350364963502E-3</v>
      </c>
      <c r="V20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0.1</v>
      </c>
      <c r="W20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20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0</v>
      </c>
      <c r="Y20" s="37">
        <f t="shared" ca="1" si="3"/>
        <v>0</v>
      </c>
      <c r="Z20" s="37">
        <f>Table311[[#This Row],[Fleet Quota Need]]-Table311[[#This Row],[Total Grads]]</f>
        <v>819</v>
      </c>
      <c r="AA20" s="25"/>
    </row>
    <row r="21" spans="2:27" ht="31.5" x14ac:dyDescent="0.25">
      <c r="B21" s="48" t="s">
        <v>71</v>
      </c>
      <c r="C21" s="34"/>
      <c r="D21" s="34" t="s">
        <v>388</v>
      </c>
      <c r="E21" s="34">
        <f>COUNTIF(Table2[Course Title],Table311[[#This Row],[Courses - Planned vs Need (Active Courses)]])</f>
        <v>17</v>
      </c>
      <c r="F21" s="34">
        <v>45</v>
      </c>
      <c r="G21" s="34">
        <f>Table311[[#This Row],[Course Offerings]]*Table311[[#This Row],[Quota per Offering]]</f>
        <v>765</v>
      </c>
      <c r="H21" s="123">
        <v>900</v>
      </c>
      <c r="I21" s="34">
        <f t="shared" si="0"/>
        <v>-135</v>
      </c>
      <c r="J21" s="301">
        <f>IFERROR(Table311[[#This Row],[Planned Quotas]]/Table311[[#This Row],[Fleet Quota Need]],100%)</f>
        <v>0.85</v>
      </c>
      <c r="K21" s="35">
        <f>SUMIF(Table2[Course Title],Table311[[#This Row],[Courses - Planned vs Need (Active Courses)]],Table2[Graduates])</f>
        <v>78</v>
      </c>
      <c r="L21" s="61">
        <f>SUMIF(Table2[Course Title],Table311[[#This Row],[Courses - Planned vs Need (Active Courses)]],Table2[Registered])</f>
        <v>179</v>
      </c>
      <c r="M21" s="61">
        <f>SUMIF(Table2[Course Title],Table311[[#This Row],[Courses - Planned vs Need (Active Courses)]],Table2[Waitlisted])</f>
        <v>0</v>
      </c>
      <c r="N21" s="61">
        <f>SUMIF(Table2[Course Title],Table311[[#This Row],[Courses - Planned vs Need (Active Courses)]],Table2[Walk-ins])</f>
        <v>2</v>
      </c>
      <c r="O21" s="36">
        <f>SUMIF(Table2[Course Title],Table311[[#This Row],[Courses - Planned vs Need (Active Courses)]],Table2[No Shows])</f>
        <v>7</v>
      </c>
      <c r="P21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109</v>
      </c>
      <c r="Q21" s="37">
        <f>ROUNDDOWN(Table311[[#This Row],[To date quotas unused (Open quotas+ no shows)]]/Table311[[#This Row],[Quota per Offering]],0)</f>
        <v>2</v>
      </c>
      <c r="R21" s="36">
        <f t="shared" si="1"/>
        <v>687</v>
      </c>
      <c r="S21" s="37">
        <f ca="1">COUNTIFS(Table2[Course Title],Table311[[#This Row],[Courses - Planned vs Need (Active Courses)]],Table2[Roster Status],"1",Table2[Remaining Courses],"0")</f>
        <v>1</v>
      </c>
      <c r="T21" s="37">
        <f ca="1">COUNTIFS(Table2[Course Title],Table311[[#This Row],[Courses - Planned vs Need (Active Courses)]],Table2[Remaining Courses],"1")</f>
        <v>12</v>
      </c>
      <c r="U21" s="39">
        <f t="shared" si="2"/>
        <v>8.666666666666667E-2</v>
      </c>
      <c r="V21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0.39444444444444443</v>
      </c>
      <c r="W21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0.96111111111111114</v>
      </c>
      <c r="X21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171</v>
      </c>
      <c r="Y21" s="37">
        <f t="shared" ca="1" si="3"/>
        <v>585</v>
      </c>
      <c r="Z21" s="37">
        <f>Table311[[#This Row],[Fleet Quota Need]]-Table311[[#This Row],[Total Grads]]</f>
        <v>822</v>
      </c>
      <c r="AA21" s="25"/>
    </row>
    <row r="22" spans="2:27" ht="47.25" x14ac:dyDescent="0.25">
      <c r="B22" s="48" t="s">
        <v>74</v>
      </c>
      <c r="C22" s="34"/>
      <c r="D22" s="34" t="s">
        <v>386</v>
      </c>
      <c r="E22" s="34">
        <f>COUNTIF(Table2[Course Title],Table311[[#This Row],[Courses - Planned vs Need (Active Courses)]])</f>
        <v>20</v>
      </c>
      <c r="F22" s="34">
        <v>45</v>
      </c>
      <c r="G22" s="34">
        <f>Table311[[#This Row],[Course Offerings]]*Table311[[#This Row],[Quota per Offering]]</f>
        <v>900</v>
      </c>
      <c r="H22" s="123">
        <v>893</v>
      </c>
      <c r="I22" s="34">
        <f t="shared" si="0"/>
        <v>7</v>
      </c>
      <c r="J22" s="301">
        <f>IFERROR(Table311[[#This Row],[Planned Quotas]]/Table311[[#This Row],[Fleet Quota Need]],100%)</f>
        <v>1.0078387458006719</v>
      </c>
      <c r="K22" s="35">
        <f>SUMIF(Table2[Course Title],Table311[[#This Row],[Courses - Planned vs Need (Active Courses)]],Table2[Graduates])</f>
        <v>178</v>
      </c>
      <c r="L22" s="61">
        <f>SUMIF(Table2[Course Title],Table311[[#This Row],[Courses - Planned vs Need (Active Courses)]],Table2[Registered])</f>
        <v>301</v>
      </c>
      <c r="M22" s="61">
        <f>SUMIF(Table2[Course Title],Table311[[#This Row],[Courses - Planned vs Need (Active Courses)]],Table2[Waitlisted])</f>
        <v>6</v>
      </c>
      <c r="N22" s="61">
        <f>SUMIF(Table2[Course Title],Table311[[#This Row],[Courses - Planned vs Need (Active Courses)]],Table2[Walk-ins])</f>
        <v>7</v>
      </c>
      <c r="O22" s="36">
        <f>SUMIF(Table2[Course Title],Table311[[#This Row],[Courses - Planned vs Need (Active Courses)]],Table2[No Shows])</f>
        <v>13</v>
      </c>
      <c r="P22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60</v>
      </c>
      <c r="Q22" s="37">
        <f>ROUNDDOWN(Table311[[#This Row],[To date quotas unused (Open quotas+ no shows)]]/Table311[[#This Row],[Quota per Offering]],0)</f>
        <v>1</v>
      </c>
      <c r="R22" s="36">
        <f t="shared" si="1"/>
        <v>722</v>
      </c>
      <c r="S22" s="37">
        <f ca="1">COUNTIFS(Table2[Course Title],Table311[[#This Row],[Courses - Planned vs Need (Active Courses)]],Table2[Roster Status],"1",Table2[Remaining Courses],"0")</f>
        <v>0</v>
      </c>
      <c r="T22" s="37">
        <f ca="1">COUNTIFS(Table2[Course Title],Table311[[#This Row],[Courses - Planned vs Need (Active Courses)]],Table2[Remaining Courses],"1")</f>
        <v>15</v>
      </c>
      <c r="U22" s="39">
        <f t="shared" si="2"/>
        <v>0.19932810750279956</v>
      </c>
      <c r="V22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0.73333333333333328</v>
      </c>
      <c r="W22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0.94222222222222218</v>
      </c>
      <c r="X22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138</v>
      </c>
      <c r="Y22" s="37">
        <f t="shared" ca="1" si="3"/>
        <v>675</v>
      </c>
      <c r="Z22" s="37">
        <f>Table311[[#This Row],[Fleet Quota Need]]-Table311[[#This Row],[Total Grads]]</f>
        <v>715</v>
      </c>
      <c r="AA22" s="25"/>
    </row>
    <row r="23" spans="2:27" ht="31.5" x14ac:dyDescent="0.25">
      <c r="B23" s="53" t="s">
        <v>77</v>
      </c>
      <c r="C23" s="34" t="s">
        <v>387</v>
      </c>
      <c r="D23" s="34" t="s">
        <v>384</v>
      </c>
      <c r="E23" s="34">
        <f>COUNTIF(Table2[Course Title],Table311[[#This Row],[Courses - Planned vs Need (Active Courses)]])</f>
        <v>35</v>
      </c>
      <c r="F23" s="34">
        <v>25</v>
      </c>
      <c r="G23" s="34">
        <f>Table311[[#This Row],[Course Offerings]]*Table311[[#This Row],[Quota per Offering]]</f>
        <v>875</v>
      </c>
      <c r="H23" s="123">
        <v>1279</v>
      </c>
      <c r="I23" s="34">
        <f t="shared" si="0"/>
        <v>-404</v>
      </c>
      <c r="J23" s="301">
        <f>IFERROR(Table311[[#This Row],[Planned Quotas]]/Table311[[#This Row],[Fleet Quota Need]],100%)</f>
        <v>0.68412822517591865</v>
      </c>
      <c r="K23" s="35">
        <f>SUMIF(Table2[Course Title],Table311[[#This Row],[Courses - Planned vs Need (Active Courses)]],Table2[Graduates])</f>
        <v>0</v>
      </c>
      <c r="L23" s="61">
        <f>SUMIF(Table2[Course Title],Table311[[#This Row],[Courses - Planned vs Need (Active Courses)]],Table2[Registered])</f>
        <v>44</v>
      </c>
      <c r="M23" s="61">
        <f>SUMIF(Table2[Course Title],Table311[[#This Row],[Courses - Planned vs Need (Active Courses)]],Table2[Waitlisted])</f>
        <v>0</v>
      </c>
      <c r="N23" s="61">
        <f>SUMIF(Table2[Course Title],Table311[[#This Row],[Courses - Planned vs Need (Active Courses)]],Table2[Walk-ins])</f>
        <v>0</v>
      </c>
      <c r="O23" s="36">
        <f>SUMIF(Table2[Course Title],Table311[[#This Row],[Courses - Planned vs Need (Active Courses)]],Table2[No Shows])</f>
        <v>0</v>
      </c>
      <c r="P23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3" s="37">
        <f>ROUNDDOWN(Table311[[#This Row],[To date quotas unused (Open quotas+ no shows)]]/Table311[[#This Row],[Quota per Offering]],0)</f>
        <v>0</v>
      </c>
      <c r="R23" s="36">
        <f t="shared" si="1"/>
        <v>875</v>
      </c>
      <c r="S23" s="37">
        <f ca="1">COUNTIFS(Table2[Course Title],Table311[[#This Row],[Courses - Planned vs Need (Active Courses)]],Table2[Roster Status],"1",Table2[Remaining Courses],"0")</f>
        <v>0</v>
      </c>
      <c r="T23" s="37">
        <f ca="1">COUNTIFS(Table2[Course Title],Table311[[#This Row],[Courses - Planned vs Need (Active Courses)]],Table2[Remaining Courses],"1")</f>
        <v>35</v>
      </c>
      <c r="U23" s="39">
        <f t="shared" si="2"/>
        <v>0</v>
      </c>
      <c r="V23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3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3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331</v>
      </c>
      <c r="Y23" s="37">
        <f t="shared" ca="1" si="3"/>
        <v>875</v>
      </c>
      <c r="Z23" s="37">
        <f>Table311[[#This Row],[Fleet Quota Need]]-Table311[[#This Row],[Total Grads]]</f>
        <v>1279</v>
      </c>
      <c r="AA23" s="25"/>
    </row>
    <row r="24" spans="2:27" ht="47.25" x14ac:dyDescent="0.25">
      <c r="B24" s="53" t="s">
        <v>80</v>
      </c>
      <c r="C24" s="34" t="s">
        <v>387</v>
      </c>
      <c r="D24" s="34" t="s">
        <v>384</v>
      </c>
      <c r="E24" s="34">
        <f>COUNTIF(Table2[Course Title],Table311[[#This Row],[Courses - Planned vs Need (Active Courses)]])</f>
        <v>27</v>
      </c>
      <c r="F24" s="34">
        <v>30</v>
      </c>
      <c r="G24" s="34">
        <f>Table311[[#This Row],[Course Offerings]]*Table311[[#This Row],[Quota per Offering]]</f>
        <v>810</v>
      </c>
      <c r="H24" s="123">
        <v>1501</v>
      </c>
      <c r="I24" s="34">
        <f t="shared" si="0"/>
        <v>-691</v>
      </c>
      <c r="J24" s="301">
        <f>IFERROR(Table311[[#This Row],[Planned Quotas]]/Table311[[#This Row],[Fleet Quota Need]],100%)</f>
        <v>0.53964023984010656</v>
      </c>
      <c r="K24" s="35">
        <f>SUMIF(Table2[Course Title],Table311[[#This Row],[Courses - Planned vs Need (Active Courses)]],Table2[Graduates])</f>
        <v>29</v>
      </c>
      <c r="L24" s="61">
        <f>SUMIF(Table2[Course Title],Table311[[#This Row],[Courses - Planned vs Need (Active Courses)]],Table2[Registered])</f>
        <v>76</v>
      </c>
      <c r="M24" s="61">
        <f>SUMIF(Table2[Course Title],Table311[[#This Row],[Courses - Planned vs Need (Active Courses)]],Table2[Waitlisted])</f>
        <v>0</v>
      </c>
      <c r="N24" s="61">
        <f>SUMIF(Table2[Course Title],Table311[[#This Row],[Courses - Planned vs Need (Active Courses)]],Table2[Walk-ins])</f>
        <v>1</v>
      </c>
      <c r="O24" s="36">
        <f>SUMIF(Table2[Course Title],Table311[[#This Row],[Courses - Planned vs Need (Active Courses)]],Table2[No Shows])</f>
        <v>0</v>
      </c>
      <c r="P24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31</v>
      </c>
      <c r="Q24" s="37">
        <f>ROUNDDOWN(Table311[[#This Row],[To date quotas unused (Open quotas+ no shows)]]/Table311[[#This Row],[Quota per Offering]],0)</f>
        <v>1</v>
      </c>
      <c r="R24" s="36">
        <f t="shared" si="1"/>
        <v>781</v>
      </c>
      <c r="S24" s="37">
        <f ca="1">COUNTIFS(Table2[Course Title],Table311[[#This Row],[Courses - Planned vs Need (Active Courses)]],Table2[Roster Status],"1",Table2[Remaining Courses],"0")</f>
        <v>0</v>
      </c>
      <c r="T24" s="37">
        <f ca="1">COUNTIFS(Table2[Course Title],Table311[[#This Row],[Courses - Planned vs Need (Active Courses)]],Table2[Remaining Courses],"1")</f>
        <v>25</v>
      </c>
      <c r="U24" s="39">
        <f t="shared" si="2"/>
        <v>1.9320453031312457E-2</v>
      </c>
      <c r="V24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0.48333333333333334</v>
      </c>
      <c r="W24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24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280</v>
      </c>
      <c r="Y24" s="37">
        <f t="shared" ca="1" si="3"/>
        <v>750</v>
      </c>
      <c r="Z24" s="37">
        <f>Table311[[#This Row],[Fleet Quota Need]]-Table311[[#This Row],[Total Grads]]</f>
        <v>1472</v>
      </c>
      <c r="AA24" s="25"/>
    </row>
    <row r="25" spans="2:27" ht="31.5" x14ac:dyDescent="0.25">
      <c r="B25" s="53" t="s">
        <v>83</v>
      </c>
      <c r="C25" s="34" t="s">
        <v>387</v>
      </c>
      <c r="D25" s="34" t="s">
        <v>384</v>
      </c>
      <c r="E25" s="34">
        <f>COUNTIF(Table2[Course Title],Table311[[#This Row],[Courses - Planned vs Need (Active Courses)]])</f>
        <v>0</v>
      </c>
      <c r="F25" s="34">
        <v>30</v>
      </c>
      <c r="G25" s="34">
        <f>Table311[[#This Row],[Course Offerings]]*Table311[[#This Row],[Quota per Offering]]</f>
        <v>0</v>
      </c>
      <c r="H25" s="123">
        <v>658</v>
      </c>
      <c r="I25" s="34">
        <f t="shared" si="0"/>
        <v>-658</v>
      </c>
      <c r="J25" s="301">
        <f>IFERROR(Table311[[#This Row],[Planned Quotas]]/Table311[[#This Row],[Fleet Quota Need]],100%)</f>
        <v>0</v>
      </c>
      <c r="K25" s="35">
        <f>SUMIF(Table2[Course Title],Table311[[#This Row],[Courses - Planned vs Need (Active Courses)]],Table2[Graduates])</f>
        <v>0</v>
      </c>
      <c r="L25" s="61">
        <f>SUMIF(Table2[Course Title],Table311[[#This Row],[Courses - Planned vs Need (Active Courses)]],Table2[Registered])</f>
        <v>0</v>
      </c>
      <c r="M25" s="61">
        <f>SUMIF(Table2[Course Title],Table311[[#This Row],[Courses - Planned vs Need (Active Courses)]],Table2[Waitlisted])</f>
        <v>0</v>
      </c>
      <c r="N25" s="61">
        <f>SUMIF(Table2[Course Title],Table311[[#This Row],[Courses - Planned vs Need (Active Courses)]],Table2[Walk-ins])</f>
        <v>0</v>
      </c>
      <c r="O25" s="36">
        <f>SUMIF(Table2[Course Title],Table311[[#This Row],[Courses - Planned vs Need (Active Courses)]],Table2[No Shows])</f>
        <v>0</v>
      </c>
      <c r="P25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5" s="37">
        <f>ROUNDDOWN(Table311[[#This Row],[To date quotas unused (Open quotas+ no shows)]]/Table311[[#This Row],[Quota per Offering]],0)</f>
        <v>0</v>
      </c>
      <c r="R25" s="36">
        <f t="shared" si="1"/>
        <v>0</v>
      </c>
      <c r="S25" s="37">
        <f>COUNTIFS(Table2[Course Title],Table311[[#This Row],[Courses - Planned vs Need (Active Courses)]],Table2[Roster Status],"1",Table2[Remaining Courses],"0")</f>
        <v>0</v>
      </c>
      <c r="T25" s="37">
        <f>COUNTIFS(Table2[Course Title],Table311[[#This Row],[Courses - Planned vs Need (Active Courses)]],Table2[Remaining Courses],"1")</f>
        <v>0</v>
      </c>
      <c r="U25" s="39">
        <f t="shared" si="2"/>
        <v>0</v>
      </c>
      <c r="V25" s="39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5" s="47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5" s="61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0</v>
      </c>
      <c r="Y25" s="37">
        <f t="shared" si="3"/>
        <v>0</v>
      </c>
      <c r="Z25" s="37">
        <f>Table311[[#This Row],[Fleet Quota Need]]-Table311[[#This Row],[Total Grads]]</f>
        <v>658</v>
      </c>
      <c r="AA25" s="25"/>
    </row>
    <row r="26" spans="2:27" ht="31.5" x14ac:dyDescent="0.25">
      <c r="B26" s="53" t="s">
        <v>86</v>
      </c>
      <c r="C26" s="34" t="s">
        <v>387</v>
      </c>
      <c r="D26" s="34" t="s">
        <v>384</v>
      </c>
      <c r="E26" s="34">
        <f>COUNTIF(Table2[Course Title],Table311[[#This Row],[Courses - Planned vs Need (Active Courses)]])</f>
        <v>0</v>
      </c>
      <c r="F26" s="34">
        <v>30</v>
      </c>
      <c r="G26" s="34">
        <f>Table311[[#This Row],[Course Offerings]]*Table311[[#This Row],[Quota per Offering]]</f>
        <v>0</v>
      </c>
      <c r="H26" s="123">
        <v>744</v>
      </c>
      <c r="I26" s="34">
        <f t="shared" si="0"/>
        <v>-744</v>
      </c>
      <c r="J26" s="301">
        <f>IFERROR(Table311[[#This Row],[Planned Quotas]]/Table311[[#This Row],[Fleet Quota Need]],100%)</f>
        <v>0</v>
      </c>
      <c r="K26" s="35">
        <f>SUMIF(Table2[Course Title],Table311[[#This Row],[Courses - Planned vs Need (Active Courses)]],Table2[Graduates])</f>
        <v>0</v>
      </c>
      <c r="L26" s="61">
        <f>SUMIF(Table2[Course Title],Table311[[#This Row],[Courses - Planned vs Need (Active Courses)]],Table2[Registered])</f>
        <v>0</v>
      </c>
      <c r="M26" s="61">
        <f>SUMIF(Table2[Course Title],Table311[[#This Row],[Courses - Planned vs Need (Active Courses)]],Table2[Waitlisted])</f>
        <v>0</v>
      </c>
      <c r="N26" s="61">
        <f>SUMIF(Table2[Course Title],Table311[[#This Row],[Courses - Planned vs Need (Active Courses)]],Table2[Walk-ins])</f>
        <v>0</v>
      </c>
      <c r="O26" s="36">
        <f>SUMIF(Table2[Course Title],Table311[[#This Row],[Courses - Planned vs Need (Active Courses)]],Table2[No Shows])</f>
        <v>0</v>
      </c>
      <c r="P26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6" s="37">
        <f>ROUNDDOWN(Table311[[#This Row],[To date quotas unused (Open quotas+ no shows)]]/Table311[[#This Row],[Quota per Offering]],0)</f>
        <v>0</v>
      </c>
      <c r="R26" s="36">
        <f t="shared" si="1"/>
        <v>0</v>
      </c>
      <c r="S26" s="37">
        <f>COUNTIFS(Table2[Course Title],Table311[[#This Row],[Courses - Planned vs Need (Active Courses)]],Table2[Roster Status],"1",Table2[Remaining Courses],"0")</f>
        <v>0</v>
      </c>
      <c r="T26" s="37">
        <f>COUNTIFS(Table2[Course Title],Table311[[#This Row],[Courses - Planned vs Need (Active Courses)]],Table2[Remaining Courses],"1")</f>
        <v>0</v>
      </c>
      <c r="U26" s="39">
        <f t="shared" si="2"/>
        <v>0</v>
      </c>
      <c r="V26" s="39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6" s="47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6" s="61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0</v>
      </c>
      <c r="Y26" s="37">
        <f t="shared" si="3"/>
        <v>0</v>
      </c>
      <c r="Z26" s="37">
        <f>Table311[[#This Row],[Fleet Quota Need]]-Table311[[#This Row],[Total Grads]]</f>
        <v>744</v>
      </c>
      <c r="AA26" s="25"/>
    </row>
    <row r="27" spans="2:27" ht="31.5" x14ac:dyDescent="0.25">
      <c r="B27" s="53" t="s">
        <v>89</v>
      </c>
      <c r="C27" s="34" t="s">
        <v>387</v>
      </c>
      <c r="D27" s="34" t="s">
        <v>384</v>
      </c>
      <c r="E27" s="34">
        <f>COUNTIF(Table2[Course Title],Table311[[#This Row],[Courses - Planned vs Need (Active Courses)]])</f>
        <v>0</v>
      </c>
      <c r="F27" s="34">
        <v>30</v>
      </c>
      <c r="G27" s="34">
        <f>Table311[[#This Row],[Course Offerings]]*Table311[[#This Row],[Quota per Offering]]</f>
        <v>0</v>
      </c>
      <c r="H27" s="123">
        <v>612</v>
      </c>
      <c r="I27" s="34">
        <f t="shared" si="0"/>
        <v>-612</v>
      </c>
      <c r="J27" s="301">
        <f>IFERROR(Table311[[#This Row],[Planned Quotas]]/Table311[[#This Row],[Fleet Quota Need]],100%)</f>
        <v>0</v>
      </c>
      <c r="K27" s="35">
        <f>SUMIF(Table2[Course Title],Table311[[#This Row],[Courses - Planned vs Need (Active Courses)]],Table2[Graduates])</f>
        <v>0</v>
      </c>
      <c r="L27" s="61">
        <f>SUMIF(Table2[Course Title],Table311[[#This Row],[Courses - Planned vs Need (Active Courses)]],Table2[Registered])</f>
        <v>0</v>
      </c>
      <c r="M27" s="61">
        <f>SUMIF(Table2[Course Title],Table311[[#This Row],[Courses - Planned vs Need (Active Courses)]],Table2[Waitlisted])</f>
        <v>0</v>
      </c>
      <c r="N27" s="61">
        <f>SUMIF(Table2[Course Title],Table311[[#This Row],[Courses - Planned vs Need (Active Courses)]],Table2[Walk-ins])</f>
        <v>0</v>
      </c>
      <c r="O27" s="36">
        <f>SUMIF(Table2[Course Title],Table311[[#This Row],[Courses - Planned vs Need (Active Courses)]],Table2[No Shows])</f>
        <v>0</v>
      </c>
      <c r="P27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7" s="37">
        <f>ROUNDDOWN(Table311[[#This Row],[To date quotas unused (Open quotas+ no shows)]]/Table311[[#This Row],[Quota per Offering]],0)</f>
        <v>0</v>
      </c>
      <c r="R27" s="36">
        <f t="shared" si="1"/>
        <v>0</v>
      </c>
      <c r="S27" s="37">
        <f>COUNTIFS(Table2[Course Title],Table311[[#This Row],[Courses - Planned vs Need (Active Courses)]],Table2[Roster Status],"1",Table2[Remaining Courses],"0")</f>
        <v>0</v>
      </c>
      <c r="T27" s="37">
        <f>COUNTIFS(Table2[Course Title],Table311[[#This Row],[Courses - Planned vs Need (Active Courses)]],Table2[Remaining Courses],"1")</f>
        <v>0</v>
      </c>
      <c r="U27" s="39">
        <f t="shared" si="2"/>
        <v>0</v>
      </c>
      <c r="V27" s="39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7" s="47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7" s="61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0</v>
      </c>
      <c r="Y27" s="37">
        <f t="shared" si="3"/>
        <v>0</v>
      </c>
      <c r="Z27" s="37">
        <f>Table311[[#This Row],[Fleet Quota Need]]-Table311[[#This Row],[Total Grads]]</f>
        <v>612</v>
      </c>
      <c r="AA27" s="25"/>
    </row>
    <row r="28" spans="2:27" ht="15.75" x14ac:dyDescent="0.25">
      <c r="B28" s="48" t="s">
        <v>92</v>
      </c>
      <c r="C28" s="34"/>
      <c r="D28" s="34" t="s">
        <v>385</v>
      </c>
      <c r="E28" s="34">
        <f>COUNTIF(Table2[Course Title],Table311[[#This Row],[Courses - Planned vs Need (Active Courses)]])</f>
        <v>7</v>
      </c>
      <c r="F28" s="34">
        <v>25</v>
      </c>
      <c r="G28" s="34">
        <f>Table311[[#This Row],[Course Offerings]]*Table311[[#This Row],[Quota per Offering]]</f>
        <v>175</v>
      </c>
      <c r="H28" s="123">
        <v>1044</v>
      </c>
      <c r="I28" s="34">
        <f t="shared" si="0"/>
        <v>-869</v>
      </c>
      <c r="J28" s="301">
        <f>IFERROR(Table311[[#This Row],[Planned Quotas]]/Table311[[#This Row],[Fleet Quota Need]],100%)</f>
        <v>0.16762452107279693</v>
      </c>
      <c r="K28" s="35">
        <f>SUMIF(Table2[Course Title],Table311[[#This Row],[Courses - Planned vs Need (Active Courses)]],Table2[Graduates])</f>
        <v>0</v>
      </c>
      <c r="L28" s="61">
        <f>SUMIF(Table2[Course Title],Table311[[#This Row],[Courses - Planned vs Need (Active Courses)]],Table2[Registered])</f>
        <v>18</v>
      </c>
      <c r="M28" s="61">
        <f>SUMIF(Table2[Course Title],Table311[[#This Row],[Courses - Planned vs Need (Active Courses)]],Table2[Waitlisted])</f>
        <v>0</v>
      </c>
      <c r="N28" s="61">
        <f>SUMIF(Table2[Course Title],Table311[[#This Row],[Courses - Planned vs Need (Active Courses)]],Table2[Walk-ins])</f>
        <v>0</v>
      </c>
      <c r="O28" s="36">
        <f>SUMIF(Table2[Course Title],Table311[[#This Row],[Courses - Planned vs Need (Active Courses)]],Table2[No Shows])</f>
        <v>0</v>
      </c>
      <c r="P28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28" s="37">
        <f>ROUNDDOWN(Table311[[#This Row],[To date quotas unused (Open quotas+ no shows)]]/Table311[[#This Row],[Quota per Offering]],0)</f>
        <v>0</v>
      </c>
      <c r="R28" s="36">
        <f t="shared" si="1"/>
        <v>175</v>
      </c>
      <c r="S28" s="37">
        <f ca="1">COUNTIFS(Table2[Course Title],Table311[[#This Row],[Courses - Planned vs Need (Active Courses)]],Table2[Roster Status],"1",Table2[Remaining Courses],"0")</f>
        <v>0</v>
      </c>
      <c r="T28" s="37">
        <f ca="1">COUNTIFS(Table2[Course Title],Table311[[#This Row],[Courses - Planned vs Need (Active Courses)]],Table2[Remaining Courses],"1")</f>
        <v>7</v>
      </c>
      <c r="U28" s="39">
        <f t="shared" si="2"/>
        <v>0</v>
      </c>
      <c r="V28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28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28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32</v>
      </c>
      <c r="Y28" s="37">
        <f t="shared" ca="1" si="3"/>
        <v>175</v>
      </c>
      <c r="Z28" s="37">
        <f>Table311[[#This Row],[Fleet Quota Need]]-Table311[[#This Row],[Total Grads]]</f>
        <v>1044</v>
      </c>
      <c r="AA28" s="25"/>
    </row>
    <row r="29" spans="2:27" ht="31.5" x14ac:dyDescent="0.25">
      <c r="B29" s="48" t="s">
        <v>94</v>
      </c>
      <c r="C29" s="34"/>
      <c r="D29" s="34" t="s">
        <v>385</v>
      </c>
      <c r="E29" s="34">
        <f>COUNTIF(Table2[Course Title],Table311[[#This Row],[Courses - Planned vs Need (Active Courses)]])</f>
        <v>21</v>
      </c>
      <c r="F29" s="34">
        <v>45</v>
      </c>
      <c r="G29" s="34">
        <f>Table311[[#This Row],[Course Offerings]]*Table311[[#This Row],[Quota per Offering]]</f>
        <v>945</v>
      </c>
      <c r="H29" s="123">
        <v>1113</v>
      </c>
      <c r="I29" s="34">
        <f t="shared" si="0"/>
        <v>-168</v>
      </c>
      <c r="J29" s="301">
        <f>IFERROR(Table311[[#This Row],[Planned Quotas]]/Table311[[#This Row],[Fleet Quota Need]],100%)</f>
        <v>0.84905660377358494</v>
      </c>
      <c r="K29" s="35">
        <f>SUMIF(Table2[Course Title],Table311[[#This Row],[Courses - Planned vs Need (Active Courses)]],Table2[Graduates])</f>
        <v>108</v>
      </c>
      <c r="L29" s="61">
        <f>SUMIF(Table2[Course Title],Table311[[#This Row],[Courses - Planned vs Need (Active Courses)]],Table2[Registered])</f>
        <v>282</v>
      </c>
      <c r="M29" s="61">
        <f>SUMIF(Table2[Course Title],Table311[[#This Row],[Courses - Planned vs Need (Active Courses)]],Table2[Waitlisted])</f>
        <v>16</v>
      </c>
      <c r="N29" s="61">
        <f>SUMIF(Table2[Course Title],Table311[[#This Row],[Courses - Planned vs Need (Active Courses)]],Table2[Walk-ins])</f>
        <v>0</v>
      </c>
      <c r="O29" s="36">
        <f>SUMIF(Table2[Course Title],Table311[[#This Row],[Courses - Planned vs Need (Active Courses)]],Table2[No Shows])</f>
        <v>0</v>
      </c>
      <c r="P29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23</v>
      </c>
      <c r="Q29" s="37">
        <f>ROUNDDOWN(Table311[[#This Row],[To date quotas unused (Open quotas+ no shows)]]/Table311[[#This Row],[Quota per Offering]],0)</f>
        <v>0</v>
      </c>
      <c r="R29" s="36">
        <f t="shared" si="1"/>
        <v>837</v>
      </c>
      <c r="S29" s="37">
        <f ca="1">COUNTIFS(Table2[Course Title],Table311[[#This Row],[Courses - Planned vs Need (Active Courses)]],Table2[Roster Status],"1",Table2[Remaining Courses],"0")</f>
        <v>1</v>
      </c>
      <c r="T29" s="37">
        <f ca="1">COUNTIFS(Table2[Course Title],Table311[[#This Row],[Courses - Planned vs Need (Active Courses)]],Table2[Remaining Courses],"1")</f>
        <v>17</v>
      </c>
      <c r="U29" s="39">
        <f t="shared" si="2"/>
        <v>9.7035040431266845E-2</v>
      </c>
      <c r="V29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0.82962962962962961</v>
      </c>
      <c r="W29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29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120</v>
      </c>
      <c r="Y29" s="37">
        <f t="shared" ca="1" si="3"/>
        <v>810</v>
      </c>
      <c r="Z29" s="37">
        <f>Table311[[#This Row],[Fleet Quota Need]]-Table311[[#This Row],[Total Grads]]</f>
        <v>1005</v>
      </c>
      <c r="AA29" s="25"/>
    </row>
    <row r="30" spans="2:27" ht="31.5" x14ac:dyDescent="0.25">
      <c r="B30" s="48" t="s">
        <v>97</v>
      </c>
      <c r="C30" s="34"/>
      <c r="D30" s="34" t="s">
        <v>385</v>
      </c>
      <c r="E30" s="34">
        <f>COUNTIF(Table2[Course Title],Table311[[#This Row],[Courses - Planned vs Need (Active Courses)]])</f>
        <v>9</v>
      </c>
      <c r="F30" s="34">
        <v>45</v>
      </c>
      <c r="G30" s="34">
        <f>Table311[[#This Row],[Course Offerings]]*Table311[[#This Row],[Quota per Offering]]</f>
        <v>405</v>
      </c>
      <c r="H30" s="123">
        <v>674</v>
      </c>
      <c r="I30" s="34">
        <f t="shared" si="0"/>
        <v>-269</v>
      </c>
      <c r="J30" s="301">
        <f>IFERROR(Table311[[#This Row],[Planned Quotas]]/Table311[[#This Row],[Fleet Quota Need]],100%)</f>
        <v>0.60089020771513357</v>
      </c>
      <c r="K30" s="35">
        <f>SUMIF(Table2[Course Title],Table311[[#This Row],[Courses - Planned vs Need (Active Courses)]],Table2[Graduates])</f>
        <v>29</v>
      </c>
      <c r="L30" s="61">
        <f>SUMIF(Table2[Course Title],Table311[[#This Row],[Courses - Planned vs Need (Active Courses)]],Table2[Registered])</f>
        <v>54</v>
      </c>
      <c r="M30" s="61">
        <f>SUMIF(Table2[Course Title],Table311[[#This Row],[Courses - Planned vs Need (Active Courses)]],Table2[Waitlisted])</f>
        <v>0</v>
      </c>
      <c r="N30" s="61">
        <f>SUMIF(Table2[Course Title],Table311[[#This Row],[Courses - Planned vs Need (Active Courses)]],Table2[Walk-ins])</f>
        <v>1</v>
      </c>
      <c r="O30" s="36">
        <f>SUMIF(Table2[Course Title],Table311[[#This Row],[Courses - Planned vs Need (Active Courses)]],Table2[No Shows])</f>
        <v>1</v>
      </c>
      <c r="P30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62</v>
      </c>
      <c r="Q30" s="37">
        <f>ROUNDDOWN(Table311[[#This Row],[To date quotas unused (Open quotas+ no shows)]]/Table311[[#This Row],[Quota per Offering]],0)</f>
        <v>1</v>
      </c>
      <c r="R30" s="36">
        <f t="shared" si="1"/>
        <v>376</v>
      </c>
      <c r="S30" s="37">
        <f ca="1">COUNTIFS(Table2[Course Title],Table311[[#This Row],[Courses - Planned vs Need (Active Courses)]],Table2[Roster Status],"1",Table2[Remaining Courses],"0")</f>
        <v>0</v>
      </c>
      <c r="T30" s="37">
        <f ca="1">COUNTIFS(Table2[Course Title],Table311[[#This Row],[Courses - Planned vs Need (Active Courses)]],Table2[Remaining Courses],"1")</f>
        <v>7</v>
      </c>
      <c r="U30" s="39">
        <f t="shared" si="2"/>
        <v>4.3026706231454007E-2</v>
      </c>
      <c r="V30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0.31111111111111112</v>
      </c>
      <c r="W30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0.98888888888888893</v>
      </c>
      <c r="X30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73</v>
      </c>
      <c r="Y30" s="37">
        <f t="shared" ca="1" si="3"/>
        <v>315</v>
      </c>
      <c r="Z30" s="37">
        <f>Table311[[#This Row],[Fleet Quota Need]]-Table311[[#This Row],[Total Grads]]</f>
        <v>645</v>
      </c>
      <c r="AA30" s="25"/>
    </row>
    <row r="31" spans="2:27" ht="31.5" x14ac:dyDescent="0.25">
      <c r="B31" s="48" t="s">
        <v>100</v>
      </c>
      <c r="C31" s="34"/>
      <c r="D31" s="34" t="s">
        <v>388</v>
      </c>
      <c r="E31" s="34">
        <f>COUNTIF(Table2[Course Title],Table311[[#This Row],[Courses - Planned vs Need (Active Courses)]])</f>
        <v>23</v>
      </c>
      <c r="F31" s="34">
        <v>45</v>
      </c>
      <c r="G31" s="34">
        <f>Table311[[#This Row],[Course Offerings]]*Table311[[#This Row],[Quota per Offering]]</f>
        <v>1035</v>
      </c>
      <c r="H31" s="123">
        <v>1112</v>
      </c>
      <c r="I31" s="34">
        <f t="shared" si="0"/>
        <v>-77</v>
      </c>
      <c r="J31" s="301">
        <f>IFERROR(Table311[[#This Row],[Planned Quotas]]/Table311[[#This Row],[Fleet Quota Need]],100%)</f>
        <v>0.93075539568345322</v>
      </c>
      <c r="K31" s="35">
        <f>SUMIF(Table2[Course Title],Table311[[#This Row],[Courses - Planned vs Need (Active Courses)]],Table2[Graduates])</f>
        <v>155</v>
      </c>
      <c r="L31" s="61">
        <f>SUMIF(Table2[Course Title],Table311[[#This Row],[Courses - Planned vs Need (Active Courses)]],Table2[Registered])</f>
        <v>327</v>
      </c>
      <c r="M31" s="61">
        <f>SUMIF(Table2[Course Title],Table311[[#This Row],[Courses - Planned vs Need (Active Courses)]],Table2[Waitlisted])</f>
        <v>2</v>
      </c>
      <c r="N31" s="61">
        <f>SUMIF(Table2[Course Title],Table311[[#This Row],[Courses - Planned vs Need (Active Courses)]],Table2[Walk-ins])</f>
        <v>2</v>
      </c>
      <c r="O31" s="36">
        <f>SUMIF(Table2[Course Title],Table311[[#This Row],[Courses - Planned vs Need (Active Courses)]],Table2[No Shows])</f>
        <v>20</v>
      </c>
      <c r="P31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89</v>
      </c>
      <c r="Q31" s="37">
        <f>ROUNDDOWN(Table311[[#This Row],[To date quotas unused (Open quotas+ no shows)]]/Table311[[#This Row],[Quota per Offering]],0)</f>
        <v>1</v>
      </c>
      <c r="R31" s="36">
        <f t="shared" si="1"/>
        <v>880</v>
      </c>
      <c r="S31" s="37">
        <f ca="1">COUNTIFS(Table2[Course Title],Table311[[#This Row],[Courses - Planned vs Need (Active Courses)]],Table2[Roster Status],"1",Table2[Remaining Courses],"0")</f>
        <v>1</v>
      </c>
      <c r="T31" s="37">
        <f ca="1">COUNTIFS(Table2[Course Title],Table311[[#This Row],[Courses - Planned vs Need (Active Courses)]],Table2[Remaining Courses],"1")</f>
        <v>17</v>
      </c>
      <c r="U31" s="39">
        <f t="shared" si="2"/>
        <v>0.13938848920863309</v>
      </c>
      <c r="V31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0.60444444444444445</v>
      </c>
      <c r="W31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0.91111111111111109</v>
      </c>
      <c r="X31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176</v>
      </c>
      <c r="Y31" s="37">
        <f t="shared" ca="1" si="3"/>
        <v>810</v>
      </c>
      <c r="Z31" s="37">
        <f>Table311[[#This Row],[Fleet Quota Need]]-Table311[[#This Row],[Total Grads]]</f>
        <v>957</v>
      </c>
      <c r="AA31" s="25"/>
    </row>
    <row r="32" spans="2:27" ht="31.5" x14ac:dyDescent="0.25">
      <c r="B32" s="53" t="s">
        <v>103</v>
      </c>
      <c r="C32" s="34" t="s">
        <v>387</v>
      </c>
      <c r="D32" s="34" t="s">
        <v>388</v>
      </c>
      <c r="E32" s="34">
        <f>COUNTIF(Table2[Course Title],Table311[[#This Row],[Courses - Planned vs Need (Active Courses)]])</f>
        <v>0</v>
      </c>
      <c r="F32" s="34">
        <v>30</v>
      </c>
      <c r="G32" s="34">
        <f>Table311[[#This Row],[Course Offerings]]*Table311[[#This Row],[Quota per Offering]]</f>
        <v>0</v>
      </c>
      <c r="H32" s="123">
        <v>698</v>
      </c>
      <c r="I32" s="34">
        <f t="shared" si="0"/>
        <v>-698</v>
      </c>
      <c r="J32" s="301">
        <f>IFERROR(Table311[[#This Row],[Planned Quotas]]/Table311[[#This Row],[Fleet Quota Need]],100%)</f>
        <v>0</v>
      </c>
      <c r="K32" s="35">
        <f>SUMIF(Table2[Course Title],Table311[[#This Row],[Courses - Planned vs Need (Active Courses)]],Table2[Graduates])</f>
        <v>0</v>
      </c>
      <c r="L32" s="61">
        <f>SUMIF(Table2[Course Title],Table311[[#This Row],[Courses - Planned vs Need (Active Courses)]],Table2[Registered])</f>
        <v>0</v>
      </c>
      <c r="M32" s="61">
        <f>SUMIF(Table2[Course Title],Table311[[#This Row],[Courses - Planned vs Need (Active Courses)]],Table2[Waitlisted])</f>
        <v>0</v>
      </c>
      <c r="N32" s="61">
        <f>SUMIF(Table2[Course Title],Table311[[#This Row],[Courses - Planned vs Need (Active Courses)]],Table2[Walk-ins])</f>
        <v>0</v>
      </c>
      <c r="O32" s="36">
        <f>SUMIF(Table2[Course Title],Table311[[#This Row],[Courses - Planned vs Need (Active Courses)]],Table2[No Shows])</f>
        <v>0</v>
      </c>
      <c r="P32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32" s="37">
        <f>ROUNDDOWN(Table311[[#This Row],[To date quotas unused (Open quotas+ no shows)]]/Table311[[#This Row],[Quota per Offering]],0)</f>
        <v>0</v>
      </c>
      <c r="R32" s="36">
        <f t="shared" si="1"/>
        <v>0</v>
      </c>
      <c r="S32" s="37">
        <f>COUNTIFS(Table2[Course Title],Table311[[#This Row],[Courses - Planned vs Need (Active Courses)]],Table2[Roster Status],"1",Table2[Remaining Courses],"0")</f>
        <v>0</v>
      </c>
      <c r="T32" s="37">
        <f>COUNTIFS(Table2[Course Title],Table311[[#This Row],[Courses - Planned vs Need (Active Courses)]],Table2[Remaining Courses],"1")</f>
        <v>0</v>
      </c>
      <c r="U32" s="39">
        <f t="shared" si="2"/>
        <v>0</v>
      </c>
      <c r="V32" s="39">
        <f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2" s="47">
        <f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2" s="61">
        <f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0</v>
      </c>
      <c r="Y32" s="37">
        <f t="shared" si="3"/>
        <v>0</v>
      </c>
      <c r="Z32" s="37">
        <f>Table311[[#This Row],[Fleet Quota Need]]-Table311[[#This Row],[Total Grads]]</f>
        <v>698</v>
      </c>
      <c r="AA32" s="25"/>
    </row>
    <row r="33" spans="2:27" ht="15.75" x14ac:dyDescent="0.25">
      <c r="B33" s="48" t="s">
        <v>106</v>
      </c>
      <c r="C33" s="34"/>
      <c r="D33" s="34" t="s">
        <v>388</v>
      </c>
      <c r="E33" s="34">
        <f>COUNTIF(Table2[Course Title],Table311[[#This Row],[Courses - Planned vs Need (Active Courses)]])</f>
        <v>19</v>
      </c>
      <c r="F33" s="34">
        <v>45</v>
      </c>
      <c r="G33" s="34">
        <f>Table311[[#This Row],[Course Offerings]]*Table311[[#This Row],[Quota per Offering]]</f>
        <v>855</v>
      </c>
      <c r="H33" s="123">
        <v>1260</v>
      </c>
      <c r="I33" s="34">
        <f t="shared" si="0"/>
        <v>-405</v>
      </c>
      <c r="J33" s="301">
        <f>IFERROR(Table311[[#This Row],[Planned Quotas]]/Table311[[#This Row],[Fleet Quota Need]],100%)</f>
        <v>0.6785714285714286</v>
      </c>
      <c r="K33" s="35">
        <f>SUMIF(Table2[Course Title],Table311[[#This Row],[Courses - Planned vs Need (Active Courses)]],Table2[Graduates])</f>
        <v>140</v>
      </c>
      <c r="L33" s="61">
        <f>SUMIF(Table2[Course Title],Table311[[#This Row],[Courses - Planned vs Need (Active Courses)]],Table2[Registered])</f>
        <v>278</v>
      </c>
      <c r="M33" s="61">
        <f>SUMIF(Table2[Course Title],Table311[[#This Row],[Courses - Planned vs Need (Active Courses)]],Table2[Waitlisted])</f>
        <v>3</v>
      </c>
      <c r="N33" s="61">
        <f>SUMIF(Table2[Course Title],Table311[[#This Row],[Courses - Planned vs Need (Active Courses)]],Table2[Walk-ins])</f>
        <v>1</v>
      </c>
      <c r="O33" s="36">
        <f>SUMIF(Table2[Course Title],Table311[[#This Row],[Courses - Planned vs Need (Active Courses)]],Table2[No Shows])</f>
        <v>11</v>
      </c>
      <c r="P33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46</v>
      </c>
      <c r="Q33" s="37">
        <f>ROUNDDOWN(Table311[[#This Row],[To date quotas unused (Open quotas+ no shows)]]/Table311[[#This Row],[Quota per Offering]],0)</f>
        <v>1</v>
      </c>
      <c r="R33" s="36">
        <f t="shared" si="1"/>
        <v>715</v>
      </c>
      <c r="S33" s="37">
        <f ca="1">COUNTIFS(Table2[Course Title],Table311[[#This Row],[Courses - Planned vs Need (Active Courses)]],Table2[Roster Status],"1",Table2[Remaining Courses],"0")</f>
        <v>0</v>
      </c>
      <c r="T33" s="37">
        <f ca="1">COUNTIFS(Table2[Course Title],Table311[[#This Row],[Courses - Planned vs Need (Active Courses)]],Table2[Remaining Courses],"1")</f>
        <v>15</v>
      </c>
      <c r="U33" s="39">
        <f t="shared" si="2"/>
        <v>0.1111111111111111</v>
      </c>
      <c r="V33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0.74444444444444446</v>
      </c>
      <c r="W33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0.93888888888888888</v>
      </c>
      <c r="X33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157</v>
      </c>
      <c r="Y33" s="37">
        <f t="shared" ca="1" si="3"/>
        <v>675</v>
      </c>
      <c r="Z33" s="37">
        <f>Table311[[#This Row],[Fleet Quota Need]]-Table311[[#This Row],[Total Grads]]</f>
        <v>1120</v>
      </c>
      <c r="AA33" s="25"/>
    </row>
    <row r="34" spans="2:27" ht="15.75" x14ac:dyDescent="0.25">
      <c r="B34" s="48" t="s">
        <v>389</v>
      </c>
      <c r="C34" s="34"/>
      <c r="D34" s="34" t="s">
        <v>388</v>
      </c>
      <c r="E34" s="34">
        <f>COUNTIF(Table2[Course Title],Table311[[#This Row],[Courses - Planned vs Need (Active Courses)]])</f>
        <v>3</v>
      </c>
      <c r="F34" s="34">
        <v>30</v>
      </c>
      <c r="G34" s="34">
        <f>Table311[[#This Row],[Course Offerings]]*Table311[[#This Row],[Quota per Offering]]</f>
        <v>90</v>
      </c>
      <c r="H34" s="417">
        <v>0</v>
      </c>
      <c r="I34" s="311">
        <f t="shared" si="0"/>
        <v>90</v>
      </c>
      <c r="J34" s="301">
        <f>IFERROR(Table311[[#This Row],[Planned Quotas]]/Table311[[#This Row],[Fleet Quota Need]],100%)</f>
        <v>1</v>
      </c>
      <c r="K34" s="35">
        <f>SUMIF(Table2[Course Title],Table311[[#This Row],[Courses - Planned vs Need (Active Courses)]],Table2[Graduates])</f>
        <v>0</v>
      </c>
      <c r="L34" s="61">
        <f>SUMIF(Table2[Course Title],Table311[[#This Row],[Courses - Planned vs Need (Active Courses)]],Table2[Registered])</f>
        <v>30</v>
      </c>
      <c r="M34" s="61">
        <f>SUMIF(Table2[Course Title],Table311[[#This Row],[Courses - Planned vs Need (Active Courses)]],Table2[Waitlisted])</f>
        <v>0</v>
      </c>
      <c r="N34" s="61">
        <f>SUMIF(Table2[Course Title],Table311[[#This Row],[Courses - Planned vs Need (Active Courses)]],Table2[Walk-ins])</f>
        <v>0</v>
      </c>
      <c r="O34" s="36">
        <f>SUMIF(Table2[Course Title],Table311[[#This Row],[Courses - Planned vs Need (Active Courses)]],Table2[No Shows])</f>
        <v>0</v>
      </c>
      <c r="P34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34" s="37">
        <f>ROUNDDOWN(Table311[[#This Row],[To date quotas unused (Open quotas+ no shows)]]/Table311[[#This Row],[Quota per Offering]],0)</f>
        <v>0</v>
      </c>
      <c r="R34" s="36">
        <f t="shared" si="1"/>
        <v>90</v>
      </c>
      <c r="S34" s="37">
        <f ca="1">COUNTIFS(Table2[Course Title],Table311[[#This Row],[Courses - Planned vs Need (Active Courses)]],Table2[Roster Status],"1",Table2[Remaining Courses],"0")</f>
        <v>0</v>
      </c>
      <c r="T34" s="37">
        <f ca="1">COUNTIFS(Table2[Course Title],Table311[[#This Row],[Courses - Planned vs Need (Active Courses)]],Table2[Remaining Courses],"1")</f>
        <v>3</v>
      </c>
      <c r="U34" s="39">
        <f t="shared" si="2"/>
        <v>1</v>
      </c>
      <c r="V34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4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34" s="312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0</v>
      </c>
      <c r="Y34" s="37">
        <f t="shared" ca="1" si="3"/>
        <v>90</v>
      </c>
      <c r="Z34" s="37">
        <f>Table311[[#This Row],[Fleet Quota Need]]-Table311[[#This Row],[Total Grads]]</f>
        <v>0</v>
      </c>
      <c r="AA34" s="25"/>
    </row>
    <row r="35" spans="2:27" ht="31.5" x14ac:dyDescent="0.25">
      <c r="B35" s="48" t="s">
        <v>108</v>
      </c>
      <c r="C35" s="34"/>
      <c r="D35" s="34" t="s">
        <v>385</v>
      </c>
      <c r="E35" s="34">
        <f>COUNTIF(Table2[Course Title],Table311[[#This Row],[Courses - Planned vs Need (Active Courses)]])</f>
        <v>9</v>
      </c>
      <c r="F35" s="34">
        <v>45</v>
      </c>
      <c r="G35" s="34">
        <f>Table311[[#This Row],[Course Offerings]]*Table311[[#This Row],[Quota per Offering]]</f>
        <v>405</v>
      </c>
      <c r="H35" s="123">
        <v>835</v>
      </c>
      <c r="I35" s="34">
        <f t="shared" si="0"/>
        <v>-430</v>
      </c>
      <c r="J35" s="301">
        <f>IFERROR(Table311[[#This Row],[Planned Quotas]]/Table311[[#This Row],[Fleet Quota Need]],100%)</f>
        <v>0.48502994011976047</v>
      </c>
      <c r="K35" s="35">
        <f>SUMIF(Table2[Course Title],Table311[[#This Row],[Courses - Planned vs Need (Active Courses)]],Table2[Graduates])</f>
        <v>17</v>
      </c>
      <c r="L35" s="61">
        <f>SUMIF(Table2[Course Title],Table311[[#This Row],[Courses - Planned vs Need (Active Courses)]],Table2[Registered])</f>
        <v>45</v>
      </c>
      <c r="M35" s="61">
        <f>SUMIF(Table2[Course Title],Table311[[#This Row],[Courses - Planned vs Need (Active Courses)]],Table2[Waitlisted])</f>
        <v>0</v>
      </c>
      <c r="N35" s="61">
        <f>SUMIF(Table2[Course Title],Table311[[#This Row],[Courses - Planned vs Need (Active Courses)]],Table2[Walk-ins])</f>
        <v>0</v>
      </c>
      <c r="O35" s="36">
        <f>SUMIF(Table2[Course Title],Table311[[#This Row],[Courses - Planned vs Need (Active Courses)]],Table2[No Shows])</f>
        <v>9</v>
      </c>
      <c r="P35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36</v>
      </c>
      <c r="Q35" s="37">
        <f>ROUNDDOWN(Table311[[#This Row],[To date quotas unused (Open quotas+ no shows)]]/Table311[[#This Row],[Quota per Offering]],0)</f>
        <v>0</v>
      </c>
      <c r="R35" s="36">
        <f t="shared" si="1"/>
        <v>388</v>
      </c>
      <c r="S35" s="37">
        <f ca="1">COUNTIFS(Table2[Course Title],Table311[[#This Row],[Courses - Planned vs Need (Active Courses)]],Table2[Roster Status],"1",Table2[Remaining Courses],"0")</f>
        <v>0</v>
      </c>
      <c r="T35" s="37">
        <f ca="1">COUNTIFS(Table2[Course Title],Table311[[#This Row],[Courses - Planned vs Need (Active Courses)]],Table2[Remaining Courses],"1")</f>
        <v>8</v>
      </c>
      <c r="U35" s="39">
        <f t="shared" si="2"/>
        <v>2.0359281437125749E-2</v>
      </c>
      <c r="V35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0.2</v>
      </c>
      <c r="W35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0.8</v>
      </c>
      <c r="X35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115</v>
      </c>
      <c r="Y35" s="37">
        <f t="shared" ca="1" si="3"/>
        <v>360</v>
      </c>
      <c r="Z35" s="37">
        <f>Table311[[#This Row],[Fleet Quota Need]]-Table311[[#This Row],[Total Grads]]</f>
        <v>818</v>
      </c>
      <c r="AA35" s="25"/>
    </row>
    <row r="36" spans="2:27" ht="31.5" x14ac:dyDescent="0.25">
      <c r="B36" s="53" t="s">
        <v>110</v>
      </c>
      <c r="C36" s="34" t="s">
        <v>387</v>
      </c>
      <c r="D36" s="34" t="s">
        <v>384</v>
      </c>
      <c r="E36" s="34">
        <f>COUNTIF(Table2[Course Title],Table311[[#This Row],[Courses - Planned vs Need (Active Courses)]])</f>
        <v>31</v>
      </c>
      <c r="F36" s="34">
        <v>30</v>
      </c>
      <c r="G36" s="34">
        <f>Table311[[#This Row],[Course Offerings]]*Table311[[#This Row],[Quota per Offering]]</f>
        <v>930</v>
      </c>
      <c r="H36" s="123">
        <v>1085</v>
      </c>
      <c r="I36" s="34">
        <f t="shared" si="0"/>
        <v>-155</v>
      </c>
      <c r="J36" s="301">
        <f>IFERROR(Table311[[#This Row],[Planned Quotas]]/Table311[[#This Row],[Fleet Quota Need]],100%)</f>
        <v>0.8571428571428571</v>
      </c>
      <c r="K36" s="35">
        <f>SUMIF(Table2[Course Title],Table311[[#This Row],[Courses - Planned vs Need (Active Courses)]],Table2[Graduates])</f>
        <v>0</v>
      </c>
      <c r="L36" s="61">
        <f>SUMIF(Table2[Course Title],Table311[[#This Row],[Courses - Planned vs Need (Active Courses)]],Table2[Registered])</f>
        <v>14</v>
      </c>
      <c r="M36" s="61">
        <f>SUMIF(Table2[Course Title],Table311[[#This Row],[Courses - Planned vs Need (Active Courses)]],Table2[Waitlisted])</f>
        <v>0</v>
      </c>
      <c r="N36" s="61">
        <f>SUMIF(Table2[Course Title],Table311[[#This Row],[Courses - Planned vs Need (Active Courses)]],Table2[Walk-ins])</f>
        <v>0</v>
      </c>
      <c r="O36" s="36">
        <f>SUMIF(Table2[Course Title],Table311[[#This Row],[Courses - Planned vs Need (Active Courses)]],Table2[No Shows])</f>
        <v>0</v>
      </c>
      <c r="P36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30</v>
      </c>
      <c r="Q36" s="37">
        <f>ROUNDDOWN(Table311[[#This Row],[To date quotas unused (Open quotas+ no shows)]]/Table311[[#This Row],[Quota per Offering]],0)</f>
        <v>1</v>
      </c>
      <c r="R36" s="36">
        <f t="shared" si="1"/>
        <v>930</v>
      </c>
      <c r="S36" s="37">
        <f ca="1">COUNTIFS(Table2[Course Title],Table311[[#This Row],[Courses - Planned vs Need (Active Courses)]],Table2[Roster Status],"1",Table2[Remaining Courses],"0")</f>
        <v>0</v>
      </c>
      <c r="T36" s="37">
        <f ca="1">COUNTIFS(Table2[Course Title],Table311[[#This Row],[Courses - Planned vs Need (Active Courses)]],Table2[Remaining Courses],"1")</f>
        <v>30</v>
      </c>
      <c r="U36" s="39">
        <f t="shared" si="2"/>
        <v>0</v>
      </c>
      <c r="V36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36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36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210</v>
      </c>
      <c r="Y36" s="37">
        <f t="shared" ca="1" si="3"/>
        <v>900</v>
      </c>
      <c r="Z36" s="37">
        <f>Table311[[#This Row],[Fleet Quota Need]]-Table311[[#This Row],[Total Grads]]</f>
        <v>1085</v>
      </c>
      <c r="AA36" s="25"/>
    </row>
    <row r="37" spans="2:27" ht="47.25" x14ac:dyDescent="0.25">
      <c r="B37" s="48" t="s">
        <v>113</v>
      </c>
      <c r="C37" s="34"/>
      <c r="D37" s="34" t="s">
        <v>386</v>
      </c>
      <c r="E37" s="34">
        <f>COUNTIF(Table2[Course Title],Table311[[#This Row],[Courses - Planned vs Need (Active Courses)]])</f>
        <v>17</v>
      </c>
      <c r="F37" s="349">
        <v>45</v>
      </c>
      <c r="G37" s="34">
        <f>Table311[[#This Row],[Course Offerings]]*Table311[[#This Row],[Quota per Offering]]</f>
        <v>765</v>
      </c>
      <c r="H37" s="123">
        <v>804</v>
      </c>
      <c r="I37" s="34">
        <f t="shared" ref="I37:I61" si="4">SUM(G37-H37)</f>
        <v>-39</v>
      </c>
      <c r="J37" s="301">
        <f>IFERROR(Table311[[#This Row],[Planned Quotas]]/Table311[[#This Row],[Fleet Quota Need]],100%)</f>
        <v>0.95149253731343286</v>
      </c>
      <c r="K37" s="35">
        <f>SUMIF(Table2[Course Title],Table311[[#This Row],[Courses - Planned vs Need (Active Courses)]],Table2[Graduates])</f>
        <v>70</v>
      </c>
      <c r="L37" s="61">
        <f>SUMIF(Table2[Course Title],Table311[[#This Row],[Courses - Planned vs Need (Active Courses)]],Table2[Registered])</f>
        <v>118</v>
      </c>
      <c r="M37" s="61">
        <f>SUMIF(Table2[Course Title],Table311[[#This Row],[Courses - Planned vs Need (Active Courses)]],Table2[Waitlisted])</f>
        <v>0</v>
      </c>
      <c r="N37" s="61">
        <f>SUMIF(Table2[Course Title],Table311[[#This Row],[Courses - Planned vs Need (Active Courses)]],Table2[Walk-ins])</f>
        <v>0</v>
      </c>
      <c r="O37" s="36">
        <f>SUMIF(Table2[Course Title],Table311[[#This Row],[Courses - Planned vs Need (Active Courses)]],Table2[No Shows])</f>
        <v>12</v>
      </c>
      <c r="P37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77</v>
      </c>
      <c r="Q37" s="37">
        <f>ROUNDDOWN(Table311[[#This Row],[To date quotas unused (Open quotas+ no shows)]]/Table311[[#This Row],[Quota per Offering]],0)</f>
        <v>1</v>
      </c>
      <c r="R37" s="36">
        <f t="shared" ref="R37:R61" si="5">SUM(G37-K37)</f>
        <v>695</v>
      </c>
      <c r="S37" s="37">
        <f ca="1">COUNTIFS(Table2[Course Title],Table311[[#This Row],[Courses - Planned vs Need (Active Courses)]],Table2[Roster Status],"1",Table2[Remaining Courses],"0")</f>
        <v>0</v>
      </c>
      <c r="T37" s="37">
        <f ca="1">COUNTIFS(Table2[Course Title],Table311[[#This Row],[Courses - Planned vs Need (Active Courses)]],Table2[Remaining Courses],"1")</f>
        <v>14</v>
      </c>
      <c r="U37" s="39">
        <f t="shared" ref="U37:U61" si="6">IFERROR((K37/H37),100%)</f>
        <v>8.7064676616915429E-2</v>
      </c>
      <c r="V37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0.42962962962962964</v>
      </c>
      <c r="W37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0.91111111111111109</v>
      </c>
      <c r="X37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238</v>
      </c>
      <c r="Y37" s="37">
        <f t="shared" ref="Y37:Y61" ca="1" si="7">SUM(S37,T37)*F37</f>
        <v>630</v>
      </c>
      <c r="Z37" s="37">
        <f>Table311[[#This Row],[Fleet Quota Need]]-Table311[[#This Row],[Total Grads]]</f>
        <v>734</v>
      </c>
      <c r="AA37" s="25"/>
    </row>
    <row r="38" spans="2:27" ht="31.5" x14ac:dyDescent="0.25">
      <c r="B38" s="48" t="s">
        <v>116</v>
      </c>
      <c r="C38" s="34"/>
      <c r="D38" s="34" t="s">
        <v>385</v>
      </c>
      <c r="E38" s="34">
        <f>COUNTIF(Table2[Course Title],Table311[[#This Row],[Courses - Planned vs Need (Active Courses)]])</f>
        <v>25</v>
      </c>
      <c r="F38" s="34">
        <v>30</v>
      </c>
      <c r="G38" s="38">
        <f>Table311[[#This Row],[Course Offerings]]*Table311[[#This Row],[Quota per Offering]]</f>
        <v>750</v>
      </c>
      <c r="H38" s="123">
        <v>1671</v>
      </c>
      <c r="I38" s="34">
        <f t="shared" si="4"/>
        <v>-921</v>
      </c>
      <c r="J38" s="301">
        <f>IFERROR(Table311[[#This Row],[Planned Quotas]]/Table311[[#This Row],[Fleet Quota Need]],100%)</f>
        <v>0.44883303411131059</v>
      </c>
      <c r="K38" s="35">
        <f>SUMIF(Table2[Course Title],Table311[[#This Row],[Courses - Planned vs Need (Active Courses)]],Table2[Graduates])</f>
        <v>41</v>
      </c>
      <c r="L38" s="61">
        <f>SUMIF(Table2[Course Title],Table311[[#This Row],[Courses - Planned vs Need (Active Courses)]],Table2[Registered])</f>
        <v>175</v>
      </c>
      <c r="M38" s="61">
        <f>SUMIF(Table2[Course Title],Table311[[#This Row],[Courses - Planned vs Need (Active Courses)]],Table2[Waitlisted])</f>
        <v>5</v>
      </c>
      <c r="N38" s="61">
        <f>SUMIF(Table2[Course Title],Table311[[#This Row],[Courses - Planned vs Need (Active Courses)]],Table2[Walk-ins])</f>
        <v>7</v>
      </c>
      <c r="O38" s="36">
        <f>SUMIF(Table2[Course Title],Table311[[#This Row],[Courses - Planned vs Need (Active Courses)]],Table2[No Shows])</f>
        <v>0</v>
      </c>
      <c r="P38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</v>
      </c>
      <c r="Q38" s="37">
        <f>ROUNDDOWN(Table311[[#This Row],[To date quotas unused (Open quotas+ no shows)]]/Table311[[#This Row],[Quota per Offering]],0)</f>
        <v>0</v>
      </c>
      <c r="R38" s="36">
        <f t="shared" si="5"/>
        <v>709</v>
      </c>
      <c r="S38" s="37">
        <f ca="1">COUNTIFS(Table2[Course Title],Table311[[#This Row],[Courses - Planned vs Need (Active Courses)]],Table2[Roster Status],"1",Table2[Remaining Courses],"0")</f>
        <v>0</v>
      </c>
      <c r="T38" s="37">
        <f ca="1">COUNTIFS(Table2[Course Title],Table311[[#This Row],[Courses - Planned vs Need (Active Courses)]],Table2[Remaining Courses],"1")</f>
        <v>23</v>
      </c>
      <c r="U38" s="39">
        <f t="shared" si="6"/>
        <v>2.4536205864751647E-2</v>
      </c>
      <c r="V38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0.68333333333333335</v>
      </c>
      <c r="W38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38" s="61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76</v>
      </c>
      <c r="Y38" s="37">
        <f t="shared" ca="1" si="7"/>
        <v>690</v>
      </c>
      <c r="Z38" s="37">
        <f>Table311[[#This Row],[Fleet Quota Need]]-Table311[[#This Row],[Total Grads]]</f>
        <v>1630</v>
      </c>
      <c r="AA38" s="196"/>
    </row>
    <row r="39" spans="2:27" ht="31.5" x14ac:dyDescent="0.25">
      <c r="B39" s="48" t="s">
        <v>390</v>
      </c>
      <c r="C39" s="34"/>
      <c r="D39" s="34" t="s">
        <v>386</v>
      </c>
      <c r="E39" s="668">
        <f>COUNTIF(Table2[Course Title],Table311[[#This Row],[Courses - Planned vs Need (Active Courses)]])</f>
        <v>6</v>
      </c>
      <c r="F39" s="668">
        <v>1000</v>
      </c>
      <c r="G39" s="667">
        <f>Table311[[#This Row],[Course Offerings]]*Table311[[#This Row],[Quota per Offering]]</f>
        <v>6000</v>
      </c>
      <c r="H39" s="417">
        <v>0</v>
      </c>
      <c r="I39" s="311">
        <f t="shared" si="4"/>
        <v>6000</v>
      </c>
      <c r="J39" s="670">
        <f>IFERROR(Table311[[#This Row],[Planned Quotas]]/Table311[[#This Row],[Fleet Quota Need]],100%)</f>
        <v>1</v>
      </c>
      <c r="K39" s="35">
        <f>SUMIF(Table2[Course Title],Table311[[#This Row],[Courses - Planned vs Need (Active Courses)]],Table2[Graduates])</f>
        <v>64</v>
      </c>
      <c r="L39" s="666">
        <f>SUMIF(Table2[Course Title],Table311[[#This Row],[Courses - Planned vs Need (Active Courses)]],Table2[Registered])</f>
        <v>6</v>
      </c>
      <c r="M39" s="666">
        <f>SUMIF(Table2[Course Title],Table311[[#This Row],[Courses - Planned vs Need (Active Courses)]],Table2[Waitlisted])</f>
        <v>0</v>
      </c>
      <c r="N39" s="666">
        <f>SUMIF(Table2[Course Title],Table311[[#This Row],[Courses - Planned vs Need (Active Courses)]],Table2[Walk-ins])</f>
        <v>0</v>
      </c>
      <c r="O39" s="671">
        <f>SUMIF(Table2[Course Title],Table311[[#This Row],[Courses - Planned vs Need (Active Courses)]],Table2[No Shows])</f>
        <v>0</v>
      </c>
      <c r="P39" s="672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1936</v>
      </c>
      <c r="Q39" s="672">
        <f>ROUNDDOWN(Table311[[#This Row],[To date quotas unused (Open quotas+ no shows)]]/Table311[[#This Row],[Quota per Offering]],0)</f>
        <v>1</v>
      </c>
      <c r="R39" s="36">
        <f t="shared" si="5"/>
        <v>5936</v>
      </c>
      <c r="S39" s="37">
        <f ca="1">COUNTIFS(Table2[Course Title],Table311[[#This Row],[Courses - Planned vs Need (Active Courses)]],Table2[Roster Status],"1",Table2[Remaining Courses],"0")</f>
        <v>0</v>
      </c>
      <c r="T39" s="37">
        <f ca="1">COUNTIFS(Table2[Course Title],Table311[[#This Row],[Courses - Planned vs Need (Active Courses)]],Table2[Remaining Courses],"1")</f>
        <v>4</v>
      </c>
      <c r="U39" s="304">
        <f t="shared" si="6"/>
        <v>1</v>
      </c>
      <c r="V39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3.2000000000000001E-2</v>
      </c>
      <c r="W39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39" s="312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3996</v>
      </c>
      <c r="Y39" s="672">
        <f t="shared" ca="1" si="7"/>
        <v>4000</v>
      </c>
      <c r="Z39" s="672">
        <f>Table311[[#This Row],[Fleet Quota Need]]-Table311[[#This Row],[Total Grads]]</f>
        <v>-64</v>
      </c>
      <c r="AA39" s="24"/>
    </row>
    <row r="40" spans="2:27" ht="31.5" x14ac:dyDescent="0.25">
      <c r="B40" s="48" t="s">
        <v>391</v>
      </c>
      <c r="C40" s="34"/>
      <c r="D40" s="34" t="s">
        <v>386</v>
      </c>
      <c r="E40" s="34">
        <f>COUNTIF(Table2[Course Title],Table311[[#This Row],[Courses - Planned vs Need (Active Courses)]])</f>
        <v>6</v>
      </c>
      <c r="F40" s="34">
        <v>1000</v>
      </c>
      <c r="G40" s="38">
        <f>Table311[[#This Row],[Course Offerings]]*Table311[[#This Row],[Quota per Offering]]</f>
        <v>6000</v>
      </c>
      <c r="H40" s="417">
        <v>0</v>
      </c>
      <c r="I40" s="311">
        <f t="shared" si="4"/>
        <v>6000</v>
      </c>
      <c r="J40" s="301">
        <f>IFERROR(Table311[[#This Row],[Planned Quotas]]/Table311[[#This Row],[Fleet Quota Need]],100%)</f>
        <v>1</v>
      </c>
      <c r="K40" s="35">
        <f>SUMIF(Table2[Course Title],Table311[[#This Row],[Courses - Planned vs Need (Active Courses)]],Table2[Graduates])</f>
        <v>74</v>
      </c>
      <c r="L40" s="61">
        <f>SUMIF(Table2[Course Title],Table311[[#This Row],[Courses - Planned vs Need (Active Courses)]],Table2[Registered])</f>
        <v>32</v>
      </c>
      <c r="M40" s="61">
        <f>SUMIF(Table2[Course Title],Table311[[#This Row],[Courses - Planned vs Need (Active Courses)]],Table2[Waitlisted])</f>
        <v>0</v>
      </c>
      <c r="N40" s="61">
        <f>SUMIF(Table2[Course Title],Table311[[#This Row],[Courses - Planned vs Need (Active Courses)]],Table2[Walk-ins])</f>
        <v>0</v>
      </c>
      <c r="O40" s="36">
        <f>SUMIF(Table2[Course Title],Table311[[#This Row],[Courses - Planned vs Need (Active Courses)]],Table2[No Shows])</f>
        <v>0</v>
      </c>
      <c r="P40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1926</v>
      </c>
      <c r="Q40" s="37">
        <f>ROUNDDOWN(Table311[[#This Row],[To date quotas unused (Open quotas+ no shows)]]/Table311[[#This Row],[Quota per Offering]],0)</f>
        <v>1</v>
      </c>
      <c r="R40" s="36">
        <f t="shared" si="5"/>
        <v>5926</v>
      </c>
      <c r="S40" s="37">
        <f ca="1">COUNTIFS(Table2[Course Title],Table311[[#This Row],[Courses - Planned vs Need (Active Courses)]],Table2[Roster Status],"1",Table2[Remaining Courses],"0")</f>
        <v>0</v>
      </c>
      <c r="T40" s="37">
        <f ca="1">COUNTIFS(Table2[Course Title],Table311[[#This Row],[Courses - Planned vs Need (Active Courses)]],Table2[Remaining Courses],"1")</f>
        <v>4</v>
      </c>
      <c r="U40" s="39">
        <f t="shared" si="6"/>
        <v>1</v>
      </c>
      <c r="V40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3.6999999999999998E-2</v>
      </c>
      <c r="W40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0" s="312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3996</v>
      </c>
      <c r="Y40" s="37">
        <f t="shared" ca="1" si="7"/>
        <v>4000</v>
      </c>
      <c r="Z40" s="37">
        <f>Table311[[#This Row],[Fleet Quota Need]]-Table311[[#This Row],[Total Grads]]</f>
        <v>-74</v>
      </c>
      <c r="AA40" s="24"/>
    </row>
    <row r="41" spans="2:27" ht="31.5" x14ac:dyDescent="0.25">
      <c r="B41" s="48" t="s">
        <v>392</v>
      </c>
      <c r="C41" s="34"/>
      <c r="D41" s="34" t="s">
        <v>386</v>
      </c>
      <c r="E41" s="34">
        <f>COUNTIF(Table2[Course Title],Table311[[#This Row],[Courses - Planned vs Need (Active Courses)]])</f>
        <v>6</v>
      </c>
      <c r="F41" s="34">
        <v>1000</v>
      </c>
      <c r="G41" s="38">
        <f>Table311[[#This Row],[Course Offerings]]*Table311[[#This Row],[Quota per Offering]]</f>
        <v>6000</v>
      </c>
      <c r="H41" s="417">
        <v>0</v>
      </c>
      <c r="I41" s="311">
        <f t="shared" si="4"/>
        <v>6000</v>
      </c>
      <c r="J41" s="301">
        <f>IFERROR(Table311[[#This Row],[Planned Quotas]]/Table311[[#This Row],[Fleet Quota Need]],100%)</f>
        <v>1</v>
      </c>
      <c r="K41" s="35">
        <f>SUMIF(Table2[Course Title],Table311[[#This Row],[Courses - Planned vs Need (Active Courses)]],Table2[Graduates])</f>
        <v>92</v>
      </c>
      <c r="L41" s="61">
        <f>SUMIF(Table2[Course Title],Table311[[#This Row],[Courses - Planned vs Need (Active Courses)]],Table2[Registered])</f>
        <v>35</v>
      </c>
      <c r="M41" s="61">
        <f>SUMIF(Table2[Course Title],Table311[[#This Row],[Courses - Planned vs Need (Active Courses)]],Table2[Waitlisted])</f>
        <v>0</v>
      </c>
      <c r="N41" s="61">
        <f>SUMIF(Table2[Course Title],Table311[[#This Row],[Courses - Planned vs Need (Active Courses)]],Table2[Walk-ins])</f>
        <v>0</v>
      </c>
      <c r="O41" s="36">
        <f>SUMIF(Table2[Course Title],Table311[[#This Row],[Courses - Planned vs Need (Active Courses)]],Table2[No Shows])</f>
        <v>0</v>
      </c>
      <c r="P41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1908</v>
      </c>
      <c r="Q41" s="37">
        <f>ROUNDDOWN(Table311[[#This Row],[To date quotas unused (Open quotas+ no shows)]]/Table311[[#This Row],[Quota per Offering]],0)</f>
        <v>1</v>
      </c>
      <c r="R41" s="36">
        <f t="shared" si="5"/>
        <v>5908</v>
      </c>
      <c r="S41" s="37">
        <f ca="1">COUNTIFS(Table2[Course Title],Table311[[#This Row],[Courses - Planned vs Need (Active Courses)]],Table2[Roster Status],"1",Table2[Remaining Courses],"0")</f>
        <v>1</v>
      </c>
      <c r="T41" s="37">
        <f ca="1">COUNTIFS(Table2[Course Title],Table311[[#This Row],[Courses - Planned vs Need (Active Courses)]],Table2[Remaining Courses],"1")</f>
        <v>3</v>
      </c>
      <c r="U41" s="39">
        <f t="shared" si="6"/>
        <v>1</v>
      </c>
      <c r="V41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4.5999999999999999E-2</v>
      </c>
      <c r="W41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1" s="312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2997</v>
      </c>
      <c r="Y41" s="37">
        <f t="shared" ca="1" si="7"/>
        <v>4000</v>
      </c>
      <c r="Z41" s="37">
        <f>Table311[[#This Row],[Fleet Quota Need]]-Table311[[#This Row],[Total Grads]]</f>
        <v>-92</v>
      </c>
      <c r="AA41" s="24"/>
    </row>
    <row r="42" spans="2:27" ht="31.5" x14ac:dyDescent="0.25">
      <c r="B42" s="48" t="s">
        <v>393</v>
      </c>
      <c r="C42" s="34"/>
      <c r="D42" s="34" t="s">
        <v>386</v>
      </c>
      <c r="E42" s="34">
        <f>COUNTIF(Table2[Course Title],Table311[[#This Row],[Courses - Planned vs Need (Active Courses)]])</f>
        <v>6</v>
      </c>
      <c r="F42" s="34">
        <v>1000</v>
      </c>
      <c r="G42" s="34">
        <f>Table311[[#This Row],[Course Offerings]]*Table311[[#This Row],[Quota per Offering]]</f>
        <v>6000</v>
      </c>
      <c r="H42" s="418">
        <v>0</v>
      </c>
      <c r="I42" s="311">
        <f t="shared" si="4"/>
        <v>6000</v>
      </c>
      <c r="J42" s="301">
        <f>IFERROR(Table311[[#This Row],[Planned Quotas]]/Table311[[#This Row],[Fleet Quota Need]],100%)</f>
        <v>1</v>
      </c>
      <c r="K42" s="35">
        <f>SUMIF(Table2[Course Title],Table311[[#This Row],[Courses - Planned vs Need (Active Courses)]],Table2[Graduates])</f>
        <v>106</v>
      </c>
      <c r="L42" s="61">
        <f>SUMIF(Table2[Course Title],Table311[[#This Row],[Courses - Planned vs Need (Active Courses)]],Table2[Registered])</f>
        <v>37</v>
      </c>
      <c r="M42" s="61">
        <f>SUMIF(Table2[Course Title],Table311[[#This Row],[Courses - Planned vs Need (Active Courses)]],Table2[Waitlisted])</f>
        <v>0</v>
      </c>
      <c r="N42" s="61">
        <f>SUMIF(Table2[Course Title],Table311[[#This Row],[Courses - Planned vs Need (Active Courses)]],Table2[Walk-ins])</f>
        <v>0</v>
      </c>
      <c r="O42" s="36">
        <f>SUMIF(Table2[Course Title],Table311[[#This Row],[Courses - Planned vs Need (Active Courses)]],Table2[No Shows])</f>
        <v>0</v>
      </c>
      <c r="P42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1894</v>
      </c>
      <c r="Q42" s="37">
        <f>ROUNDDOWN(Table311[[#This Row],[To date quotas unused (Open quotas+ no shows)]]/Table311[[#This Row],[Quota per Offering]],0)</f>
        <v>1</v>
      </c>
      <c r="R42" s="36">
        <f t="shared" si="5"/>
        <v>5894</v>
      </c>
      <c r="S42" s="37">
        <f ca="1">COUNTIFS(Table2[Course Title],Table311[[#This Row],[Courses - Planned vs Need (Active Courses)]],Table2[Roster Status],"1",Table2[Remaining Courses],"0")</f>
        <v>1</v>
      </c>
      <c r="T42" s="37">
        <f ca="1">COUNTIFS(Table2[Course Title],Table311[[#This Row],[Courses - Planned vs Need (Active Courses)]],Table2[Remaining Courses],"1")</f>
        <v>3</v>
      </c>
      <c r="U42" s="39">
        <f t="shared" si="6"/>
        <v>1</v>
      </c>
      <c r="V42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5.2999999999999999E-2</v>
      </c>
      <c r="W42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2" s="313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2997</v>
      </c>
      <c r="Y42" s="293">
        <f t="shared" ca="1" si="7"/>
        <v>4000</v>
      </c>
      <c r="Z42" s="293">
        <f>Table311[[#This Row],[Fleet Quota Need]]-Table311[[#This Row],[Total Grads]]</f>
        <v>-106</v>
      </c>
      <c r="AA42" s="314"/>
    </row>
    <row r="43" spans="2:27" ht="31.5" x14ac:dyDescent="0.25">
      <c r="B43" s="299" t="s">
        <v>394</v>
      </c>
      <c r="C43" s="38"/>
      <c r="D43" s="34" t="s">
        <v>386</v>
      </c>
      <c r="E43" s="38">
        <f>COUNTIF(Table2[Course Title],Table311[[#This Row],[Courses - Planned vs Need (Active Courses)]])</f>
        <v>6</v>
      </c>
      <c r="F43" s="38">
        <v>1000</v>
      </c>
      <c r="G43" s="38">
        <f>Table311[[#This Row],[Course Offerings]]*Table311[[#This Row],[Quota per Offering]]</f>
        <v>6000</v>
      </c>
      <c r="H43" s="418">
        <v>0</v>
      </c>
      <c r="I43" s="300">
        <f t="shared" si="4"/>
        <v>6000</v>
      </c>
      <c r="J43" s="301">
        <f>IFERROR(Table311[[#This Row],[Planned Quotas]]/Table311[[#This Row],[Fleet Quota Need]],100%)</f>
        <v>1</v>
      </c>
      <c r="K43" s="291">
        <f>SUMIF(Table2[Course Title],Table311[[#This Row],[Courses - Planned vs Need (Active Courses)]],Table2[Graduates])</f>
        <v>118</v>
      </c>
      <c r="L43" s="292">
        <f>SUMIF(Table2[Course Title],Table311[[#This Row],[Courses - Planned vs Need (Active Courses)]],Table2[Registered])</f>
        <v>84</v>
      </c>
      <c r="M43" s="292">
        <f>SUMIF(Table2[Course Title],Table311[[#This Row],[Courses - Planned vs Need (Active Courses)]],Table2[Waitlisted])</f>
        <v>0</v>
      </c>
      <c r="N43" s="292">
        <f>SUMIF(Table2[Course Title],Table311[[#This Row],[Courses - Planned vs Need (Active Courses)]],Table2[Walk-ins])</f>
        <v>0</v>
      </c>
      <c r="O43" s="38">
        <f>SUMIF(Table2[Course Title],Table311[[#This Row],[Courses - Planned vs Need (Active Courses)]],Table2[No Shows])</f>
        <v>0</v>
      </c>
      <c r="P43" s="293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1882</v>
      </c>
      <c r="Q43" s="293">
        <f>ROUNDDOWN(Table311[[#This Row],[To date quotas unused (Open quotas+ no shows)]]/Table311[[#This Row],[Quota per Offering]],0)</f>
        <v>1</v>
      </c>
      <c r="R43" s="38">
        <f t="shared" si="5"/>
        <v>5882</v>
      </c>
      <c r="S43" s="293">
        <f ca="1">COUNTIFS(Table2[Course Title],Table311[[#This Row],[Courses - Planned vs Need (Active Courses)]],Table2[Roster Status],"1",Table2[Remaining Courses],"0")</f>
        <v>1</v>
      </c>
      <c r="T43" s="293">
        <f ca="1">COUNTIFS(Table2[Course Title],Table311[[#This Row],[Courses - Planned vs Need (Active Courses)]],Table2[Remaining Courses],"1")</f>
        <v>3</v>
      </c>
      <c r="U43" s="39">
        <f t="shared" si="6"/>
        <v>1</v>
      </c>
      <c r="V43" s="30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5.8999999999999997E-2</v>
      </c>
      <c r="W43" s="30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3" s="313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2997</v>
      </c>
      <c r="Y43" s="293">
        <f t="shared" ca="1" si="7"/>
        <v>4000</v>
      </c>
      <c r="Z43" s="293">
        <f>Table311[[#This Row],[Fleet Quota Need]]-Table311[[#This Row],[Total Grads]]</f>
        <v>-118</v>
      </c>
      <c r="AA43" s="307"/>
    </row>
    <row r="44" spans="2:27" ht="31.5" x14ac:dyDescent="0.25">
      <c r="B44" s="299" t="s">
        <v>395</v>
      </c>
      <c r="C44" s="38"/>
      <c r="D44" s="34" t="s">
        <v>386</v>
      </c>
      <c r="E44" s="38">
        <f>COUNTIF(Table2[Course Title],Table311[[#This Row],[Courses - Planned vs Need (Active Courses)]])</f>
        <v>6</v>
      </c>
      <c r="F44" s="38">
        <v>1000</v>
      </c>
      <c r="G44" s="38">
        <f>Table311[[#This Row],[Course Offerings]]*Table311[[#This Row],[Quota per Offering]]</f>
        <v>6000</v>
      </c>
      <c r="H44" s="418">
        <v>0</v>
      </c>
      <c r="I44" s="300">
        <f t="shared" si="4"/>
        <v>6000</v>
      </c>
      <c r="J44" s="301">
        <f>IFERROR(Table311[[#This Row],[Planned Quotas]]/Table311[[#This Row],[Fleet Quota Need]],100%)</f>
        <v>1</v>
      </c>
      <c r="K44" s="291">
        <f>SUMIF(Table2[Course Title],Table311[[#This Row],[Courses - Planned vs Need (Active Courses)]],Table2[Graduates])</f>
        <v>148</v>
      </c>
      <c r="L44" s="292">
        <f>SUMIF(Table2[Course Title],Table311[[#This Row],[Courses - Planned vs Need (Active Courses)]],Table2[Registered])</f>
        <v>55</v>
      </c>
      <c r="M44" s="292">
        <f>SUMIF(Table2[Course Title],Table311[[#This Row],[Courses - Planned vs Need (Active Courses)]],Table2[Waitlisted])</f>
        <v>0</v>
      </c>
      <c r="N44" s="292">
        <f>SUMIF(Table2[Course Title],Table311[[#This Row],[Courses - Planned vs Need (Active Courses)]],Table2[Walk-ins])</f>
        <v>0</v>
      </c>
      <c r="O44" s="38">
        <f>SUMIF(Table2[Course Title],Table311[[#This Row],[Courses - Planned vs Need (Active Courses)]],Table2[No Shows])</f>
        <v>0</v>
      </c>
      <c r="P44" s="293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2852</v>
      </c>
      <c r="Q44" s="293">
        <f>ROUNDDOWN(Table311[[#This Row],[To date quotas unused (Open quotas+ no shows)]]/Table311[[#This Row],[Quota per Offering]],0)</f>
        <v>2</v>
      </c>
      <c r="R44" s="38">
        <f t="shared" si="5"/>
        <v>5852</v>
      </c>
      <c r="S44" s="293">
        <f ca="1">COUNTIFS(Table2[Course Title],Table311[[#This Row],[Courses - Planned vs Need (Active Courses)]],Table2[Roster Status],"1",Table2[Remaining Courses],"0")</f>
        <v>0</v>
      </c>
      <c r="T44" s="293">
        <f ca="1">COUNTIFS(Table2[Course Title],Table311[[#This Row],[Courses - Planned vs Need (Active Courses)]],Table2[Remaining Courses],"1")</f>
        <v>3</v>
      </c>
      <c r="U44" s="39">
        <f t="shared" si="6"/>
        <v>1</v>
      </c>
      <c r="V44" s="30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4.9333333333333333E-2</v>
      </c>
      <c r="W44" s="30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4" s="313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2997</v>
      </c>
      <c r="Y44" s="293">
        <f t="shared" ca="1" si="7"/>
        <v>3000</v>
      </c>
      <c r="Z44" s="293">
        <f>Table311[[#This Row],[Fleet Quota Need]]-Table311[[#This Row],[Total Grads]]</f>
        <v>-148</v>
      </c>
      <c r="AA44" s="307"/>
    </row>
    <row r="45" spans="2:27" ht="31.5" x14ac:dyDescent="0.25">
      <c r="B45" s="299" t="s">
        <v>396</v>
      </c>
      <c r="C45" s="38"/>
      <c r="D45" s="34" t="s">
        <v>386</v>
      </c>
      <c r="E45" s="667">
        <f>COUNTIF(Table2[Course Title],Table311[[#This Row],[Courses - Planned vs Need (Active Courses)]])</f>
        <v>6</v>
      </c>
      <c r="F45" s="667">
        <v>1000</v>
      </c>
      <c r="G45" s="667">
        <f>Table311[[#This Row],[Course Offerings]]*Table311[[#This Row],[Quota per Offering]]</f>
        <v>6000</v>
      </c>
      <c r="H45" s="418">
        <v>0</v>
      </c>
      <c r="I45" s="300">
        <f t="shared" si="4"/>
        <v>6000</v>
      </c>
      <c r="J45" s="670">
        <f>IFERROR(Table311[[#This Row],[Planned Quotas]]/Table311[[#This Row],[Fleet Quota Need]],100%)</f>
        <v>1</v>
      </c>
      <c r="K45" s="291">
        <f>SUMIF(Table2[Course Title],Table311[[#This Row],[Courses - Planned vs Need (Active Courses)]],Table2[Graduates])</f>
        <v>68</v>
      </c>
      <c r="L45" s="669">
        <f>SUMIF(Table2[Course Title],Table311[[#This Row],[Courses - Planned vs Need (Active Courses)]],Table2[Registered])</f>
        <v>6</v>
      </c>
      <c r="M45" s="669">
        <f>SUMIF(Table2[Course Title],Table311[[#This Row],[Courses - Planned vs Need (Active Courses)]],Table2[Waitlisted])</f>
        <v>0</v>
      </c>
      <c r="N45" s="669">
        <f>SUMIF(Table2[Course Title],Table311[[#This Row],[Courses - Planned vs Need (Active Courses)]],Table2[Walk-ins])</f>
        <v>0</v>
      </c>
      <c r="O45" s="667">
        <f>SUMIF(Table2[Course Title],Table311[[#This Row],[Courses - Planned vs Need (Active Courses)]],Table2[No Shows])</f>
        <v>0</v>
      </c>
      <c r="P45" s="673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1932</v>
      </c>
      <c r="Q45" s="673">
        <f>ROUNDDOWN(Table311[[#This Row],[To date quotas unused (Open quotas+ no shows)]]/Table311[[#This Row],[Quota per Offering]],0)</f>
        <v>1</v>
      </c>
      <c r="R45" s="38">
        <f t="shared" si="5"/>
        <v>5932</v>
      </c>
      <c r="S45" s="293">
        <f ca="1">COUNTIFS(Table2[Course Title],Table311[[#This Row],[Courses - Planned vs Need (Active Courses)]],Table2[Roster Status],"1",Table2[Remaining Courses],"0")</f>
        <v>0</v>
      </c>
      <c r="T45" s="293">
        <f ca="1">COUNTIFS(Table2[Course Title],Table311[[#This Row],[Courses - Planned vs Need (Active Courses)]],Table2[Remaining Courses],"1")</f>
        <v>4</v>
      </c>
      <c r="U45" s="304">
        <f t="shared" si="6"/>
        <v>1</v>
      </c>
      <c r="V45" s="30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3.4000000000000002E-2</v>
      </c>
      <c r="W45" s="30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5" s="313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3996</v>
      </c>
      <c r="Y45" s="673">
        <f t="shared" ca="1" si="7"/>
        <v>4000</v>
      </c>
      <c r="Z45" s="673">
        <f>Table311[[#This Row],[Fleet Quota Need]]-Table311[[#This Row],[Total Grads]]</f>
        <v>-68</v>
      </c>
      <c r="AA45" s="307"/>
    </row>
    <row r="46" spans="2:27" ht="31.5" x14ac:dyDescent="0.25">
      <c r="B46" s="299" t="s">
        <v>397</v>
      </c>
      <c r="C46" s="38"/>
      <c r="D46" s="34" t="s">
        <v>386</v>
      </c>
      <c r="E46" s="667">
        <f>COUNTIF(Table2[Course Title],Table311[[#This Row],[Courses - Planned vs Need (Active Courses)]])</f>
        <v>6</v>
      </c>
      <c r="F46" s="667">
        <v>1000</v>
      </c>
      <c r="G46" s="667">
        <f>Table311[[#This Row],[Course Offerings]]*Table311[[#This Row],[Quota per Offering]]</f>
        <v>6000</v>
      </c>
      <c r="H46" s="418">
        <v>0</v>
      </c>
      <c r="I46" s="300">
        <f t="shared" si="4"/>
        <v>6000</v>
      </c>
      <c r="J46" s="670">
        <f>IFERROR(Table311[[#This Row],[Planned Quotas]]/Table311[[#This Row],[Fleet Quota Need]],100%)</f>
        <v>1</v>
      </c>
      <c r="K46" s="291">
        <f>SUMIF(Table2[Course Title],Table311[[#This Row],[Courses - Planned vs Need (Active Courses)]],Table2[Graduates])</f>
        <v>76</v>
      </c>
      <c r="L46" s="669">
        <f>SUMIF(Table2[Course Title],Table311[[#This Row],[Courses - Planned vs Need (Active Courses)]],Table2[Registered])</f>
        <v>6</v>
      </c>
      <c r="M46" s="669">
        <f>SUMIF(Table2[Course Title],Table311[[#This Row],[Courses - Planned vs Need (Active Courses)]],Table2[Waitlisted])</f>
        <v>0</v>
      </c>
      <c r="N46" s="669">
        <f>SUMIF(Table2[Course Title],Table311[[#This Row],[Courses - Planned vs Need (Active Courses)]],Table2[Walk-ins])</f>
        <v>0</v>
      </c>
      <c r="O46" s="667">
        <f>SUMIF(Table2[Course Title],Table311[[#This Row],[Courses - Planned vs Need (Active Courses)]],Table2[No Shows])</f>
        <v>0</v>
      </c>
      <c r="P46" s="673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1924</v>
      </c>
      <c r="Q46" s="673">
        <f>ROUNDDOWN(Table311[[#This Row],[To date quotas unused (Open quotas+ no shows)]]/Table311[[#This Row],[Quota per Offering]],0)</f>
        <v>1</v>
      </c>
      <c r="R46" s="38">
        <f t="shared" si="5"/>
        <v>5924</v>
      </c>
      <c r="S46" s="293">
        <f ca="1">COUNTIFS(Table2[Course Title],Table311[[#This Row],[Courses - Planned vs Need (Active Courses)]],Table2[Roster Status],"1",Table2[Remaining Courses],"0")</f>
        <v>0</v>
      </c>
      <c r="T46" s="293">
        <f ca="1">COUNTIFS(Table2[Course Title],Table311[[#This Row],[Courses - Planned vs Need (Active Courses)]],Table2[Remaining Courses],"1")</f>
        <v>4</v>
      </c>
      <c r="U46" s="304">
        <f t="shared" si="6"/>
        <v>1</v>
      </c>
      <c r="V46" s="30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3.7999999999999999E-2</v>
      </c>
      <c r="W46" s="30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6" s="313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3996</v>
      </c>
      <c r="Y46" s="673">
        <f t="shared" ca="1" si="7"/>
        <v>4000</v>
      </c>
      <c r="Z46" s="673">
        <f>Table311[[#This Row],[Fleet Quota Need]]-Table311[[#This Row],[Total Grads]]</f>
        <v>-76</v>
      </c>
      <c r="AA46" s="307"/>
    </row>
    <row r="47" spans="2:27" ht="47.25" x14ac:dyDescent="0.25">
      <c r="B47" s="299" t="s">
        <v>398</v>
      </c>
      <c r="C47" s="38"/>
      <c r="D47" s="34" t="s">
        <v>386</v>
      </c>
      <c r="E47" s="667">
        <f>COUNTIF(Table2[Course Title],Table311[[#This Row],[Courses - Planned vs Need (Active Courses)]])</f>
        <v>6</v>
      </c>
      <c r="F47" s="667">
        <v>1000</v>
      </c>
      <c r="G47" s="667">
        <f>Table311[[#This Row],[Course Offerings]]*Table311[[#This Row],[Quota per Offering]]</f>
        <v>6000</v>
      </c>
      <c r="H47" s="418">
        <v>0</v>
      </c>
      <c r="I47" s="300">
        <f t="shared" si="4"/>
        <v>6000</v>
      </c>
      <c r="J47" s="670">
        <f>IFERROR(Table311[[#This Row],[Planned Quotas]]/Table311[[#This Row],[Fleet Quota Need]],100%)</f>
        <v>1</v>
      </c>
      <c r="K47" s="291">
        <f>SUMIF(Table2[Course Title],Table311[[#This Row],[Courses - Planned vs Need (Active Courses)]],Table2[Graduates])</f>
        <v>76</v>
      </c>
      <c r="L47" s="669">
        <f>SUMIF(Table2[Course Title],Table311[[#This Row],[Courses - Planned vs Need (Active Courses)]],Table2[Registered])</f>
        <v>6</v>
      </c>
      <c r="M47" s="669">
        <f>SUMIF(Table2[Course Title],Table311[[#This Row],[Courses - Planned vs Need (Active Courses)]],Table2[Waitlisted])</f>
        <v>0</v>
      </c>
      <c r="N47" s="669">
        <f>SUMIF(Table2[Course Title],Table311[[#This Row],[Courses - Planned vs Need (Active Courses)]],Table2[Walk-ins])</f>
        <v>0</v>
      </c>
      <c r="O47" s="667">
        <f>SUMIF(Table2[Course Title],Table311[[#This Row],[Courses - Planned vs Need (Active Courses)]],Table2[No Shows])</f>
        <v>0</v>
      </c>
      <c r="P47" s="673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1924</v>
      </c>
      <c r="Q47" s="673">
        <f>ROUNDDOWN(Table311[[#This Row],[To date quotas unused (Open quotas+ no shows)]]/Table311[[#This Row],[Quota per Offering]],0)</f>
        <v>1</v>
      </c>
      <c r="R47" s="38">
        <f t="shared" si="5"/>
        <v>5924</v>
      </c>
      <c r="S47" s="293">
        <f ca="1">COUNTIFS(Table2[Course Title],Table311[[#This Row],[Courses - Planned vs Need (Active Courses)]],Table2[Roster Status],"1",Table2[Remaining Courses],"0")</f>
        <v>0</v>
      </c>
      <c r="T47" s="293">
        <f ca="1">COUNTIFS(Table2[Course Title],Table311[[#This Row],[Courses - Planned vs Need (Active Courses)]],Table2[Remaining Courses],"1")</f>
        <v>4</v>
      </c>
      <c r="U47" s="304">
        <f t="shared" si="6"/>
        <v>1</v>
      </c>
      <c r="V47" s="30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3.7999999999999999E-2</v>
      </c>
      <c r="W47" s="30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7" s="313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3996</v>
      </c>
      <c r="Y47" s="673">
        <f t="shared" ca="1" si="7"/>
        <v>4000</v>
      </c>
      <c r="Z47" s="673">
        <f>Table311[[#This Row],[Fleet Quota Need]]-Table311[[#This Row],[Total Grads]]</f>
        <v>-76</v>
      </c>
      <c r="AA47" s="307"/>
    </row>
    <row r="48" spans="2:27" ht="31.5" x14ac:dyDescent="0.25">
      <c r="B48" s="299" t="s">
        <v>399</v>
      </c>
      <c r="C48" s="38"/>
      <c r="D48" s="34" t="s">
        <v>386</v>
      </c>
      <c r="E48" s="667">
        <f>COUNTIF(Table2[Course Title],Table311[[#This Row],[Courses - Planned vs Need (Active Courses)]])</f>
        <v>6</v>
      </c>
      <c r="F48" s="667">
        <v>1000</v>
      </c>
      <c r="G48" s="667">
        <f>Table311[[#This Row],[Course Offerings]]*Table311[[#This Row],[Quota per Offering]]</f>
        <v>6000</v>
      </c>
      <c r="H48" s="418">
        <v>0</v>
      </c>
      <c r="I48" s="300">
        <f t="shared" si="4"/>
        <v>6000</v>
      </c>
      <c r="J48" s="670">
        <f>IFERROR(Table311[[#This Row],[Planned Quotas]]/Table311[[#This Row],[Fleet Quota Need]],100%)</f>
        <v>1</v>
      </c>
      <c r="K48" s="291">
        <f>SUMIF(Table2[Course Title],Table311[[#This Row],[Courses - Planned vs Need (Active Courses)]],Table2[Graduates])</f>
        <v>86</v>
      </c>
      <c r="L48" s="669">
        <f>SUMIF(Table2[Course Title],Table311[[#This Row],[Courses - Planned vs Need (Active Courses)]],Table2[Registered])</f>
        <v>6</v>
      </c>
      <c r="M48" s="669">
        <f>SUMIF(Table2[Course Title],Table311[[#This Row],[Courses - Planned vs Need (Active Courses)]],Table2[Waitlisted])</f>
        <v>0</v>
      </c>
      <c r="N48" s="669">
        <f>SUMIF(Table2[Course Title],Table311[[#This Row],[Courses - Planned vs Need (Active Courses)]],Table2[Walk-ins])</f>
        <v>0</v>
      </c>
      <c r="O48" s="667">
        <f>SUMIF(Table2[Course Title],Table311[[#This Row],[Courses - Planned vs Need (Active Courses)]],Table2[No Shows])</f>
        <v>0</v>
      </c>
      <c r="P48" s="673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1914</v>
      </c>
      <c r="Q48" s="673">
        <f>ROUNDDOWN(Table311[[#This Row],[To date quotas unused (Open quotas+ no shows)]]/Table311[[#This Row],[Quota per Offering]],0)</f>
        <v>1</v>
      </c>
      <c r="R48" s="38">
        <f t="shared" si="5"/>
        <v>5914</v>
      </c>
      <c r="S48" s="293">
        <f ca="1">COUNTIFS(Table2[Course Title],Table311[[#This Row],[Courses - Planned vs Need (Active Courses)]],Table2[Roster Status],"1",Table2[Remaining Courses],"0")</f>
        <v>0</v>
      </c>
      <c r="T48" s="293">
        <f ca="1">COUNTIFS(Table2[Course Title],Table311[[#This Row],[Courses - Planned vs Need (Active Courses)]],Table2[Remaining Courses],"1")</f>
        <v>4</v>
      </c>
      <c r="U48" s="304">
        <f t="shared" si="6"/>
        <v>1</v>
      </c>
      <c r="V48" s="30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4.2999999999999997E-2</v>
      </c>
      <c r="W48" s="30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8" s="313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3996</v>
      </c>
      <c r="Y48" s="673">
        <f t="shared" ca="1" si="7"/>
        <v>4000</v>
      </c>
      <c r="Z48" s="673">
        <f>Table311[[#This Row],[Fleet Quota Need]]-Table311[[#This Row],[Total Grads]]</f>
        <v>-86</v>
      </c>
      <c r="AA48" s="307"/>
    </row>
    <row r="49" spans="2:27" ht="31.5" x14ac:dyDescent="0.25">
      <c r="B49" s="299" t="s">
        <v>400</v>
      </c>
      <c r="C49" s="38"/>
      <c r="D49" s="34" t="s">
        <v>386</v>
      </c>
      <c r="E49" s="667">
        <f>COUNTIF(Table2[Course Title],Table311[[#This Row],[Courses - Planned vs Need (Active Courses)]])</f>
        <v>6</v>
      </c>
      <c r="F49" s="667">
        <v>1000</v>
      </c>
      <c r="G49" s="667">
        <f>Table311[[#This Row],[Course Offerings]]*Table311[[#This Row],[Quota per Offering]]</f>
        <v>6000</v>
      </c>
      <c r="H49" s="418">
        <v>0</v>
      </c>
      <c r="I49" s="300">
        <f t="shared" si="4"/>
        <v>6000</v>
      </c>
      <c r="J49" s="670">
        <f>IFERROR(Table311[[#This Row],[Planned Quotas]]/Table311[[#This Row],[Fleet Quota Need]],100%)</f>
        <v>1</v>
      </c>
      <c r="K49" s="291">
        <f>SUMIF(Table2[Course Title],Table311[[#This Row],[Courses - Planned vs Need (Active Courses)]],Table2[Graduates])</f>
        <v>84</v>
      </c>
      <c r="L49" s="669">
        <f>SUMIF(Table2[Course Title],Table311[[#This Row],[Courses - Planned vs Need (Active Courses)]],Table2[Registered])</f>
        <v>6</v>
      </c>
      <c r="M49" s="669">
        <f>SUMIF(Table2[Course Title],Table311[[#This Row],[Courses - Planned vs Need (Active Courses)]],Table2[Waitlisted])</f>
        <v>0</v>
      </c>
      <c r="N49" s="669">
        <f>SUMIF(Table2[Course Title],Table311[[#This Row],[Courses - Planned vs Need (Active Courses)]],Table2[Walk-ins])</f>
        <v>0</v>
      </c>
      <c r="O49" s="667">
        <f>SUMIF(Table2[Course Title],Table311[[#This Row],[Courses - Planned vs Need (Active Courses)]],Table2[No Shows])</f>
        <v>0</v>
      </c>
      <c r="P49" s="673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1916</v>
      </c>
      <c r="Q49" s="673">
        <f>ROUNDDOWN(Table311[[#This Row],[To date quotas unused (Open quotas+ no shows)]]/Table311[[#This Row],[Quota per Offering]],0)</f>
        <v>1</v>
      </c>
      <c r="R49" s="38">
        <f t="shared" si="5"/>
        <v>5916</v>
      </c>
      <c r="S49" s="293">
        <f ca="1">COUNTIFS(Table2[Course Title],Table311[[#This Row],[Courses - Planned vs Need (Active Courses)]],Table2[Roster Status],"1",Table2[Remaining Courses],"0")</f>
        <v>0</v>
      </c>
      <c r="T49" s="293">
        <f ca="1">COUNTIFS(Table2[Course Title],Table311[[#This Row],[Courses - Planned vs Need (Active Courses)]],Table2[Remaining Courses],"1")</f>
        <v>4</v>
      </c>
      <c r="U49" s="304">
        <f t="shared" si="6"/>
        <v>1</v>
      </c>
      <c r="V49" s="30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4.2000000000000003E-2</v>
      </c>
      <c r="W49" s="30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49" s="313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3996</v>
      </c>
      <c r="Y49" s="673">
        <f t="shared" ca="1" si="7"/>
        <v>4000</v>
      </c>
      <c r="Z49" s="673">
        <f>Table311[[#This Row],[Fleet Quota Need]]-Table311[[#This Row],[Total Grads]]</f>
        <v>-84</v>
      </c>
      <c r="AA49" s="307"/>
    </row>
    <row r="50" spans="2:27" ht="47.25" x14ac:dyDescent="0.25">
      <c r="B50" s="299" t="s">
        <v>401</v>
      </c>
      <c r="C50" s="38"/>
      <c r="D50" s="34" t="s">
        <v>386</v>
      </c>
      <c r="E50" s="38">
        <f>COUNTIF(Table2[Course Title],Table311[[#This Row],[Courses - Planned vs Need (Active Courses)]])</f>
        <v>6</v>
      </c>
      <c r="F50" s="38">
        <v>1000</v>
      </c>
      <c r="G50" s="38">
        <f>Table311[[#This Row],[Course Offerings]]*Table311[[#This Row],[Quota per Offering]]</f>
        <v>6000</v>
      </c>
      <c r="H50" s="418">
        <v>0</v>
      </c>
      <c r="I50" s="300">
        <f t="shared" si="4"/>
        <v>6000</v>
      </c>
      <c r="J50" s="301">
        <f>IFERROR(Table311[[#This Row],[Planned Quotas]]/Table311[[#This Row],[Fleet Quota Need]],100%)</f>
        <v>1</v>
      </c>
      <c r="K50" s="291">
        <f>SUMIF(Table2[Course Title],Table311[[#This Row],[Courses - Planned vs Need (Active Courses)]],Table2[Graduates])</f>
        <v>87</v>
      </c>
      <c r="L50" s="61">
        <f>SUMIF(Table2[Course Title],Table311[[#This Row],[Courses - Planned vs Need (Active Courses)]],Table2[Registered])</f>
        <v>26</v>
      </c>
      <c r="M50" s="61">
        <f>SUMIF(Table2[Course Title],Table311[[#This Row],[Courses - Planned vs Need (Active Courses)]],Table2[Waitlisted])</f>
        <v>0</v>
      </c>
      <c r="N50" s="61">
        <f>SUMIF(Table2[Course Title],Table311[[#This Row],[Courses - Planned vs Need (Active Courses)]],Table2[Walk-ins])</f>
        <v>0</v>
      </c>
      <c r="O50" s="36">
        <f>SUMIF(Table2[Course Title],Table311[[#This Row],[Courses - Planned vs Need (Active Courses)]],Table2[No Shows])</f>
        <v>0</v>
      </c>
      <c r="P50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2913</v>
      </c>
      <c r="Q50" s="37">
        <f>ROUNDDOWN(Table311[[#This Row],[To date quotas unused (Open quotas+ no shows)]]/Table311[[#This Row],[Quota per Offering]],0)</f>
        <v>2</v>
      </c>
      <c r="R50" s="36">
        <f t="shared" si="5"/>
        <v>5913</v>
      </c>
      <c r="S50" s="37">
        <f ca="1">COUNTIFS(Table2[Course Title],Table311[[#This Row],[Courses - Planned vs Need (Active Courses)]],Table2[Roster Status],"1",Table2[Remaining Courses],"0")</f>
        <v>0</v>
      </c>
      <c r="T50" s="37">
        <f ca="1">COUNTIFS(Table2[Course Title],Table311[[#This Row],[Courses - Planned vs Need (Active Courses)]],Table2[Remaining Courses],"1")</f>
        <v>3</v>
      </c>
      <c r="U50" s="39">
        <f t="shared" si="6"/>
        <v>1</v>
      </c>
      <c r="V50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2.9000000000000001E-2</v>
      </c>
      <c r="W50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0" s="312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2997</v>
      </c>
      <c r="Y50" s="37">
        <f t="shared" ca="1" si="7"/>
        <v>3000</v>
      </c>
      <c r="Z50" s="293">
        <f>Table311[[#This Row],[Fleet Quota Need]]-Table311[[#This Row],[Total Grads]]</f>
        <v>-87</v>
      </c>
      <c r="AA50" s="307"/>
    </row>
    <row r="51" spans="2:27" ht="47.25" x14ac:dyDescent="0.25">
      <c r="B51" s="299" t="s">
        <v>402</v>
      </c>
      <c r="C51" s="38"/>
      <c r="D51" s="34" t="s">
        <v>386</v>
      </c>
      <c r="E51" s="38">
        <f>COUNTIF(Table2[Course Title],Table311[[#This Row],[Courses - Planned vs Need (Active Courses)]])</f>
        <v>6</v>
      </c>
      <c r="F51" s="38">
        <v>1000</v>
      </c>
      <c r="G51" s="38">
        <f>Table311[[#This Row],[Course Offerings]]*Table311[[#This Row],[Quota per Offering]]</f>
        <v>6000</v>
      </c>
      <c r="H51" s="418">
        <v>0</v>
      </c>
      <c r="I51" s="300">
        <f t="shared" si="4"/>
        <v>6000</v>
      </c>
      <c r="J51" s="301">
        <f>IFERROR(Table311[[#This Row],[Planned Quotas]]/Table311[[#This Row],[Fleet Quota Need]],100%)</f>
        <v>1</v>
      </c>
      <c r="K51" s="291">
        <f>SUMIF(Table2[Course Title],Table311[[#This Row],[Courses - Planned vs Need (Active Courses)]],Table2[Graduates])</f>
        <v>76</v>
      </c>
      <c r="L51" s="61">
        <f>SUMIF(Table2[Course Title],Table311[[#This Row],[Courses - Planned vs Need (Active Courses)]],Table2[Registered])</f>
        <v>25</v>
      </c>
      <c r="M51" s="61">
        <f>SUMIF(Table2[Course Title],Table311[[#This Row],[Courses - Planned vs Need (Active Courses)]],Table2[Waitlisted])</f>
        <v>0</v>
      </c>
      <c r="N51" s="61">
        <f>SUMIF(Table2[Course Title],Table311[[#This Row],[Courses - Planned vs Need (Active Courses)]],Table2[Walk-ins])</f>
        <v>0</v>
      </c>
      <c r="O51" s="36">
        <f>SUMIF(Table2[Course Title],Table311[[#This Row],[Courses - Planned vs Need (Active Courses)]],Table2[No Shows])</f>
        <v>0</v>
      </c>
      <c r="P51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1924</v>
      </c>
      <c r="Q51" s="37">
        <f>ROUNDDOWN(Table311[[#This Row],[To date quotas unused (Open quotas+ no shows)]]/Table311[[#This Row],[Quota per Offering]],0)</f>
        <v>1</v>
      </c>
      <c r="R51" s="36">
        <f t="shared" si="5"/>
        <v>5924</v>
      </c>
      <c r="S51" s="37">
        <f ca="1">COUNTIFS(Table2[Course Title],Table311[[#This Row],[Courses - Planned vs Need (Active Courses)]],Table2[Roster Status],"1",Table2[Remaining Courses],"0")</f>
        <v>0</v>
      </c>
      <c r="T51" s="37">
        <f ca="1">COUNTIFS(Table2[Course Title],Table311[[#This Row],[Courses - Planned vs Need (Active Courses)]],Table2[Remaining Courses],"1")</f>
        <v>4</v>
      </c>
      <c r="U51" s="39">
        <f t="shared" si="6"/>
        <v>1</v>
      </c>
      <c r="V51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3.7999999999999999E-2</v>
      </c>
      <c r="W51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1" s="312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3995</v>
      </c>
      <c r="Y51" s="37">
        <f t="shared" ca="1" si="7"/>
        <v>4000</v>
      </c>
      <c r="Z51" s="293">
        <f>Table311[[#This Row],[Fleet Quota Need]]-Table311[[#This Row],[Total Grads]]</f>
        <v>-76</v>
      </c>
      <c r="AA51" s="307"/>
    </row>
    <row r="52" spans="2:27" ht="31.5" x14ac:dyDescent="0.25">
      <c r="B52" s="299" t="s">
        <v>403</v>
      </c>
      <c r="C52" s="38"/>
      <c r="D52" s="34" t="s">
        <v>386</v>
      </c>
      <c r="E52" s="38">
        <f>COUNTIF(Table2[Course Title],Table311[[#This Row],[Courses - Planned vs Need (Active Courses)]])</f>
        <v>6</v>
      </c>
      <c r="F52" s="38">
        <v>1000</v>
      </c>
      <c r="G52" s="38">
        <f>Table311[[#This Row],[Course Offerings]]*Table311[[#This Row],[Quota per Offering]]</f>
        <v>6000</v>
      </c>
      <c r="H52" s="418">
        <v>0</v>
      </c>
      <c r="I52" s="300">
        <f t="shared" si="4"/>
        <v>6000</v>
      </c>
      <c r="J52" s="301">
        <f>IFERROR(Table311[[#This Row],[Planned Quotas]]/Table311[[#This Row],[Fleet Quota Need]],100%)</f>
        <v>1</v>
      </c>
      <c r="K52" s="291">
        <f>SUMIF(Table2[Course Title],Table311[[#This Row],[Courses - Planned vs Need (Active Courses)]],Table2[Graduates])</f>
        <v>80</v>
      </c>
      <c r="L52" s="61">
        <f>SUMIF(Table2[Course Title],Table311[[#This Row],[Courses - Planned vs Need (Active Courses)]],Table2[Registered])</f>
        <v>30</v>
      </c>
      <c r="M52" s="61">
        <f>SUMIF(Table2[Course Title],Table311[[#This Row],[Courses - Planned vs Need (Active Courses)]],Table2[Waitlisted])</f>
        <v>0</v>
      </c>
      <c r="N52" s="61">
        <f>SUMIF(Table2[Course Title],Table311[[#This Row],[Courses - Planned vs Need (Active Courses)]],Table2[Walk-ins])</f>
        <v>0</v>
      </c>
      <c r="O52" s="36">
        <f>SUMIF(Table2[Course Title],Table311[[#This Row],[Courses - Planned vs Need (Active Courses)]],Table2[No Shows])</f>
        <v>0</v>
      </c>
      <c r="P52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1920</v>
      </c>
      <c r="Q52" s="37">
        <f>ROUNDDOWN(Table311[[#This Row],[To date quotas unused (Open quotas+ no shows)]]/Table311[[#This Row],[Quota per Offering]],0)</f>
        <v>1</v>
      </c>
      <c r="R52" s="36">
        <f t="shared" si="5"/>
        <v>5920</v>
      </c>
      <c r="S52" s="37">
        <f ca="1">COUNTIFS(Table2[Course Title],Table311[[#This Row],[Courses - Planned vs Need (Active Courses)]],Table2[Roster Status],"1",Table2[Remaining Courses],"0")</f>
        <v>1</v>
      </c>
      <c r="T52" s="37">
        <f ca="1">COUNTIFS(Table2[Course Title],Table311[[#This Row],[Courses - Planned vs Need (Active Courses)]],Table2[Remaining Courses],"1")</f>
        <v>3</v>
      </c>
      <c r="U52" s="39">
        <f t="shared" si="6"/>
        <v>1</v>
      </c>
      <c r="V52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0.04</v>
      </c>
      <c r="W52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2" s="312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2997</v>
      </c>
      <c r="Y52" s="37">
        <f t="shared" ca="1" si="7"/>
        <v>4000</v>
      </c>
      <c r="Z52" s="293">
        <f>Table311[[#This Row],[Fleet Quota Need]]-Table311[[#This Row],[Total Grads]]</f>
        <v>-80</v>
      </c>
      <c r="AA52" s="307"/>
    </row>
    <row r="53" spans="2:27" ht="31.5" x14ac:dyDescent="0.25">
      <c r="B53" s="299" t="s">
        <v>404</v>
      </c>
      <c r="C53" s="38"/>
      <c r="D53" s="34" t="s">
        <v>386</v>
      </c>
      <c r="E53" s="38">
        <f>COUNTIF(Table2[Course Title],Table311[[#This Row],[Courses - Planned vs Need (Active Courses)]])</f>
        <v>6</v>
      </c>
      <c r="F53" s="38">
        <v>1000</v>
      </c>
      <c r="G53" s="38">
        <f>Table311[[#This Row],[Course Offerings]]*Table311[[#This Row],[Quota per Offering]]</f>
        <v>6000</v>
      </c>
      <c r="H53" s="418">
        <v>0</v>
      </c>
      <c r="I53" s="300">
        <f t="shared" si="4"/>
        <v>6000</v>
      </c>
      <c r="J53" s="301">
        <f>IFERROR(Table311[[#This Row],[Planned Quotas]]/Table311[[#This Row],[Fleet Quota Need]],100%)</f>
        <v>1</v>
      </c>
      <c r="K53" s="291">
        <f>SUMIF(Table2[Course Title],Table311[[#This Row],[Courses - Planned vs Need (Active Courses)]],Table2[Graduates])</f>
        <v>104</v>
      </c>
      <c r="L53" s="61">
        <f>SUMIF(Table2[Course Title],Table311[[#This Row],[Courses - Planned vs Need (Active Courses)]],Table2[Registered])</f>
        <v>6</v>
      </c>
      <c r="M53" s="61">
        <f>SUMIF(Table2[Course Title],Table311[[#This Row],[Courses - Planned vs Need (Active Courses)]],Table2[Waitlisted])</f>
        <v>0</v>
      </c>
      <c r="N53" s="61">
        <f>SUMIF(Table2[Course Title],Table311[[#This Row],[Courses - Planned vs Need (Active Courses)]],Table2[Walk-ins])</f>
        <v>0</v>
      </c>
      <c r="O53" s="36">
        <f>SUMIF(Table2[Course Title],Table311[[#This Row],[Courses - Planned vs Need (Active Courses)]],Table2[No Shows])</f>
        <v>0</v>
      </c>
      <c r="P53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2896</v>
      </c>
      <c r="Q53" s="37">
        <f>ROUNDDOWN(Table311[[#This Row],[To date quotas unused (Open quotas+ no shows)]]/Table311[[#This Row],[Quota per Offering]],0)</f>
        <v>2</v>
      </c>
      <c r="R53" s="36">
        <f t="shared" si="5"/>
        <v>5896</v>
      </c>
      <c r="S53" s="37">
        <f ca="1">COUNTIFS(Table2[Course Title],Table311[[#This Row],[Courses - Planned vs Need (Active Courses)]],Table2[Roster Status],"1",Table2[Remaining Courses],"0")</f>
        <v>0</v>
      </c>
      <c r="T53" s="37">
        <f ca="1">COUNTIFS(Table2[Course Title],Table311[[#This Row],[Courses - Planned vs Need (Active Courses)]],Table2[Remaining Courses],"1")</f>
        <v>3</v>
      </c>
      <c r="U53" s="39">
        <f t="shared" si="6"/>
        <v>1</v>
      </c>
      <c r="V53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3.4666666666666665E-2</v>
      </c>
      <c r="W53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3" s="312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2997</v>
      </c>
      <c r="Y53" s="37">
        <f t="shared" ca="1" si="7"/>
        <v>3000</v>
      </c>
      <c r="Z53" s="293">
        <f>Table311[[#This Row],[Fleet Quota Need]]-Table311[[#This Row],[Total Grads]]</f>
        <v>-104</v>
      </c>
      <c r="AA53" s="307"/>
    </row>
    <row r="54" spans="2:27" ht="31.5" x14ac:dyDescent="0.25">
      <c r="B54" s="299" t="s">
        <v>405</v>
      </c>
      <c r="C54" s="38"/>
      <c r="D54" s="34" t="s">
        <v>386</v>
      </c>
      <c r="E54" s="667">
        <f>COUNTIF(Table2[Course Title],Table311[[#This Row],[Courses - Planned vs Need (Active Courses)]])</f>
        <v>6</v>
      </c>
      <c r="F54" s="667">
        <v>1000</v>
      </c>
      <c r="G54" s="667">
        <f>Table311[[#This Row],[Course Offerings]]*Table311[[#This Row],[Quota per Offering]]</f>
        <v>6000</v>
      </c>
      <c r="H54" s="418">
        <v>0</v>
      </c>
      <c r="I54" s="300">
        <f t="shared" si="4"/>
        <v>6000</v>
      </c>
      <c r="J54" s="670">
        <f>IFERROR(Table311[[#This Row],[Planned Quotas]]/Table311[[#This Row],[Fleet Quota Need]],100%)</f>
        <v>1</v>
      </c>
      <c r="K54" s="291">
        <f>SUMIF(Table2[Course Title],Table311[[#This Row],[Courses - Planned vs Need (Active Courses)]],Table2[Graduates])</f>
        <v>59</v>
      </c>
      <c r="L54" s="666">
        <f>SUMIF(Table2[Course Title],Table311[[#This Row],[Courses - Planned vs Need (Active Courses)]],Table2[Registered])</f>
        <v>6</v>
      </c>
      <c r="M54" s="666">
        <f>SUMIF(Table2[Course Title],Table311[[#This Row],[Courses - Planned vs Need (Active Courses)]],Table2[Waitlisted])</f>
        <v>0</v>
      </c>
      <c r="N54" s="666">
        <f>SUMIF(Table2[Course Title],Table311[[#This Row],[Courses - Planned vs Need (Active Courses)]],Table2[Walk-ins])</f>
        <v>0</v>
      </c>
      <c r="O54" s="671">
        <f>SUMIF(Table2[Course Title],Table311[[#This Row],[Courses - Planned vs Need (Active Courses)]],Table2[No Shows])</f>
        <v>0</v>
      </c>
      <c r="P54" s="672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1941</v>
      </c>
      <c r="Q54" s="672">
        <f>ROUNDDOWN(Table311[[#This Row],[To date quotas unused (Open quotas+ no shows)]]/Table311[[#This Row],[Quota per Offering]],0)</f>
        <v>1</v>
      </c>
      <c r="R54" s="36">
        <f t="shared" si="5"/>
        <v>5941</v>
      </c>
      <c r="S54" s="37">
        <f ca="1">COUNTIFS(Table2[Course Title],Table311[[#This Row],[Courses - Planned vs Need (Active Courses)]],Table2[Roster Status],"1",Table2[Remaining Courses],"0")</f>
        <v>0</v>
      </c>
      <c r="T54" s="37">
        <f ca="1">COUNTIFS(Table2[Course Title],Table311[[#This Row],[Courses - Planned vs Need (Active Courses)]],Table2[Remaining Courses],"1")</f>
        <v>4</v>
      </c>
      <c r="U54" s="304">
        <f t="shared" si="6"/>
        <v>1</v>
      </c>
      <c r="V54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2.9499999999999998E-2</v>
      </c>
      <c r="W54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4" s="312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3996</v>
      </c>
      <c r="Y54" s="672">
        <f t="shared" ca="1" si="7"/>
        <v>4000</v>
      </c>
      <c r="Z54" s="673">
        <f>Table311[[#This Row],[Fleet Quota Need]]-Table311[[#This Row],[Total Grads]]</f>
        <v>-59</v>
      </c>
      <c r="AA54" s="307"/>
    </row>
    <row r="55" spans="2:27" ht="31.5" x14ac:dyDescent="0.25">
      <c r="B55" s="299" t="s">
        <v>406</v>
      </c>
      <c r="C55" s="38"/>
      <c r="D55" s="34" t="s">
        <v>386</v>
      </c>
      <c r="E55" s="38">
        <f>COUNTIF(Table2[Course Title],Table311[[#This Row],[Courses - Planned vs Need (Active Courses)]])</f>
        <v>6</v>
      </c>
      <c r="F55" s="38">
        <v>1000</v>
      </c>
      <c r="G55" s="38">
        <f>Table311[[#This Row],[Course Offerings]]*Table311[[#This Row],[Quota per Offering]]</f>
        <v>6000</v>
      </c>
      <c r="H55" s="418">
        <v>0</v>
      </c>
      <c r="I55" s="300">
        <f t="shared" si="4"/>
        <v>6000</v>
      </c>
      <c r="J55" s="301">
        <f>IFERROR(Table311[[#This Row],[Planned Quotas]]/Table311[[#This Row],[Fleet Quota Need]],100%)</f>
        <v>1</v>
      </c>
      <c r="K55" s="291">
        <f>SUMIF(Table2[Course Title],Table311[[#This Row],[Courses - Planned vs Need (Active Courses)]],Table2[Graduates])</f>
        <v>100</v>
      </c>
      <c r="L55" s="61">
        <f>SUMIF(Table2[Course Title],Table311[[#This Row],[Courses - Planned vs Need (Active Courses)]],Table2[Registered])</f>
        <v>92</v>
      </c>
      <c r="M55" s="61">
        <f>SUMIF(Table2[Course Title],Table311[[#This Row],[Courses - Planned vs Need (Active Courses)]],Table2[Waitlisted])</f>
        <v>0</v>
      </c>
      <c r="N55" s="61">
        <f>SUMIF(Table2[Course Title],Table311[[#This Row],[Courses - Planned vs Need (Active Courses)]],Table2[Walk-ins])</f>
        <v>0</v>
      </c>
      <c r="O55" s="36">
        <f>SUMIF(Table2[Course Title],Table311[[#This Row],[Courses - Planned vs Need (Active Courses)]],Table2[No Shows])</f>
        <v>0</v>
      </c>
      <c r="P55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1900</v>
      </c>
      <c r="Q55" s="37">
        <f>ROUNDDOWN(Table311[[#This Row],[To date quotas unused (Open quotas+ no shows)]]/Table311[[#This Row],[Quota per Offering]],0)</f>
        <v>1</v>
      </c>
      <c r="R55" s="36">
        <f t="shared" si="5"/>
        <v>5900</v>
      </c>
      <c r="S55" s="37">
        <f ca="1">COUNTIFS(Table2[Course Title],Table311[[#This Row],[Courses - Planned vs Need (Active Courses)]],Table2[Roster Status],"1",Table2[Remaining Courses],"0")</f>
        <v>0</v>
      </c>
      <c r="T55" s="37">
        <f ca="1">COUNTIFS(Table2[Course Title],Table311[[#This Row],[Courses - Planned vs Need (Active Courses)]],Table2[Remaining Courses],"1")</f>
        <v>4</v>
      </c>
      <c r="U55" s="39">
        <f t="shared" si="6"/>
        <v>1</v>
      </c>
      <c r="V55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0.05</v>
      </c>
      <c r="W55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5" s="312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3995</v>
      </c>
      <c r="Y55" s="37">
        <f t="shared" ca="1" si="7"/>
        <v>4000</v>
      </c>
      <c r="Z55" s="293">
        <f>Table311[[#This Row],[Fleet Quota Need]]-Table311[[#This Row],[Total Grads]]</f>
        <v>-100</v>
      </c>
      <c r="AA55" s="307"/>
    </row>
    <row r="56" spans="2:27" ht="31.5" x14ac:dyDescent="0.25">
      <c r="B56" s="299" t="s">
        <v>407</v>
      </c>
      <c r="C56" s="38"/>
      <c r="D56" s="34" t="s">
        <v>386</v>
      </c>
      <c r="E56" s="38">
        <f>COUNTIF(Table2[Course Title],Table311[[#This Row],[Courses - Planned vs Need (Active Courses)]])</f>
        <v>6</v>
      </c>
      <c r="F56" s="38">
        <v>1000</v>
      </c>
      <c r="G56" s="38">
        <f>Table311[[#This Row],[Course Offerings]]*Table311[[#This Row],[Quota per Offering]]</f>
        <v>6000</v>
      </c>
      <c r="H56" s="418">
        <v>0</v>
      </c>
      <c r="I56" s="300">
        <f t="shared" si="4"/>
        <v>6000</v>
      </c>
      <c r="J56" s="301">
        <f>IFERROR(Table311[[#This Row],[Planned Quotas]]/Table311[[#This Row],[Fleet Quota Need]],100%)</f>
        <v>1</v>
      </c>
      <c r="K56" s="291">
        <f>SUMIF(Table2[Course Title],Table311[[#This Row],[Courses - Planned vs Need (Active Courses)]],Table2[Graduates])</f>
        <v>100</v>
      </c>
      <c r="L56" s="61">
        <f>SUMIF(Table2[Course Title],Table311[[#This Row],[Courses - Planned vs Need (Active Courses)]],Table2[Registered])</f>
        <v>6</v>
      </c>
      <c r="M56" s="61">
        <f>SUMIF(Table2[Course Title],Table311[[#This Row],[Courses - Planned vs Need (Active Courses)]],Table2[Waitlisted])</f>
        <v>0</v>
      </c>
      <c r="N56" s="61">
        <f>SUMIF(Table2[Course Title],Table311[[#This Row],[Courses - Planned vs Need (Active Courses)]],Table2[Walk-ins])</f>
        <v>0</v>
      </c>
      <c r="O56" s="36">
        <f>SUMIF(Table2[Course Title],Table311[[#This Row],[Courses - Planned vs Need (Active Courses)]],Table2[No Shows])</f>
        <v>0</v>
      </c>
      <c r="P56" s="37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2900</v>
      </c>
      <c r="Q56" s="37">
        <f>ROUNDDOWN(Table311[[#This Row],[To date quotas unused (Open quotas+ no shows)]]/Table311[[#This Row],[Quota per Offering]],0)</f>
        <v>2</v>
      </c>
      <c r="R56" s="36">
        <f t="shared" si="5"/>
        <v>5900</v>
      </c>
      <c r="S56" s="37">
        <f ca="1">COUNTIFS(Table2[Course Title],Table311[[#This Row],[Courses - Planned vs Need (Active Courses)]],Table2[Roster Status],"1",Table2[Remaining Courses],"0")</f>
        <v>0</v>
      </c>
      <c r="T56" s="37">
        <f ca="1">COUNTIFS(Table2[Course Title],Table311[[#This Row],[Courses - Planned vs Need (Active Courses)]],Table2[Remaining Courses],"1")</f>
        <v>3</v>
      </c>
      <c r="U56" s="39">
        <f t="shared" si="6"/>
        <v>1</v>
      </c>
      <c r="V56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3.3333333333333333E-2</v>
      </c>
      <c r="W56" s="47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6" s="312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2997</v>
      </c>
      <c r="Y56" s="37">
        <f t="shared" ca="1" si="7"/>
        <v>3000</v>
      </c>
      <c r="Z56" s="293">
        <f>Table311[[#This Row],[Fleet Quota Need]]-Table311[[#This Row],[Total Grads]]</f>
        <v>-100</v>
      </c>
      <c r="AA56" s="307"/>
    </row>
    <row r="57" spans="2:27" ht="15.75" x14ac:dyDescent="0.25">
      <c r="B57" s="299" t="s">
        <v>408</v>
      </c>
      <c r="C57" s="38"/>
      <c r="D57" s="34" t="s">
        <v>386</v>
      </c>
      <c r="E57" s="38">
        <f>COUNTIF(Table2[Course Title],Table311[[#This Row],[Courses - Planned vs Need (Active Courses)]])</f>
        <v>4</v>
      </c>
      <c r="F57" s="38">
        <v>30</v>
      </c>
      <c r="G57" s="38">
        <f>Table311[[#This Row],[Course Offerings]]*Table311[[#This Row],[Quota per Offering]]</f>
        <v>120</v>
      </c>
      <c r="H57" s="418">
        <v>704</v>
      </c>
      <c r="I57" s="300">
        <f t="shared" si="4"/>
        <v>-584</v>
      </c>
      <c r="J57" s="301">
        <f>IFERROR(Table311[[#This Row],[Planned Quotas]]/Table311[[#This Row],[Fleet Quota Need]],100%)</f>
        <v>0.17045454545454544</v>
      </c>
      <c r="K57" s="291">
        <f>SUMIF(Table2[Course Title],Table311[[#This Row],[Courses - Planned vs Need (Active Courses)]],Table2[Graduates])</f>
        <v>16</v>
      </c>
      <c r="L57" s="292">
        <f>SUMIF(Table2[Course Title],Table311[[#This Row],[Courses - Planned vs Need (Active Courses)]],Table2[Registered])</f>
        <v>40</v>
      </c>
      <c r="M57" s="292">
        <f>SUMIF(Table2[Course Title],Table311[[#This Row],[Courses - Planned vs Need (Active Courses)]],Table2[Waitlisted])</f>
        <v>30</v>
      </c>
      <c r="N57" s="292">
        <f>SUMIF(Table2[Course Title],Table311[[#This Row],[Courses - Planned vs Need (Active Courses)]],Table2[Walk-ins])</f>
        <v>1</v>
      </c>
      <c r="O57" s="38">
        <f>SUMIF(Table2[Course Title],Table311[[#This Row],[Courses - Planned vs Need (Active Courses)]],Table2[No Shows])</f>
        <v>0</v>
      </c>
      <c r="P57" s="293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4</v>
      </c>
      <c r="Q57" s="293">
        <f>ROUNDDOWN(Table311[[#This Row],[To date quotas unused (Open quotas+ no shows)]]/Table311[[#This Row],[Quota per Offering]],0)</f>
        <v>0</v>
      </c>
      <c r="R57" s="38">
        <f t="shared" si="5"/>
        <v>104</v>
      </c>
      <c r="S57" s="293">
        <f ca="1">COUNTIFS(Table2[Course Title],Table311[[#This Row],[Courses - Planned vs Need (Active Courses)]],Table2[Roster Status],"1",Table2[Remaining Courses],"0")</f>
        <v>0</v>
      </c>
      <c r="T57" s="293">
        <f ca="1">COUNTIFS(Table2[Course Title],Table311[[#This Row],[Courses - Planned vs Need (Active Courses)]],Table2[Remaining Courses],"1")</f>
        <v>3</v>
      </c>
      <c r="U57" s="39">
        <f t="shared" si="6"/>
        <v>2.2727272727272728E-2</v>
      </c>
      <c r="V57" s="30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0.8666666666666667</v>
      </c>
      <c r="W57" s="30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7" s="292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0</v>
      </c>
      <c r="Y57" s="293">
        <f t="shared" ca="1" si="7"/>
        <v>90</v>
      </c>
      <c r="Z57" s="293">
        <f>Table311[[#This Row],[Fleet Quota Need]]-Table311[[#This Row],[Total Grads]]</f>
        <v>688</v>
      </c>
      <c r="AA57" s="307"/>
    </row>
    <row r="58" spans="2:27" ht="31.5" x14ac:dyDescent="0.25">
      <c r="B58" s="299" t="s">
        <v>119</v>
      </c>
      <c r="C58" s="38"/>
      <c r="D58" s="34" t="s">
        <v>386</v>
      </c>
      <c r="E58" s="38">
        <f>COUNTIF(Table2[Course Title],Table311[[#This Row],[Courses - Planned vs Need (Active Courses)]])</f>
        <v>19</v>
      </c>
      <c r="F58" s="38">
        <v>100</v>
      </c>
      <c r="G58" s="38">
        <f>Table311[[#This Row],[Course Offerings]]*Table311[[#This Row],[Quota per Offering]]</f>
        <v>1900</v>
      </c>
      <c r="H58" s="296">
        <v>2261</v>
      </c>
      <c r="I58" s="38">
        <f t="shared" si="4"/>
        <v>-361</v>
      </c>
      <c r="J58" s="301">
        <f>IFERROR(Table311[[#This Row],[Planned Quotas]]/Table311[[#This Row],[Fleet Quota Need]],100%)</f>
        <v>0.84033613445378152</v>
      </c>
      <c r="K58" s="291">
        <f>SUMIF(Table2[Course Title],Table311[[#This Row],[Courses - Planned vs Need (Active Courses)]],Table2[Graduates])</f>
        <v>296</v>
      </c>
      <c r="L58" s="292">
        <f>SUMIF(Table2[Course Title],Table311[[#This Row],[Courses - Planned vs Need (Active Courses)]],Table2[Registered])</f>
        <v>821</v>
      </c>
      <c r="M58" s="292">
        <f>SUMIF(Table2[Course Title],Table311[[#This Row],[Courses - Planned vs Need (Active Courses)]],Table2[Waitlisted])</f>
        <v>14</v>
      </c>
      <c r="N58" s="292">
        <f>SUMIF(Table2[Course Title],Table311[[#This Row],[Courses - Planned vs Need (Active Courses)]],Table2[Walk-ins])</f>
        <v>1</v>
      </c>
      <c r="O58" s="38">
        <f>SUMIF(Table2[Course Title],Table311[[#This Row],[Courses - Planned vs Need (Active Courses)]],Table2[No Shows])</f>
        <v>16</v>
      </c>
      <c r="P58" s="38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108</v>
      </c>
      <c r="Q58" s="293">
        <f>ROUNDDOWN(Table311[[#This Row],[To date quotas unused (Open quotas+ no shows)]]/Table311[[#This Row],[Quota per Offering]],0)</f>
        <v>1</v>
      </c>
      <c r="R58" s="38">
        <f t="shared" si="5"/>
        <v>1604</v>
      </c>
      <c r="S58" s="293">
        <f ca="1">COUNTIFS(Table2[Course Title],Table311[[#This Row],[Courses - Planned vs Need (Active Courses)]],Table2[Roster Status],"1",Table2[Remaining Courses],"0")</f>
        <v>2</v>
      </c>
      <c r="T58" s="293">
        <f ca="1">COUNTIFS(Table2[Course Title],Table311[[#This Row],[Courses - Planned vs Need (Active Courses)]],Table2[Remaining Courses],"1")</f>
        <v>13</v>
      </c>
      <c r="U58" s="39">
        <f t="shared" si="6"/>
        <v>0.13091552410437859</v>
      </c>
      <c r="V58" s="30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0.73</v>
      </c>
      <c r="W58" s="30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0.96</v>
      </c>
      <c r="X58" s="292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248</v>
      </c>
      <c r="Y58" s="293">
        <f t="shared" ca="1" si="7"/>
        <v>1500</v>
      </c>
      <c r="Z58" s="293">
        <f>Table311[[#This Row],[Fleet Quota Need]]-Table311[[#This Row],[Total Grads]]</f>
        <v>1965</v>
      </c>
      <c r="AA58" s="307"/>
    </row>
    <row r="59" spans="2:27" ht="15.75" x14ac:dyDescent="0.25">
      <c r="B59" s="299" t="s">
        <v>159</v>
      </c>
      <c r="C59" s="38"/>
      <c r="D59" s="34" t="s">
        <v>386</v>
      </c>
      <c r="E59" s="38">
        <f>COUNTIF(Table2[Course Title],Table311[[#This Row],[Courses - Planned vs Need (Active Courses)]])</f>
        <v>3</v>
      </c>
      <c r="F59" s="38">
        <v>30</v>
      </c>
      <c r="G59" s="38">
        <f>Table311[[#This Row],[Course Offerings]]*Table311[[#This Row],[Quota per Offering]]</f>
        <v>90</v>
      </c>
      <c r="H59" s="418">
        <v>0</v>
      </c>
      <c r="I59" s="300">
        <f t="shared" si="4"/>
        <v>90</v>
      </c>
      <c r="J59" s="301">
        <f>IFERROR(Table311[[#This Row],[Planned Quotas]]/Table311[[#This Row],[Fleet Quota Need]],100%)</f>
        <v>1</v>
      </c>
      <c r="K59" s="291">
        <f>SUMIF(Table2[Course Title],Table311[[#This Row],[Courses - Planned vs Need (Active Courses)]],Table2[Graduates])</f>
        <v>22</v>
      </c>
      <c r="L59" s="292">
        <f>SUMIF(Table2[Course Title],Table311[[#This Row],[Courses - Planned vs Need (Active Courses)]],Table2[Registered])</f>
        <v>29</v>
      </c>
      <c r="M59" s="292">
        <f>SUMIF(Table2[Course Title],Table311[[#This Row],[Courses - Planned vs Need (Active Courses)]],Table2[Waitlisted])</f>
        <v>0</v>
      </c>
      <c r="N59" s="292">
        <f>SUMIF(Table2[Course Title],Table311[[#This Row],[Courses - Planned vs Need (Active Courses)]],Table2[Walk-ins])</f>
        <v>2</v>
      </c>
      <c r="O59" s="38">
        <f>SUMIF(Table2[Course Title],Table311[[#This Row],[Courses - Planned vs Need (Active Courses)]],Table2[No Shows])</f>
        <v>0</v>
      </c>
      <c r="P59" s="293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38</v>
      </c>
      <c r="Q59" s="293">
        <f>ROUNDDOWN(Table311[[#This Row],[To date quotas unused (Open quotas+ no shows)]]/Table311[[#This Row],[Quota per Offering]],0)</f>
        <v>1</v>
      </c>
      <c r="R59" s="38">
        <f t="shared" si="5"/>
        <v>68</v>
      </c>
      <c r="S59" s="293">
        <f ca="1">COUNTIFS(Table2[Course Title],Table311[[#This Row],[Courses - Planned vs Need (Active Courses)]],Table2[Roster Status],"1",Table2[Remaining Courses],"0")</f>
        <v>0</v>
      </c>
      <c r="T59" s="293">
        <f ca="1">COUNTIFS(Table2[Course Title],Table311[[#This Row],[Courses - Planned vs Need (Active Courses)]],Table2[Remaining Courses],"1")</f>
        <v>1</v>
      </c>
      <c r="U59" s="39">
        <f t="shared" si="6"/>
        <v>1</v>
      </c>
      <c r="V59" s="305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0.36666666666666664</v>
      </c>
      <c r="W59" s="306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59" s="292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0</v>
      </c>
      <c r="Y59" s="293">
        <f t="shared" ca="1" si="7"/>
        <v>30</v>
      </c>
      <c r="Z59" s="293">
        <f>Table311[[#This Row],[Fleet Quota Need]]-Table311[[#This Row],[Total Grads]]</f>
        <v>-22</v>
      </c>
      <c r="AA59" s="307"/>
    </row>
    <row r="60" spans="2:27" ht="31.5" x14ac:dyDescent="0.25">
      <c r="B60" s="365" t="s">
        <v>122</v>
      </c>
      <c r="C60" s="36"/>
      <c r="D60" s="34" t="s">
        <v>386</v>
      </c>
      <c r="E60" s="36">
        <f>COUNTIF(Table2[Course Title],Table311[[#This Row],[Courses - Planned vs Need (Active Courses)]])</f>
        <v>5</v>
      </c>
      <c r="F60" s="36">
        <v>25</v>
      </c>
      <c r="G60" s="36">
        <f>Table311[[#This Row],[Course Offerings]]*Table311[[#This Row],[Quota per Offering]]</f>
        <v>125</v>
      </c>
      <c r="H60" s="123">
        <v>120</v>
      </c>
      <c r="I60" s="36">
        <f t="shared" si="4"/>
        <v>5</v>
      </c>
      <c r="J60" s="304">
        <f>IFERROR(Table311[[#This Row],[Planned Quotas]]/Table311[[#This Row],[Fleet Quota Need]],100%)</f>
        <v>1.0416666666666667</v>
      </c>
      <c r="K60" s="36">
        <f>SUMIF(Table2[Course Title],Table311[[#This Row],[Courses - Planned vs Need (Active Courses)]],Table2[Graduates])</f>
        <v>19</v>
      </c>
      <c r="L60" s="36">
        <f>SUMIF(Table2[Course Title],Table311[[#This Row],[Courses - Planned vs Need (Active Courses)]],Table2[Registered])</f>
        <v>29</v>
      </c>
      <c r="M60" s="36">
        <f>SUMIF(Table2[Course Title],Table311[[#This Row],[Courses - Planned vs Need (Active Courses)]],Table2[Waitlisted])</f>
        <v>0</v>
      </c>
      <c r="N60" s="36">
        <f>SUMIF(Table2[Course Title],Table311[[#This Row],[Courses - Planned vs Need (Active Courses)]],Table2[Walk-ins])</f>
        <v>0</v>
      </c>
      <c r="O60" s="36">
        <f>SUMIF(Table2[Course Title],Table311[[#This Row],[Courses - Planned vs Need (Active Courses)]],Table2[No Shows])</f>
        <v>0</v>
      </c>
      <c r="P60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25</v>
      </c>
      <c r="Q60" s="37">
        <f>ROUNDDOWN(Table311[[#This Row],[To date quotas unused (Open quotas+ no shows)]]/Table311[[#This Row],[Quota per Offering]],0)</f>
        <v>1</v>
      </c>
      <c r="R60" s="36">
        <f t="shared" si="5"/>
        <v>106</v>
      </c>
      <c r="S60" s="37">
        <f ca="1">COUNTIFS(Table2[Course Title],Table311[[#This Row],[Courses - Planned vs Need (Active Courses)]],Table2[Roster Status],"1",Table2[Remaining Courses],"0")</f>
        <v>0</v>
      </c>
      <c r="T60" s="37">
        <f ca="1">COUNTIFS(Table2[Course Title],Table311[[#This Row],[Courses - Planned vs Need (Active Courses)]],Table2[Remaining Courses],"1")</f>
        <v>4</v>
      </c>
      <c r="U60" s="39">
        <f t="shared" si="6"/>
        <v>0.15833333333333333</v>
      </c>
      <c r="V60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60" s="39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1</v>
      </c>
      <c r="X60" s="36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82</v>
      </c>
      <c r="Y60" s="37">
        <f t="shared" ca="1" si="7"/>
        <v>100</v>
      </c>
      <c r="Z60" s="37">
        <f>Table311[[#This Row],[Fleet Quota Need]]-Table311[[#This Row],[Total Grads]]</f>
        <v>101</v>
      </c>
      <c r="AA60" s="24"/>
    </row>
    <row r="61" spans="2:27" ht="15.75" x14ac:dyDescent="0.25">
      <c r="B61" s="348" t="s">
        <v>125</v>
      </c>
      <c r="C61" s="36" t="s">
        <v>387</v>
      </c>
      <c r="D61" s="36" t="s">
        <v>384</v>
      </c>
      <c r="E61" s="36">
        <f>COUNTIF(Table2[Course Title],Table311[[#This Row],[Courses - Planned vs Need (Active Courses)]])</f>
        <v>9</v>
      </c>
      <c r="F61" s="36">
        <v>25</v>
      </c>
      <c r="G61" s="36">
        <f>Table311[[#This Row],[Course Offerings]]*Table311[[#This Row],[Quota per Offering]]</f>
        <v>225</v>
      </c>
      <c r="H61" s="123">
        <v>610</v>
      </c>
      <c r="I61" s="36">
        <f t="shared" si="4"/>
        <v>-385</v>
      </c>
      <c r="J61" s="304">
        <f>IFERROR(Table311[[#This Row],[Planned Quotas]]/Table311[[#This Row],[Fleet Quota Need]],100%)</f>
        <v>0.36885245901639346</v>
      </c>
      <c r="K61" s="36">
        <f>SUMIF(Table2[Course Title],Table311[[#This Row],[Courses - Planned vs Need (Active Courses)]],Table2[Graduates])</f>
        <v>0</v>
      </c>
      <c r="L61" s="36">
        <f>SUMIF(Table2[Course Title],Table311[[#This Row],[Courses - Planned vs Need (Active Courses)]],Table2[Registered])</f>
        <v>3</v>
      </c>
      <c r="M61" s="36">
        <f>SUMIF(Table2[Course Title],Table311[[#This Row],[Courses - Planned vs Need (Active Courses)]],Table2[Waitlisted])</f>
        <v>0</v>
      </c>
      <c r="N61" s="36">
        <f>SUMIF(Table2[Course Title],Table311[[#This Row],[Courses - Planned vs Need (Active Courses)]],Table2[Walk-ins])</f>
        <v>0</v>
      </c>
      <c r="O61" s="36">
        <f>SUMIF(Table2[Course Title],Table311[[#This Row],[Courses - Planned vs Need (Active Courses)]],Table2[No Shows])</f>
        <v>0</v>
      </c>
      <c r="P61" s="36">
        <f>SUMIFS(Table2[Quotas],Table2[Course Title],Table311[[#This Row],[Courses - Planned vs Need (Active Courses)]],Table2[Roster Status],0)-SUMIFS(Table2[Graduates],Table2[Course Title],Table311[[#This Row],[Courses - Planned vs Need (Active Courses)]],Table2[Roster Status],0)-SUMIFS(Table2[Fail],Table2[Course Title],Table311[[#This Row],[Courses - Planned vs Need (Active Courses)]],Table2[Roster Status],0)+Table311[[#This Row],[No Shows]]</f>
        <v>0</v>
      </c>
      <c r="Q61" s="37">
        <f>ROUNDDOWN(Table311[[#This Row],[To date quotas unused (Open quotas+ no shows)]]/Table311[[#This Row],[Quota per Offering]],0)</f>
        <v>0</v>
      </c>
      <c r="R61" s="36">
        <f t="shared" si="5"/>
        <v>225</v>
      </c>
      <c r="S61" s="37">
        <f ca="1">COUNTIFS(Table2[Course Title],Table311[[#This Row],[Courses - Planned vs Need (Active Courses)]],Table2[Roster Status],"1",Table2[Remaining Courses],"0")</f>
        <v>0</v>
      </c>
      <c r="T61" s="37">
        <f ca="1">COUNTIFS(Table2[Course Title],Table311[[#This Row],[Courses - Planned vs Need (Active Courses)]],Table2[Remaining Courses],"1")</f>
        <v>9</v>
      </c>
      <c r="U61" s="39">
        <f t="shared" si="6"/>
        <v>0</v>
      </c>
      <c r="V61" s="39">
        <f ca="1">IFERROR((Table311[[#This Row],[Quota per Offering]]*(Table311[[#This Row],[Course Offerings]]-Table311[[#This Row],['# of course completion reports to be processed]]-Table311[[#This Row],['# of courses remaining]])-Table311[[#This Row],[To date quotas unused (Open quotas+ no shows)]])/(Table311[[#This Row],[Quota per Offering]]*(Table311[[#This Row],[Course Offerings]]-Table311[[#This Row],['# of course completion reports to be processed]]-Table311[[#This Row],['# of courses remaining]])),0)</f>
        <v>0</v>
      </c>
      <c r="W61" s="39">
        <f ca="1">IFERROR((Table311[[#This Row],[Quota per Offering]]*(Table311[[#This Row],[Course Offerings]]-Table311[[#This Row],['# of course completion reports to be processed]]-Table311[[#This Row],['# of courses remaining]])-Table311[[#This Row],[No Shows]])/(Table311[[#This Row],[Quota per Offering]]*(Table311[[#This Row],[Course Offerings]]-Table311[[#This Row],['# of course completion reports to be processed]]-Table311[[#This Row],['# of courses remaining]])),0)</f>
        <v>0</v>
      </c>
      <c r="X61" s="36">
        <f ca="1">(SUMIFS(Table2[Open Quotas],Table2[Course Title],Table311[[#This Row],[Courses - Planned vs Need (Active Courses)]],Table2[Remaining Courses],"1",Table2[QTR],"2"))+SUMIFS(Table2[Open Quotas],Table2[Course Title],Table311[[#This Row],[Courses - Planned vs Need (Active Courses)]],Table2[Remaining Courses],"1",Table2[QTR],"1")</f>
        <v>22</v>
      </c>
      <c r="Y61" s="37">
        <f t="shared" ca="1" si="7"/>
        <v>225</v>
      </c>
      <c r="Z61" s="37">
        <f>Table311[[#This Row],[Fleet Quota Need]]-Table311[[#This Row],[Total Grads]]</f>
        <v>610</v>
      </c>
      <c r="AA61" s="24"/>
    </row>
    <row r="62" spans="2:27" ht="16.5" thickBot="1" x14ac:dyDescent="0.3">
      <c r="B62" s="297" t="s">
        <v>128</v>
      </c>
      <c r="C62" s="65"/>
      <c r="D62" s="65"/>
      <c r="E62" s="65">
        <f>SUM(Table311[Course Offerings])</f>
        <v>584</v>
      </c>
      <c r="F62" s="65">
        <f>SUM(Table311[Quota per Offering])</f>
        <v>19380</v>
      </c>
      <c r="G62" s="65">
        <f>SUM(Table311[Planned Quotas])</f>
        <v>126190</v>
      </c>
      <c r="H62" s="65">
        <f>SUM(Table311[Fleet Quota Need])</f>
        <v>30657</v>
      </c>
      <c r="I62" s="65">
        <f>SUM(Table311[Difference])</f>
        <v>95533</v>
      </c>
      <c r="J62" s="298">
        <f>G62/H62</f>
        <v>4.1161887986430505</v>
      </c>
      <c r="K62" s="66">
        <f>SUM(Table311[Total Grads])</f>
        <v>3259</v>
      </c>
      <c r="L62" s="66">
        <f>SUM(Table311[Total Registered])</f>
        <v>4351</v>
      </c>
      <c r="M62" s="66">
        <f>SUM(Table311[Total Waitlisted])</f>
        <v>91</v>
      </c>
      <c r="N62" s="66">
        <f>SUM(Table311[Total Walk-in])</f>
        <v>53</v>
      </c>
      <c r="O62" s="66">
        <f>SUM(Table311[No Shows])</f>
        <v>128</v>
      </c>
      <c r="P62" s="66">
        <f>SUM(Table311[To date quotas unused (Open quotas+ no shows)])</f>
        <v>39467</v>
      </c>
      <c r="Q62" s="66">
        <f>SUM(Table311[Sunk Courses due to unused quotas todate])</f>
        <v>36</v>
      </c>
      <c r="R62" s="302">
        <f>SUM(Table311[Grads needed this FY towards planned quotas])</f>
        <v>122931</v>
      </c>
      <c r="S62" s="66">
        <f ca="1">SUM(Table311['# of course completion reports to be processed])</f>
        <v>13</v>
      </c>
      <c r="T62" s="66">
        <f ca="1">SUM(Table311['# of courses remaining])</f>
        <v>469</v>
      </c>
      <c r="U62" s="303">
        <f>K62/H62</f>
        <v>0.10630524839351535</v>
      </c>
      <c r="V62" s="303">
        <f t="shared" ref="V62:W62" si="8">L62/I62</f>
        <v>4.5544471543864422E-2</v>
      </c>
      <c r="W62" s="303">
        <f t="shared" si="8"/>
        <v>22.107829463507411</v>
      </c>
      <c r="X62" s="294">
        <f ca="1">SUM(Table311[Remaining FY26 QTR 1 and 2 Open Quotas])</f>
        <v>67583</v>
      </c>
      <c r="Y62" s="295">
        <f ca="1">SUM(Table311['# of additional grads if all quotas are filled of course results remaining to be processed])</f>
        <v>83575</v>
      </c>
      <c r="Z62" s="295">
        <f>SUM(Table311[Difference between completed and fleet need of completed, potentially remaining quotas, and processed courses])</f>
        <v>27398</v>
      </c>
      <c r="AA62" s="294"/>
    </row>
  </sheetData>
  <sheetProtection algorithmName="SHA-512" hashValue="fmzAFpCGhAjOO3UuFHz49fOdAxPNI1l5J+CumVcxXbx+CETNQAFP2KKOLVhivmC+SgYTE8vzCJ+0PKvQMTKoMg==" saltValue="Duf2u2fBT4ACh8bSUap0Rw==" spinCount="100000" sheet="1" objects="1" scenarios="1" sort="0"/>
  <mergeCells count="3">
    <mergeCell ref="B3:J3"/>
    <mergeCell ref="K3:U3"/>
    <mergeCell ref="X3:AA3"/>
  </mergeCells>
  <phoneticPr fontId="4" type="noConversion"/>
  <conditionalFormatting sqref="C5:G61 I5:I61 K5:O61 R5:U61 Y5:Z61">
    <cfRule type="cellIs" dxfId="978" priority="6" operator="lessThan">
      <formula>0</formula>
    </cfRule>
  </conditionalFormatting>
  <conditionalFormatting sqref="J5:J61 U5:U61">
    <cfRule type="cellIs" dxfId="977" priority="5" operator="lessThan">
      <formula>1</formula>
    </cfRule>
  </conditionalFormatting>
  <conditionalFormatting sqref="X5:X61">
    <cfRule type="cellIs" dxfId="976" priority="1" operator="greaterThan">
      <formula>0</formula>
    </cfRule>
  </conditionalFormatting>
  <pageMargins left="0.25" right="0.25" top="0.75" bottom="0.75" header="0.3" footer="0.3"/>
  <pageSetup paperSize="5" scale="28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0000000}">
          <x14:formula1>
            <xm:f>'TSD-Data'!$A$2:$A$80</xm:f>
          </x14:formula1>
          <xm:sqref>B5:B61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4D047-F1F1-4A06-8D0E-D2CE7897CA1A}">
  <sheetPr>
    <tabColor rgb="FFFF0000"/>
  </sheetPr>
  <dimension ref="A1:C25"/>
  <sheetViews>
    <sheetView workbookViewId="0">
      <selection activeCell="B31" sqref="B31"/>
    </sheetView>
  </sheetViews>
  <sheetFormatPr defaultRowHeight="15" x14ac:dyDescent="0.25"/>
  <cols>
    <col min="1" max="1" width="22.7109375" bestFit="1" customWidth="1"/>
    <col min="2" max="2" width="53.85546875" bestFit="1" customWidth="1"/>
    <col min="3" max="3" width="16.42578125" bestFit="1" customWidth="1"/>
    <col min="4" max="4" width="14" bestFit="1" customWidth="1"/>
    <col min="5" max="5" width="17.28515625" bestFit="1" customWidth="1"/>
    <col min="6" max="6" width="19" bestFit="1" customWidth="1"/>
    <col min="7" max="7" width="22.28515625" bestFit="1" customWidth="1"/>
    <col min="8" max="8" width="16.42578125" bestFit="1" customWidth="1"/>
    <col min="9" max="9" width="19.7109375" bestFit="1" customWidth="1"/>
    <col min="10" max="10" width="14" bestFit="1" customWidth="1"/>
    <col min="11" max="11" width="17.28515625" bestFit="1" customWidth="1"/>
    <col min="12" max="12" width="16.42578125" bestFit="1" customWidth="1"/>
    <col min="13" max="13" width="19.7109375" bestFit="1" customWidth="1"/>
    <col min="14" max="14" width="14" bestFit="1" customWidth="1"/>
    <col min="15" max="15" width="17.28515625" bestFit="1" customWidth="1"/>
    <col min="16" max="16" width="16.42578125" bestFit="1" customWidth="1"/>
    <col min="17" max="17" width="19.7109375" bestFit="1" customWidth="1"/>
    <col min="18" max="18" width="14" bestFit="1" customWidth="1"/>
    <col min="19" max="19" width="17.28515625" bestFit="1" customWidth="1"/>
    <col min="20" max="20" width="16.42578125" bestFit="1" customWidth="1"/>
    <col min="21" max="21" width="19.7109375" bestFit="1" customWidth="1"/>
    <col min="22" max="22" width="14" bestFit="1" customWidth="1"/>
    <col min="23" max="23" width="17.28515625" bestFit="1" customWidth="1"/>
    <col min="24" max="24" width="16.42578125" bestFit="1" customWidth="1"/>
    <col min="25" max="25" width="19.7109375" bestFit="1" customWidth="1"/>
    <col min="26" max="26" width="14" bestFit="1" customWidth="1"/>
    <col min="27" max="27" width="17.28515625" bestFit="1" customWidth="1"/>
    <col min="28" max="28" width="17.5703125" bestFit="1" customWidth="1"/>
    <col min="29" max="29" width="20.7109375" bestFit="1" customWidth="1"/>
    <col min="30" max="30" width="19" bestFit="1" customWidth="1"/>
    <col min="31" max="31" width="22.28515625" bestFit="1" customWidth="1"/>
  </cols>
  <sheetData>
    <row r="1" spans="1:3" x14ac:dyDescent="0.25">
      <c r="A1" s="6" t="s">
        <v>130</v>
      </c>
      <c r="B1" t="s">
        <v>48</v>
      </c>
    </row>
    <row r="2" spans="1:3" x14ac:dyDescent="0.25">
      <c r="B2" s="50" t="s">
        <v>409</v>
      </c>
      <c r="C2" s="50" t="s">
        <v>410</v>
      </c>
    </row>
    <row r="3" spans="1:3" x14ac:dyDescent="0.25">
      <c r="A3" s="6" t="s">
        <v>411</v>
      </c>
      <c r="B3" t="s">
        <v>412</v>
      </c>
      <c r="C3" t="s">
        <v>413</v>
      </c>
    </row>
    <row r="4" spans="1:3" x14ac:dyDescent="0.25">
      <c r="A4" s="4" t="s">
        <v>294</v>
      </c>
      <c r="B4" s="661">
        <v>25</v>
      </c>
      <c r="C4" s="661">
        <v>28</v>
      </c>
    </row>
    <row r="5" spans="1:3" x14ac:dyDescent="0.25">
      <c r="A5" s="4" t="s">
        <v>293</v>
      </c>
      <c r="B5" s="661">
        <v>75</v>
      </c>
      <c r="C5" s="661">
        <v>90</v>
      </c>
    </row>
    <row r="6" spans="1:3" x14ac:dyDescent="0.25">
      <c r="A6" s="4" t="s">
        <v>255</v>
      </c>
      <c r="B6" s="661">
        <v>50</v>
      </c>
      <c r="C6" s="661">
        <v>52</v>
      </c>
    </row>
    <row r="7" spans="1:3" x14ac:dyDescent="0.25">
      <c r="A7" s="4" t="s">
        <v>171</v>
      </c>
      <c r="B7" s="661">
        <v>25</v>
      </c>
      <c r="C7" s="661">
        <v>25</v>
      </c>
    </row>
    <row r="8" spans="1:3" x14ac:dyDescent="0.25">
      <c r="A8" s="4" t="s">
        <v>256</v>
      </c>
      <c r="B8" s="661">
        <v>75</v>
      </c>
      <c r="C8" s="661">
        <v>75</v>
      </c>
    </row>
    <row r="9" spans="1:3" x14ac:dyDescent="0.25">
      <c r="A9" s="4" t="s">
        <v>258</v>
      </c>
      <c r="B9" s="661">
        <v>100</v>
      </c>
      <c r="C9" s="661">
        <v>116</v>
      </c>
    </row>
    <row r="10" spans="1:3" x14ac:dyDescent="0.25">
      <c r="A10" s="4" t="s">
        <v>259</v>
      </c>
      <c r="B10" s="661">
        <v>50</v>
      </c>
      <c r="C10" s="661">
        <v>67</v>
      </c>
    </row>
    <row r="11" spans="1:3" x14ac:dyDescent="0.25">
      <c r="A11" s="4" t="s">
        <v>229</v>
      </c>
      <c r="B11" s="661">
        <v>75</v>
      </c>
      <c r="C11" s="661">
        <v>512</v>
      </c>
    </row>
    <row r="12" spans="1:3" x14ac:dyDescent="0.25">
      <c r="A12" s="4" t="s">
        <v>173</v>
      </c>
      <c r="B12" s="661">
        <v>25</v>
      </c>
      <c r="C12" s="661">
        <v>512</v>
      </c>
    </row>
    <row r="13" spans="1:3" x14ac:dyDescent="0.25">
      <c r="A13" s="4" t="s">
        <v>414</v>
      </c>
      <c r="B13" s="661">
        <v>25</v>
      </c>
      <c r="C13" s="661">
        <v>512</v>
      </c>
    </row>
    <row r="14" spans="1:3" x14ac:dyDescent="0.25">
      <c r="A14" s="4" t="s">
        <v>328</v>
      </c>
      <c r="B14" s="661">
        <v>25</v>
      </c>
      <c r="C14" s="661">
        <v>39</v>
      </c>
    </row>
    <row r="15" spans="1:3" x14ac:dyDescent="0.25">
      <c r="A15" s="4" t="s">
        <v>263</v>
      </c>
      <c r="B15" s="661">
        <v>75</v>
      </c>
      <c r="C15" s="661">
        <v>84</v>
      </c>
    </row>
    <row r="16" spans="1:3" x14ac:dyDescent="0.25">
      <c r="A16" s="4" t="s">
        <v>316</v>
      </c>
      <c r="B16" s="661">
        <v>25</v>
      </c>
      <c r="C16" s="661">
        <v>35</v>
      </c>
    </row>
    <row r="17" spans="1:3" x14ac:dyDescent="0.25">
      <c r="A17" s="4" t="s">
        <v>279</v>
      </c>
      <c r="B17" s="661">
        <v>225</v>
      </c>
      <c r="C17" s="661">
        <v>225</v>
      </c>
    </row>
    <row r="18" spans="1:3" x14ac:dyDescent="0.25">
      <c r="A18" s="4" t="s">
        <v>295</v>
      </c>
      <c r="B18" s="661">
        <v>25</v>
      </c>
      <c r="C18" s="661">
        <v>25</v>
      </c>
    </row>
    <row r="19" spans="1:3" x14ac:dyDescent="0.25">
      <c r="A19" s="4" t="s">
        <v>305</v>
      </c>
      <c r="B19" s="661">
        <v>25</v>
      </c>
      <c r="C19" s="661">
        <v>10</v>
      </c>
    </row>
    <row r="20" spans="1:3" x14ac:dyDescent="0.25">
      <c r="A20" s="4" t="s">
        <v>264</v>
      </c>
      <c r="B20" s="661">
        <v>125</v>
      </c>
      <c r="C20" s="661">
        <v>516</v>
      </c>
    </row>
    <row r="21" spans="1:3" x14ac:dyDescent="0.25">
      <c r="A21" s="4" t="s">
        <v>290</v>
      </c>
      <c r="B21" s="661">
        <v>25</v>
      </c>
      <c r="C21" s="661">
        <v>27</v>
      </c>
    </row>
    <row r="22" spans="1:3" x14ac:dyDescent="0.25">
      <c r="A22" s="4" t="s">
        <v>266</v>
      </c>
      <c r="B22" s="661">
        <v>50</v>
      </c>
      <c r="C22" s="661">
        <v>55</v>
      </c>
    </row>
    <row r="23" spans="1:3" x14ac:dyDescent="0.25">
      <c r="A23" s="4" t="s">
        <v>170</v>
      </c>
      <c r="B23" s="661">
        <v>75</v>
      </c>
      <c r="C23" s="661">
        <v>107</v>
      </c>
    </row>
    <row r="24" spans="1:3" x14ac:dyDescent="0.25">
      <c r="A24" s="4" t="s">
        <v>415</v>
      </c>
      <c r="B24" s="661">
        <v>25</v>
      </c>
      <c r="C24" s="661"/>
    </row>
    <row r="25" spans="1:3" x14ac:dyDescent="0.25">
      <c r="A25" s="4" t="s">
        <v>416</v>
      </c>
      <c r="B25" s="661">
        <v>1225</v>
      </c>
      <c r="C25" s="661">
        <v>10</v>
      </c>
    </row>
  </sheetData>
  <pageMargins left="0.7" right="0.7" top="0.75" bottom="0.75" header="0.3" footer="0.3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">
    <tabColor theme="8"/>
    <pageSetUpPr fitToPage="1"/>
  </sheetPr>
  <dimension ref="B1:BB612"/>
  <sheetViews>
    <sheetView zoomScale="90" zoomScaleNormal="90" workbookViewId="0">
      <selection activeCell="B3" sqref="B3"/>
    </sheetView>
  </sheetViews>
  <sheetFormatPr defaultColWidth="9.28515625" defaultRowHeight="15" x14ac:dyDescent="0.25"/>
  <cols>
    <col min="1" max="1" width="7.7109375" style="426" customWidth="1"/>
    <col min="2" max="2" width="31.42578125" style="424" customWidth="1"/>
    <col min="3" max="3" width="73.7109375" style="3" customWidth="1"/>
    <col min="4" max="4" width="14.42578125" style="2" customWidth="1"/>
    <col min="5" max="5" width="14.42578125" style="11" customWidth="1"/>
    <col min="6" max="6" width="26.5703125" style="3" customWidth="1"/>
    <col min="7" max="7" width="14.42578125" style="10"/>
    <col min="8" max="16" width="14.42578125" style="10" customWidth="1"/>
    <col min="17" max="17" width="17.28515625" style="424" customWidth="1"/>
    <col min="18" max="19" width="14.42578125" style="424" customWidth="1"/>
    <col min="20" max="20" width="14.42578125" style="2" customWidth="1"/>
    <col min="21" max="25" width="9.28515625" style="2" customWidth="1"/>
    <col min="26" max="26" width="9.28515625" style="425" customWidth="1"/>
    <col min="27" max="31" width="9.28515625" style="2" customWidth="1"/>
    <col min="32" max="39" width="14.42578125" style="2" customWidth="1"/>
    <col min="40" max="16384" width="9.28515625" style="426"/>
  </cols>
  <sheetData>
    <row r="1" spans="2:40" x14ac:dyDescent="0.25">
      <c r="B1" s="424" t="s">
        <v>222</v>
      </c>
      <c r="C1" s="424"/>
    </row>
    <row r="2" spans="2:40" x14ac:dyDescent="0.25">
      <c r="B2" s="3"/>
    </row>
    <row r="3" spans="2:40" ht="45.75" thickBot="1" x14ac:dyDescent="0.3">
      <c r="B3" s="26" t="s">
        <v>223</v>
      </c>
      <c r="C3" s="26" t="s">
        <v>130</v>
      </c>
      <c r="D3" s="26" t="s">
        <v>11</v>
      </c>
      <c r="E3" s="93" t="s">
        <v>131</v>
      </c>
      <c r="F3" s="415" t="s">
        <v>132</v>
      </c>
      <c r="G3" s="27" t="s">
        <v>133</v>
      </c>
      <c r="H3" s="27" t="s">
        <v>134</v>
      </c>
      <c r="I3" s="347" t="s">
        <v>417</v>
      </c>
      <c r="J3" s="62" t="s">
        <v>135</v>
      </c>
      <c r="K3" s="62" t="s">
        <v>136</v>
      </c>
      <c r="L3" s="62" t="s">
        <v>137</v>
      </c>
      <c r="M3" s="62" t="s">
        <v>138</v>
      </c>
      <c r="N3" s="62" t="s">
        <v>139</v>
      </c>
      <c r="O3" s="62" t="s">
        <v>140</v>
      </c>
      <c r="P3" s="62" t="s">
        <v>141</v>
      </c>
      <c r="Q3" s="28" t="s">
        <v>142</v>
      </c>
      <c r="R3" s="26" t="s">
        <v>143</v>
      </c>
      <c r="S3" s="28" t="s">
        <v>418</v>
      </c>
      <c r="T3" s="29" t="s">
        <v>144</v>
      </c>
      <c r="U3" s="29" t="s">
        <v>145</v>
      </c>
      <c r="V3" s="29" t="s">
        <v>146</v>
      </c>
      <c r="W3" s="29" t="s">
        <v>419</v>
      </c>
      <c r="X3" s="29" t="s">
        <v>148</v>
      </c>
      <c r="Y3" s="29" t="s">
        <v>149</v>
      </c>
      <c r="Z3" s="28" t="s">
        <v>150</v>
      </c>
      <c r="AA3" s="28" t="s">
        <v>151</v>
      </c>
      <c r="AB3" s="28" t="s">
        <v>152</v>
      </c>
      <c r="AC3" s="28" t="s">
        <v>153</v>
      </c>
      <c r="AD3" s="28" t="s">
        <v>154</v>
      </c>
      <c r="AE3" s="28" t="s">
        <v>420</v>
      </c>
      <c r="AF3" s="227" t="s">
        <v>156</v>
      </c>
      <c r="AG3" s="227" t="s">
        <v>157</v>
      </c>
      <c r="AH3" s="227" t="s">
        <v>158</v>
      </c>
      <c r="AI3" s="228" t="s">
        <v>421</v>
      </c>
      <c r="AJ3" s="228" t="s">
        <v>422</v>
      </c>
      <c r="AK3" s="228" t="s">
        <v>128</v>
      </c>
      <c r="AL3" s="641" t="s">
        <v>423</v>
      </c>
      <c r="AM3" s="427" t="s">
        <v>424</v>
      </c>
      <c r="AN3" s="427" t="s">
        <v>425</v>
      </c>
    </row>
    <row r="4" spans="2:40" s="459" customFormat="1" x14ac:dyDescent="0.25">
      <c r="B4" s="450"/>
      <c r="C4" s="451" t="s">
        <v>100</v>
      </c>
      <c r="D4" s="452" t="str">
        <f>VLOOKUP(Table2[[#This Row],[Course Title]],'TSD-Data'!$A$1:$E$80,2,FALSE)</f>
        <v>A-493-0550</v>
      </c>
      <c r="E4" s="452" t="str">
        <f>VLOOKUP(Table2[[#This Row],[Course Title]],'TSD-Data'!$A$1:$E$80,3,FALSE)</f>
        <v>09K5</v>
      </c>
      <c r="F4" s="450" t="s">
        <v>25</v>
      </c>
      <c r="G4" s="453">
        <v>45929</v>
      </c>
      <c r="H4" s="453">
        <v>45932</v>
      </c>
      <c r="I4" s="454" t="s">
        <v>163</v>
      </c>
      <c r="J4" s="455"/>
      <c r="K4" s="679">
        <v>0.33333333333333331</v>
      </c>
      <c r="L4" s="642">
        <v>0.20833333333333334</v>
      </c>
      <c r="M4" s="642">
        <v>0.625</v>
      </c>
      <c r="N4" s="642">
        <v>0.54166666666666663</v>
      </c>
      <c r="O4" s="642">
        <v>8.3333333333333329E-2</v>
      </c>
      <c r="P4" s="642">
        <v>0.875</v>
      </c>
      <c r="Q4" s="456" t="s">
        <v>426</v>
      </c>
      <c r="R4" s="456"/>
      <c r="S4" s="456"/>
      <c r="T4" s="452">
        <f>VLOOKUP(Table2[[#This Row],[Course Title]],'TSD-Data'!$A$1:$E$80,4,FALSE)</f>
        <v>45</v>
      </c>
      <c r="U4" s="452">
        <f>VLOOKUP(Table2[[#This Row],[Course Title]],'TSD-Data'!$A$1:$F$80,6,FALSE)</f>
        <v>32</v>
      </c>
      <c r="V4" s="457">
        <f>VLOOKUP(Table2[[#This Row],[Course Title]],'TSD-Data'!$A$1:$F$80,5,FALSE)</f>
        <v>4</v>
      </c>
      <c r="W4" s="457">
        <v>455</v>
      </c>
      <c r="X4" s="452">
        <f>Table2[[#This Row],[Quotas]]-Table2[[#This Row],[Open Quotas]]</f>
        <v>38</v>
      </c>
      <c r="Y4" s="452">
        <v>0</v>
      </c>
      <c r="Z4" s="457">
        <v>34</v>
      </c>
      <c r="AA4" s="457">
        <v>0</v>
      </c>
      <c r="AB4" s="452">
        <v>0</v>
      </c>
      <c r="AC4" s="452">
        <v>0</v>
      </c>
      <c r="AD4" s="452">
        <v>0</v>
      </c>
      <c r="AE4" s="452" t="s">
        <v>427</v>
      </c>
      <c r="AF4" s="457">
        <f ca="1">Table2[[#This Row],[End Date]]+2-TODAY()</f>
        <v>-73</v>
      </c>
      <c r="AG4" s="452">
        <f>IF(ISBLANK(Table2[[#This Row],[Roster Received by]]),1,0)</f>
        <v>0</v>
      </c>
      <c r="AH4" s="452">
        <f ca="1">IF(Table2[[#This Row],[Start Date]]&gt;TODAY(),1,)</f>
        <v>0</v>
      </c>
      <c r="AI4" s="452">
        <f>IF(ISBLANK(Table2[[#This Row],[Primary Instructor]]),0,1)</f>
        <v>1</v>
      </c>
      <c r="AJ4" s="452">
        <f>IF(ISBLANK(Table2[[#This Row],[Instructor 2]]),0,1)</f>
        <v>0</v>
      </c>
      <c r="AK4" s="452">
        <f>Table2[[#This Row],[Course Length (Hours)]]/(SUM(Table2[[#This Row],[1]:[2]]))</f>
        <v>32</v>
      </c>
      <c r="AL4" s="640">
        <v>7</v>
      </c>
      <c r="AM4" s="452">
        <v>1</v>
      </c>
      <c r="AN4" s="458" t="str">
        <f>VLOOKUP(Table2[[#This Row],[Course Title]],'TSD-Data'!$A$1:$G$80,7,FALSE)</f>
        <v>N5</v>
      </c>
    </row>
    <row r="5" spans="2:40" s="428" customFormat="1" x14ac:dyDescent="0.25">
      <c r="B5" s="450"/>
      <c r="C5" s="451" t="s">
        <v>65</v>
      </c>
      <c r="D5" s="452" t="str">
        <f>VLOOKUP(Table2[[#This Row],[Course Title]],'TSD-Data'!$A$1:$E$80,2,FALSE)</f>
        <v>A-493-0099</v>
      </c>
      <c r="E5" s="452" t="str">
        <f>VLOOKUP(Table2[[#This Row],[Course Title]],'TSD-Data'!$A$1:$E$80,3,FALSE)</f>
        <v>12JW</v>
      </c>
      <c r="F5" s="451" t="s">
        <v>25</v>
      </c>
      <c r="G5" s="453">
        <v>45930</v>
      </c>
      <c r="H5" s="453">
        <v>45932</v>
      </c>
      <c r="I5" s="454" t="s">
        <v>163</v>
      </c>
      <c r="J5" s="455"/>
      <c r="K5" s="460">
        <v>0.5</v>
      </c>
      <c r="L5" s="460">
        <v>0.375</v>
      </c>
      <c r="M5" s="460">
        <v>0.79166666666666663</v>
      </c>
      <c r="N5" s="460">
        <v>0.75</v>
      </c>
      <c r="O5" s="460">
        <v>0.25</v>
      </c>
      <c r="P5" s="460">
        <v>4.1666666666666664E-2</v>
      </c>
      <c r="Q5" s="456" t="s">
        <v>273</v>
      </c>
      <c r="R5" s="456"/>
      <c r="S5" s="456"/>
      <c r="T5" s="452">
        <f>VLOOKUP(Table2[[#This Row],[Course Title]],'TSD-Data'!$A$1:$E$80,4,FALSE)</f>
        <v>45</v>
      </c>
      <c r="U5" s="452">
        <f>VLOOKUP(Table2[[#This Row],[Course Title]],'TSD-Data'!$A$1:$F$80,6,FALSE)</f>
        <v>24</v>
      </c>
      <c r="V5" s="457">
        <f>VLOOKUP(Table2[[#This Row],[Course Title]],'TSD-Data'!$A$1:$F$80,5,FALSE)</f>
        <v>3</v>
      </c>
      <c r="W5" s="457">
        <v>1041</v>
      </c>
      <c r="X5" s="452">
        <f>Table2[[#This Row],[Quotas]]-Table2[[#This Row],[Open Quotas]]</f>
        <v>35</v>
      </c>
      <c r="Y5" s="452">
        <v>0</v>
      </c>
      <c r="Z5" s="457">
        <v>27</v>
      </c>
      <c r="AA5" s="457">
        <v>2</v>
      </c>
      <c r="AB5" s="452">
        <v>0</v>
      </c>
      <c r="AC5" s="452">
        <v>0</v>
      </c>
      <c r="AD5" s="452">
        <v>0</v>
      </c>
      <c r="AE5" s="452" t="s">
        <v>428</v>
      </c>
      <c r="AF5" s="457">
        <f ca="1">Table2[[#This Row],[End Date]]+2-TODAY()</f>
        <v>-73</v>
      </c>
      <c r="AG5" s="452">
        <f>IF(ISBLANK(Table2[[#This Row],[Roster Received by]]),1,0)</f>
        <v>0</v>
      </c>
      <c r="AH5" s="452">
        <f ca="1">IF(Table2[[#This Row],[Start Date]]&gt;TODAY(),1,)</f>
        <v>0</v>
      </c>
      <c r="AI5" s="452">
        <f>IF(ISBLANK(Table2[[#This Row],[Primary Instructor]]),0,1)</f>
        <v>1</v>
      </c>
      <c r="AJ5" s="452">
        <f>IF(ISBLANK(Table2[[#This Row],[Instructor 2]]),0,1)</f>
        <v>0</v>
      </c>
      <c r="AK5" s="452">
        <f>Table2[[#This Row],[Course Length (Hours)]]/(SUM(Table2[[#This Row],[1]:[2]]))</f>
        <v>24</v>
      </c>
      <c r="AL5" s="640">
        <v>10</v>
      </c>
      <c r="AM5" s="452">
        <v>1</v>
      </c>
      <c r="AN5" s="458" t="str">
        <f>VLOOKUP(Table2[[#This Row],[Course Title]],'TSD-Data'!$A$1:$G$80,7,FALSE)</f>
        <v>N5</v>
      </c>
    </row>
    <row r="6" spans="2:40" s="459" customFormat="1" x14ac:dyDescent="0.25">
      <c r="B6" s="450" t="s">
        <v>429</v>
      </c>
      <c r="C6" s="451" t="s">
        <v>110</v>
      </c>
      <c r="D6" s="458" t="str">
        <f>VLOOKUP(Table2[[#This Row],[Course Title]],'TSD-Data'!$A$1:$E$80,2,FALSE)</f>
        <v>A-493-2501</v>
      </c>
      <c r="E6" s="458" t="str">
        <f>VLOOKUP(Table2[[#This Row],[Course Title]],'TSD-Data'!$A$1:$E$80,3,FALSE)</f>
        <v>05ZE</v>
      </c>
      <c r="F6" s="451" t="s">
        <v>311</v>
      </c>
      <c r="G6" s="454">
        <v>45932</v>
      </c>
      <c r="H6" s="454">
        <v>45932</v>
      </c>
      <c r="I6" s="454" t="s">
        <v>163</v>
      </c>
      <c r="J6" s="455">
        <v>0.33333333333333331</v>
      </c>
      <c r="K6" s="420"/>
      <c r="L6" s="453"/>
      <c r="M6" s="453"/>
      <c r="N6" s="453"/>
      <c r="O6" s="453"/>
      <c r="P6" s="453"/>
      <c r="Q6" s="456" t="s">
        <v>168</v>
      </c>
      <c r="R6" s="456"/>
      <c r="S6" s="456"/>
      <c r="T6" s="452">
        <f>VLOOKUP(Table2[[#This Row],[Course Title]],'TSD-Data'!$A$1:$E$80,4,FALSE)</f>
        <v>30</v>
      </c>
      <c r="U6" s="458">
        <f>VLOOKUP(Table2[[#This Row],[Course Title]],'TSD-Data'!$A$1:$F$80,6,FALSE)</f>
        <v>8</v>
      </c>
      <c r="V6" s="457">
        <f>VLOOKUP(Table2[[#This Row],[Course Title]],'TSD-Data'!$A$1:$F$80,5,FALSE)</f>
        <v>1</v>
      </c>
      <c r="W6" s="457"/>
      <c r="X6" s="452">
        <f>Table2[[#This Row],[Quotas]]-Table2[[#This Row],[Open Quotas]]</f>
        <v>14</v>
      </c>
      <c r="Y6" s="452">
        <v>0</v>
      </c>
      <c r="Z6" s="457">
        <v>0</v>
      </c>
      <c r="AA6" s="457">
        <v>0</v>
      </c>
      <c r="AB6" s="458">
        <v>0</v>
      </c>
      <c r="AC6" s="458">
        <v>0</v>
      </c>
      <c r="AD6" s="452">
        <v>0</v>
      </c>
      <c r="AE6" s="452" t="s">
        <v>427</v>
      </c>
      <c r="AF6" s="457">
        <f ca="1">Table2[[#This Row],[End Date]]+2-TODAY()</f>
        <v>-73</v>
      </c>
      <c r="AG6" s="452">
        <f>IF(ISBLANK(Table2[[#This Row],[Roster Received by]]),1,0)</f>
        <v>0</v>
      </c>
      <c r="AH6" s="452">
        <f ca="1">IF(Table2[[#This Row],[Start Date]]&gt;TODAY(),1,)</f>
        <v>0</v>
      </c>
      <c r="AI6" s="452">
        <f>IF(ISBLANK(Table2[[#This Row],[Primary Instructor]]),0,1)</f>
        <v>1</v>
      </c>
      <c r="AJ6" s="452">
        <f>IF(ISBLANK(Table2[[#This Row],[Instructor 2]]),0,1)</f>
        <v>0</v>
      </c>
      <c r="AK6" s="452">
        <f>Table2[[#This Row],[Course Length (Hours)]]/(SUM(Table2[[#This Row],[1]:[2]]))</f>
        <v>8</v>
      </c>
      <c r="AL6" s="644">
        <v>16</v>
      </c>
      <c r="AM6" s="458">
        <v>1</v>
      </c>
      <c r="AN6" s="458" t="str">
        <f>VLOOKUP(Table2[[#This Row],[Course Title]],'TSD-Data'!$A$1:$G$80,7,FALSE)</f>
        <v>N4</v>
      </c>
    </row>
    <row r="7" spans="2:40" s="459" customFormat="1" x14ac:dyDescent="0.25">
      <c r="B7" s="450"/>
      <c r="C7" s="451" t="s">
        <v>48</v>
      </c>
      <c r="D7" s="452" t="str">
        <f>VLOOKUP(Table2[[#This Row],[Course Title]],'TSD-Data'!$A$1:$E$80,2,FALSE)</f>
        <v>A-493-0103</v>
      </c>
      <c r="E7" s="452" t="str">
        <f>VLOOKUP(Table2[[#This Row],[Course Title]],'TSD-Data'!$A$1:$E$80,3,FALSE)</f>
        <v>12JY</v>
      </c>
      <c r="F7" s="656" t="s">
        <v>305</v>
      </c>
      <c r="G7" s="453">
        <v>45936</v>
      </c>
      <c r="H7" s="453">
        <v>45940</v>
      </c>
      <c r="I7" s="454" t="s">
        <v>163</v>
      </c>
      <c r="J7" s="455">
        <v>0.33333333333333331</v>
      </c>
      <c r="K7" s="642"/>
      <c r="L7" s="689"/>
      <c r="M7" s="689"/>
      <c r="N7" s="689"/>
      <c r="O7" s="689"/>
      <c r="P7" s="689"/>
      <c r="Q7" s="456" t="s">
        <v>275</v>
      </c>
      <c r="R7" s="456"/>
      <c r="S7" s="456"/>
      <c r="T7" s="452">
        <f>VLOOKUP(Table2[[#This Row],[Course Title]],'TSD-Data'!$A$1:$E$80,4,FALSE)</f>
        <v>25</v>
      </c>
      <c r="U7" s="452">
        <f>VLOOKUP(Table2[[#This Row],[Course Title]],'TSD-Data'!$A$1:$F$80,6,FALSE)</f>
        <v>40</v>
      </c>
      <c r="V7" s="457">
        <f>VLOOKUP(Table2[[#This Row],[Course Title]],'TSD-Data'!$A$1:$F$80,5,FALSE)</f>
        <v>5</v>
      </c>
      <c r="W7" s="457">
        <v>10</v>
      </c>
      <c r="X7" s="452">
        <f>Table2[[#This Row],[Quotas]]-Table2[[#This Row],[Open Quotas]]</f>
        <v>25</v>
      </c>
      <c r="Y7" s="452">
        <v>0</v>
      </c>
      <c r="Z7" s="457">
        <v>26</v>
      </c>
      <c r="AA7" s="457">
        <v>0</v>
      </c>
      <c r="AB7" s="452">
        <v>0</v>
      </c>
      <c r="AC7" s="452">
        <v>0</v>
      </c>
      <c r="AD7" s="452">
        <v>2</v>
      </c>
      <c r="AE7" s="452" t="s">
        <v>430</v>
      </c>
      <c r="AF7" s="457">
        <f ca="1">Table2[[#This Row],[End Date]]+2-TODAY()</f>
        <v>-65</v>
      </c>
      <c r="AG7" s="452">
        <f>IF(ISBLANK(Table2[[#This Row],[Roster Received by]]),1,0)</f>
        <v>0</v>
      </c>
      <c r="AH7" s="452">
        <f ca="1">IF(Table2[[#This Row],[Start Date]]&gt;TODAY(),1,)</f>
        <v>0</v>
      </c>
      <c r="AI7" s="452">
        <f>IF(ISBLANK(Table2[[#This Row],[Primary Instructor]]),0,1)</f>
        <v>1</v>
      </c>
      <c r="AJ7" s="452">
        <f>IF(ISBLANK(Table2[[#This Row],[Instructor 2]]),0,1)</f>
        <v>0</v>
      </c>
      <c r="AK7" s="452">
        <f>Table2[[#This Row],[Course Length (Hours)]]/(SUM(Table2[[#This Row],[1]:[2]]))</f>
        <v>40</v>
      </c>
      <c r="AL7" s="640">
        <v>0</v>
      </c>
      <c r="AM7" s="452">
        <v>1</v>
      </c>
      <c r="AN7" s="458" t="str">
        <f>VLOOKUP(Table2[[#This Row],[Course Title]],'TSD-Data'!$A$1:$G$80,7,FALSE)</f>
        <v>N5</v>
      </c>
    </row>
    <row r="8" spans="2:40" s="459" customFormat="1" x14ac:dyDescent="0.25">
      <c r="B8" s="450"/>
      <c r="C8" s="451" t="s">
        <v>71</v>
      </c>
      <c r="D8" s="452" t="str">
        <f>VLOOKUP(Table2[[#This Row],[Course Title]],'TSD-Data'!$A$1:$E$80,2,FALSE)</f>
        <v>A-493-0061</v>
      </c>
      <c r="E8" s="452" t="str">
        <f>VLOOKUP(Table2[[#This Row],[Course Title]],'TSD-Data'!$A$1:$E$80,3,FALSE)</f>
        <v>288E</v>
      </c>
      <c r="F8" s="451" t="s">
        <v>25</v>
      </c>
      <c r="G8" s="453">
        <v>45936</v>
      </c>
      <c r="H8" s="453">
        <v>45939</v>
      </c>
      <c r="I8" s="454" t="s">
        <v>163</v>
      </c>
      <c r="J8" s="455"/>
      <c r="K8" s="679">
        <v>0.33333333333333331</v>
      </c>
      <c r="L8" s="642">
        <v>0.20833333333333334</v>
      </c>
      <c r="M8" s="642">
        <v>0.625</v>
      </c>
      <c r="N8" s="642">
        <v>0.54166666666666663</v>
      </c>
      <c r="O8" s="642">
        <v>8.3333333333333329E-2</v>
      </c>
      <c r="P8" s="642">
        <v>0.875</v>
      </c>
      <c r="Q8" s="456" t="s">
        <v>272</v>
      </c>
      <c r="R8" s="456"/>
      <c r="S8" s="456"/>
      <c r="T8" s="452">
        <f>VLOOKUP(Table2[[#This Row],[Course Title]],'TSD-Data'!$A$1:$E$80,4,FALSE)</f>
        <v>45</v>
      </c>
      <c r="U8" s="452">
        <f>VLOOKUP(Table2[[#This Row],[Course Title]],'TSD-Data'!$A$1:$F$80,6,FALSE)</f>
        <v>30</v>
      </c>
      <c r="V8" s="457">
        <f>VLOOKUP(Table2[[#This Row],[Course Title]],'TSD-Data'!$A$1:$F$80,5,FALSE)</f>
        <v>4</v>
      </c>
      <c r="W8" s="457">
        <v>366</v>
      </c>
      <c r="X8" s="452">
        <f>Table2[[#This Row],[Quotas]]-Table2[[#This Row],[Open Quotas]]</f>
        <v>23</v>
      </c>
      <c r="Y8" s="452">
        <v>0</v>
      </c>
      <c r="Z8" s="457">
        <v>20</v>
      </c>
      <c r="AA8" s="457">
        <v>0</v>
      </c>
      <c r="AB8" s="452">
        <v>0</v>
      </c>
      <c r="AC8" s="452">
        <v>0</v>
      </c>
      <c r="AD8" s="452">
        <v>0</v>
      </c>
      <c r="AE8" s="452" t="s">
        <v>430</v>
      </c>
      <c r="AF8" s="457">
        <f ca="1">Table2[[#This Row],[End Date]]+2-TODAY()</f>
        <v>-66</v>
      </c>
      <c r="AG8" s="452">
        <f>IF(ISBLANK(Table2[[#This Row],[Roster Received by]]),1,0)</f>
        <v>0</v>
      </c>
      <c r="AH8" s="452">
        <f ca="1">IF(Table2[[#This Row],[Start Date]]&gt;TODAY(),1,)</f>
        <v>0</v>
      </c>
      <c r="AI8" s="452">
        <f>IF(ISBLANK(Table2[[#This Row],[Primary Instructor]]),0,1)</f>
        <v>1</v>
      </c>
      <c r="AJ8" s="452">
        <f>IF(ISBLANK(Table2[[#This Row],[Instructor 2]]),0,1)</f>
        <v>0</v>
      </c>
      <c r="AK8" s="452">
        <f>Table2[[#This Row],[Course Length (Hours)]]/(SUM(Table2[[#This Row],[1]:[2]]))</f>
        <v>30</v>
      </c>
      <c r="AL8" s="640">
        <v>22</v>
      </c>
      <c r="AM8" s="452">
        <v>1</v>
      </c>
      <c r="AN8" s="458" t="str">
        <f>VLOOKUP(Table2[[#This Row],[Course Title]],'TSD-Data'!$A$1:$G$80,7,FALSE)</f>
        <v>N5</v>
      </c>
    </row>
    <row r="9" spans="2:40" s="459" customFormat="1" x14ac:dyDescent="0.25">
      <c r="B9" s="450"/>
      <c r="C9" s="451" t="s">
        <v>74</v>
      </c>
      <c r="D9" s="452" t="str">
        <f>VLOOKUP(Table2[[#This Row],[Course Title]],'TSD-Data'!$A$1:$E$80,2,FALSE)</f>
        <v>A-322-2604</v>
      </c>
      <c r="E9" s="452" t="str">
        <f>VLOOKUP(Table2[[#This Row],[Course Title]],'TSD-Data'!$A$1:$E$80,3,FALSE)</f>
        <v>10ZZ</v>
      </c>
      <c r="F9" s="451" t="s">
        <v>25</v>
      </c>
      <c r="G9" s="453">
        <v>45936</v>
      </c>
      <c r="H9" s="453">
        <v>45938</v>
      </c>
      <c r="I9" s="454" t="s">
        <v>163</v>
      </c>
      <c r="J9" s="455"/>
      <c r="K9" s="679">
        <v>0.33333333333333331</v>
      </c>
      <c r="L9" s="642">
        <v>0.20833333333333334</v>
      </c>
      <c r="M9" s="642">
        <v>0.625</v>
      </c>
      <c r="N9" s="642">
        <v>0.54166666666666663</v>
      </c>
      <c r="O9" s="642">
        <v>8.3333333333333329E-2</v>
      </c>
      <c r="P9" s="642">
        <v>0.875</v>
      </c>
      <c r="Q9" s="456" t="s">
        <v>431</v>
      </c>
      <c r="R9" s="456"/>
      <c r="S9" s="456"/>
      <c r="T9" s="452">
        <f>VLOOKUP(Table2[[#This Row],[Course Title]],'TSD-Data'!$A$1:$E$80,4,FALSE)</f>
        <v>45</v>
      </c>
      <c r="U9" s="452">
        <f>VLOOKUP(Table2[[#This Row],[Course Title]],'TSD-Data'!$A$1:$F$80,6,FALSE)</f>
        <v>24</v>
      </c>
      <c r="V9" s="457">
        <f>VLOOKUP(Table2[[#This Row],[Course Title]],'TSD-Data'!$A$1:$F$80,5,FALSE)</f>
        <v>3</v>
      </c>
      <c r="W9" s="457">
        <v>316</v>
      </c>
      <c r="X9" s="452">
        <f>Table2[[#This Row],[Quotas]]-Table2[[#This Row],[Open Quotas]]</f>
        <v>45</v>
      </c>
      <c r="Y9" s="452">
        <v>2</v>
      </c>
      <c r="Z9" s="457">
        <v>36</v>
      </c>
      <c r="AA9" s="457">
        <v>0</v>
      </c>
      <c r="AB9" s="452">
        <v>0</v>
      </c>
      <c r="AC9" s="452">
        <v>2</v>
      </c>
      <c r="AD9" s="452">
        <v>0</v>
      </c>
      <c r="AE9" s="452" t="s">
        <v>430</v>
      </c>
      <c r="AF9" s="457">
        <f ca="1">Table2[[#This Row],[End Date]]+2-TODAY()</f>
        <v>-67</v>
      </c>
      <c r="AG9" s="452">
        <f>IF(ISBLANK(Table2[[#This Row],[Roster Received by]]),1,0)</f>
        <v>0</v>
      </c>
      <c r="AH9" s="452">
        <f ca="1">IF(Table2[[#This Row],[Start Date]]&gt;TODAY(),1,)</f>
        <v>0</v>
      </c>
      <c r="AI9" s="452">
        <f>IF(ISBLANK(Table2[[#This Row],[Primary Instructor]]),0,1)</f>
        <v>1</v>
      </c>
      <c r="AJ9" s="452">
        <f>IF(ISBLANK(Table2[[#This Row],[Instructor 2]]),0,1)</f>
        <v>0</v>
      </c>
      <c r="AK9" s="452">
        <f>Table2[[#This Row],[Course Length (Hours)]]/(SUM(Table2[[#This Row],[1]:[2]]))</f>
        <v>24</v>
      </c>
      <c r="AL9" s="640">
        <v>0</v>
      </c>
      <c r="AM9" s="452">
        <v>1</v>
      </c>
      <c r="AN9" s="458" t="str">
        <f>VLOOKUP(Table2[[#This Row],[Course Title]],'TSD-Data'!$A$1:$G$80,7,FALSE)</f>
        <v>N8</v>
      </c>
    </row>
    <row r="10" spans="2:40" s="459" customFormat="1" x14ac:dyDescent="0.25">
      <c r="B10" s="450"/>
      <c r="C10" s="451" t="s">
        <v>106</v>
      </c>
      <c r="D10" s="452" t="str">
        <f>VLOOKUP(Table2[[#This Row],[Course Title]],'TSD-Data'!$A$1:$E$80,2,FALSE)</f>
        <v>A-493-0078</v>
      </c>
      <c r="E10" s="452">
        <f>VLOOKUP(Table2[[#This Row],[Course Title]],'TSD-Data'!$A$1:$E$80,3,FALSE)</f>
        <v>1228</v>
      </c>
      <c r="F10" s="451" t="s">
        <v>25</v>
      </c>
      <c r="G10" s="454">
        <v>45936</v>
      </c>
      <c r="H10" s="454">
        <v>45939</v>
      </c>
      <c r="I10" s="454" t="s">
        <v>163</v>
      </c>
      <c r="J10" s="455"/>
      <c r="K10" s="460">
        <v>0.33333333333333331</v>
      </c>
      <c r="L10" s="420">
        <v>0.20833333333333334</v>
      </c>
      <c r="M10" s="420">
        <v>0.625</v>
      </c>
      <c r="N10" s="420">
        <v>0.54166666666666663</v>
      </c>
      <c r="O10" s="420">
        <v>8.3333333333333329E-2</v>
      </c>
      <c r="P10" s="420">
        <v>0.875</v>
      </c>
      <c r="Q10" s="456" t="s">
        <v>172</v>
      </c>
      <c r="R10" s="456"/>
      <c r="S10" s="456"/>
      <c r="T10" s="452">
        <f>VLOOKUP(Table2[[#This Row],[Course Title]],'TSD-Data'!$A$1:$E$80,4,FALSE)</f>
        <v>45</v>
      </c>
      <c r="U10" s="452">
        <f>VLOOKUP(Table2[[#This Row],[Course Title]],'TSD-Data'!$A$1:$F$80,6,FALSE)</f>
        <v>32</v>
      </c>
      <c r="V10" s="457">
        <f>VLOOKUP(Table2[[#This Row],[Course Title]],'TSD-Data'!$A$1:$F$80,5,FALSE)</f>
        <v>4</v>
      </c>
      <c r="W10" s="457">
        <v>454</v>
      </c>
      <c r="X10" s="452">
        <f>Table2[[#This Row],[Quotas]]-Table2[[#This Row],[Open Quotas]]</f>
        <v>40</v>
      </c>
      <c r="Y10" s="452">
        <v>0</v>
      </c>
      <c r="Z10" s="457">
        <v>27</v>
      </c>
      <c r="AA10" s="457">
        <v>3</v>
      </c>
      <c r="AB10" s="452">
        <v>0</v>
      </c>
      <c r="AC10" s="452">
        <v>0</v>
      </c>
      <c r="AD10" s="452">
        <v>0</v>
      </c>
      <c r="AE10" s="452" t="s">
        <v>430</v>
      </c>
      <c r="AF10" s="457">
        <f ca="1">Table2[[#This Row],[End Date]]+2-TODAY()</f>
        <v>-66</v>
      </c>
      <c r="AG10" s="452">
        <f>IF(ISBLANK(Table2[[#This Row],[Roster Received by]]),1,0)</f>
        <v>0</v>
      </c>
      <c r="AH10" s="452">
        <f ca="1">IF(Table2[[#This Row],[Start Date]]&gt;TODAY(),1,)</f>
        <v>0</v>
      </c>
      <c r="AI10" s="452">
        <f>IF(ISBLANK(Table2[[#This Row],[Primary Instructor]]),0,1)</f>
        <v>1</v>
      </c>
      <c r="AJ10" s="452">
        <f>IF(ISBLANK(Table2[[#This Row],[Instructor 2]]),0,1)</f>
        <v>0</v>
      </c>
      <c r="AK10" s="452">
        <f>Table2[[#This Row],[Course Length (Hours)]]/(SUM(Table2[[#This Row],[1]:[2]]))</f>
        <v>32</v>
      </c>
      <c r="AL10" s="640">
        <v>5</v>
      </c>
      <c r="AM10" s="452">
        <v>1</v>
      </c>
      <c r="AN10" s="458" t="str">
        <f>VLOOKUP(Table2[[#This Row],[Course Title]],'TSD-Data'!$A$1:$G$80,7,FALSE)</f>
        <v>N5</v>
      </c>
    </row>
    <row r="11" spans="2:40" s="459" customFormat="1" ht="15" customHeight="1" x14ac:dyDescent="0.25">
      <c r="B11" s="450"/>
      <c r="C11" s="451" t="s">
        <v>116</v>
      </c>
      <c r="D11" s="452" t="str">
        <f>VLOOKUP(Table2[[#This Row],[Course Title]],'TSD-Data'!$A$1:$E$80,2,FALSE)</f>
        <v>A-493-0072</v>
      </c>
      <c r="E11" s="452" t="str">
        <f>VLOOKUP(Table2[[#This Row],[Course Title]],'TSD-Data'!$A$1:$E$80,3,FALSE)</f>
        <v>713U</v>
      </c>
      <c r="F11" s="683" t="s">
        <v>229</v>
      </c>
      <c r="G11" s="454">
        <v>45936</v>
      </c>
      <c r="H11" s="454">
        <v>45940</v>
      </c>
      <c r="I11" s="454" t="s">
        <v>163</v>
      </c>
      <c r="J11" s="455">
        <v>0.33333333333333331</v>
      </c>
      <c r="K11" s="420"/>
      <c r="L11" s="453"/>
      <c r="M11" s="453"/>
      <c r="N11" s="453"/>
      <c r="O11" s="453"/>
      <c r="P11" s="453"/>
      <c r="Q11" s="456" t="s">
        <v>285</v>
      </c>
      <c r="R11" s="456"/>
      <c r="S11" s="456"/>
      <c r="T11" s="452">
        <f>VLOOKUP(Table2[[#This Row],[Course Title]],'TSD-Data'!$A$1:$E$80,4,FALSE)</f>
        <v>30</v>
      </c>
      <c r="U11" s="452">
        <f>VLOOKUP(Table2[[#This Row],[Course Title]],'TSD-Data'!$A$1:$F$80,6,FALSE)</f>
        <v>40</v>
      </c>
      <c r="V11" s="457">
        <f>VLOOKUP(Table2[[#This Row],[Course Title]],'TSD-Data'!$A$1:$F$80,5,FALSE)</f>
        <v>5</v>
      </c>
      <c r="W11" s="457">
        <v>178</v>
      </c>
      <c r="X11" s="452">
        <f>Table2[[#This Row],[Quotas]]-Table2[[#This Row],[Open Quotas]]</f>
        <v>22</v>
      </c>
      <c r="Y11" s="452">
        <v>0</v>
      </c>
      <c r="Z11" s="457">
        <v>22</v>
      </c>
      <c r="AA11" s="457">
        <v>0</v>
      </c>
      <c r="AB11" s="452">
        <v>0</v>
      </c>
      <c r="AC11" s="452">
        <v>2</v>
      </c>
      <c r="AD11" s="452">
        <v>0</v>
      </c>
      <c r="AE11" s="452" t="s">
        <v>428</v>
      </c>
      <c r="AF11" s="457">
        <f ca="1">Table2[[#This Row],[End Date]]+2-TODAY()</f>
        <v>-65</v>
      </c>
      <c r="AG11" s="452">
        <f>IF(ISBLANK(Table2[[#This Row],[Roster Received by]]),1,0)</f>
        <v>0</v>
      </c>
      <c r="AH11" s="452">
        <f ca="1">IF(Table2[[#This Row],[Start Date]]&gt;TODAY(),1,)</f>
        <v>0</v>
      </c>
      <c r="AI11" s="452">
        <f>IF(ISBLANK(Table2[[#This Row],[Primary Instructor]]),0,1)</f>
        <v>1</v>
      </c>
      <c r="AJ11" s="452">
        <f>IF(ISBLANK(Table2[[#This Row],[Instructor 2]]),0,1)</f>
        <v>0</v>
      </c>
      <c r="AK11" s="452">
        <f>Table2[[#This Row],[Course Length (Hours)]]/(SUM(Table2[[#This Row],[1]:[2]]))</f>
        <v>40</v>
      </c>
      <c r="AL11" s="640">
        <v>8</v>
      </c>
      <c r="AM11" s="452">
        <v>1</v>
      </c>
      <c r="AN11" s="458" t="str">
        <f>VLOOKUP(Table2[[#This Row],[Course Title]],'TSD-Data'!$A$1:$G$80,7,FALSE)</f>
        <v>N3</v>
      </c>
    </row>
    <row r="12" spans="2:40" s="459" customFormat="1" x14ac:dyDescent="0.25">
      <c r="B12" s="450"/>
      <c r="C12" s="451" t="s">
        <v>119</v>
      </c>
      <c r="D12" s="458" t="str">
        <f>VLOOKUP(Table2[[#This Row],[Course Title]],'TSD-Data'!$A$1:$E$80,2,FALSE)</f>
        <v>A-493-2098</v>
      </c>
      <c r="E12" s="458" t="str">
        <f>VLOOKUP(Table2[[#This Row],[Course Title]],'TSD-Data'!$A$1:$E$80,3,FALSE)</f>
        <v>09WW</v>
      </c>
      <c r="F12" s="683" t="s">
        <v>25</v>
      </c>
      <c r="G12" s="453">
        <v>45936</v>
      </c>
      <c r="H12" s="453">
        <v>45938</v>
      </c>
      <c r="I12" s="454" t="s">
        <v>163</v>
      </c>
      <c r="J12" s="455"/>
      <c r="K12" s="679">
        <v>0.5</v>
      </c>
      <c r="L12" s="679">
        <v>0.375</v>
      </c>
      <c r="M12" s="679">
        <v>0.79166666666666663</v>
      </c>
      <c r="N12" s="679">
        <v>0.75</v>
      </c>
      <c r="O12" s="679">
        <v>0.25</v>
      </c>
      <c r="P12" s="679">
        <v>4.1666666666666664E-2</v>
      </c>
      <c r="Q12" s="456" t="s">
        <v>432</v>
      </c>
      <c r="R12" s="456"/>
      <c r="S12" s="456"/>
      <c r="T12" s="452">
        <f>VLOOKUP(Table2[[#This Row],[Course Title]],'TSD-Data'!$A$1:$E$80,4,FALSE)</f>
        <v>100</v>
      </c>
      <c r="U12" s="458">
        <f>VLOOKUP(Table2[[#This Row],[Course Title]],'TSD-Data'!$A$1:$F$80,6,FALSE)</f>
        <v>16</v>
      </c>
      <c r="V12" s="457">
        <f>VLOOKUP(Table2[[#This Row],[Course Title]],'TSD-Data'!$A$1:$F$80,5,FALSE)</f>
        <v>3</v>
      </c>
      <c r="W12" s="457"/>
      <c r="X12" s="452">
        <f>Table2[[#This Row],[Quotas]]-Table2[[#This Row],[Open Quotas]]</f>
        <v>100</v>
      </c>
      <c r="Y12" s="452">
        <v>0</v>
      </c>
      <c r="Z12" s="457">
        <v>57</v>
      </c>
      <c r="AA12" s="457">
        <v>7</v>
      </c>
      <c r="AB12" s="458">
        <v>0</v>
      </c>
      <c r="AC12" s="458">
        <v>0</v>
      </c>
      <c r="AD12" s="452">
        <v>0</v>
      </c>
      <c r="AE12" s="452" t="s">
        <v>427</v>
      </c>
      <c r="AF12" s="457">
        <f ca="1">Table2[[#This Row],[End Date]]+2-TODAY()</f>
        <v>-67</v>
      </c>
      <c r="AG12" s="452">
        <f>IF(ISBLANK(Table2[[#This Row],[Roster Received by]]),1,0)</f>
        <v>0</v>
      </c>
      <c r="AH12" s="452">
        <f ca="1">IF(Table2[[#This Row],[Start Date]]&gt;TODAY(),1,)</f>
        <v>0</v>
      </c>
      <c r="AI12" s="452">
        <f>IF(ISBLANK(Table2[[#This Row],[Primary Instructor]]),0,1)</f>
        <v>1</v>
      </c>
      <c r="AJ12" s="452">
        <f>IF(ISBLANK(Table2[[#This Row],[Instructor 2]]),0,1)</f>
        <v>0</v>
      </c>
      <c r="AK12" s="452">
        <f>Table2[[#This Row],[Course Length (Hours)]]/(SUM(Table2[[#This Row],[1]:[2]]))</f>
        <v>16</v>
      </c>
      <c r="AL12" s="644">
        <v>0</v>
      </c>
      <c r="AM12" s="452">
        <v>1</v>
      </c>
      <c r="AN12" s="458" t="str">
        <f>VLOOKUP(Table2[[#This Row],[Course Title]],'TSD-Data'!$A$1:$G$80,7,FALSE)</f>
        <v>N8</v>
      </c>
    </row>
    <row r="13" spans="2:40" s="459" customFormat="1" x14ac:dyDescent="0.25">
      <c r="B13" s="450"/>
      <c r="C13" s="451" t="s">
        <v>159</v>
      </c>
      <c r="D13" s="452" t="str">
        <f>VLOOKUP(Table2[[#This Row],[Course Title]],'TSD-Data'!$A$1:$E$80,2,FALSE)</f>
        <v>A-493-2099</v>
      </c>
      <c r="E13" s="452" t="str">
        <f>VLOOKUP(Table2[[#This Row],[Course Title]],'TSD-Data'!$A$1:$E$80,3,FALSE)</f>
        <v>438G</v>
      </c>
      <c r="F13" s="683" t="s">
        <v>173</v>
      </c>
      <c r="G13" s="453">
        <v>45936</v>
      </c>
      <c r="H13" s="453">
        <v>45937</v>
      </c>
      <c r="I13" s="454" t="s">
        <v>163</v>
      </c>
      <c r="J13" s="455">
        <v>0.33333333333333331</v>
      </c>
      <c r="K13" s="420"/>
      <c r="L13" s="689"/>
      <c r="M13" s="453"/>
      <c r="N13" s="453"/>
      <c r="O13" s="453"/>
      <c r="P13" s="689"/>
      <c r="Q13" s="456" t="s">
        <v>164</v>
      </c>
      <c r="R13" s="456"/>
      <c r="S13" s="456"/>
      <c r="T13" s="452">
        <f>VLOOKUP(Table2[[#This Row],[Course Title]],'TSD-Data'!$A$1:$E$80,4,FALSE)</f>
        <v>30</v>
      </c>
      <c r="U13" s="452">
        <f>VLOOKUP(Table2[[#This Row],[Course Title]],'TSD-Data'!$A$1:$F$80,6,FALSE)</f>
        <v>16</v>
      </c>
      <c r="V13" s="457">
        <f>VLOOKUP(Table2[[#This Row],[Course Title]],'TSD-Data'!$A$1:$F$80,5,FALSE)</f>
        <v>2</v>
      </c>
      <c r="W13" s="457">
        <v>0</v>
      </c>
      <c r="X13" s="452">
        <f>Table2[[#This Row],[Quotas]]-Table2[[#This Row],[Open Quotas]]</f>
        <v>18</v>
      </c>
      <c r="Y13" s="452">
        <v>0</v>
      </c>
      <c r="Z13" s="457">
        <v>13</v>
      </c>
      <c r="AA13" s="457">
        <v>0</v>
      </c>
      <c r="AB13" s="452">
        <v>0</v>
      </c>
      <c r="AC13" s="452">
        <v>1</v>
      </c>
      <c r="AD13" s="452">
        <v>0</v>
      </c>
      <c r="AE13" s="452" t="s">
        <v>427</v>
      </c>
      <c r="AF13" s="457">
        <f ca="1">Table2[[#This Row],[End Date]]+2-TODAY()</f>
        <v>-68</v>
      </c>
      <c r="AG13" s="452">
        <f>IF(ISBLANK(Table2[[#This Row],[Roster Received by]]),1,0)</f>
        <v>0</v>
      </c>
      <c r="AH13" s="452">
        <f ca="1">IF(Table2[[#This Row],[Start Date]]&gt;TODAY(),1,)</f>
        <v>0</v>
      </c>
      <c r="AI13" s="452">
        <f>IF(ISBLANK(Table2[[#This Row],[Primary Instructor]]),0,1)</f>
        <v>1</v>
      </c>
      <c r="AJ13" s="452">
        <f>IF(ISBLANK(Table2[[#This Row],[Instructor 2]]),0,1)</f>
        <v>0</v>
      </c>
      <c r="AK13" s="452">
        <f>Table2[[#This Row],[Course Length (Hours)]]/(SUM(Table2[[#This Row],[1]:[2]]))</f>
        <v>16</v>
      </c>
      <c r="AL13" s="640">
        <v>12</v>
      </c>
      <c r="AM13" s="452">
        <v>1</v>
      </c>
      <c r="AN13" s="458" t="str">
        <f>VLOOKUP(Table2[[#This Row],[Course Title]],'TSD-Data'!$A$1:$G$80,7,FALSE)</f>
        <v>N8</v>
      </c>
    </row>
    <row r="14" spans="2:40" s="459" customFormat="1" x14ac:dyDescent="0.25">
      <c r="B14" s="450"/>
      <c r="C14" s="683" t="s">
        <v>100</v>
      </c>
      <c r="D14" s="645" t="str">
        <f>VLOOKUP(Table2[[#This Row],[Course Title]],'TSD-Data'!$A$1:$E$80,2,FALSE)</f>
        <v>A-493-0550</v>
      </c>
      <c r="E14" s="645" t="str">
        <f>VLOOKUP(Table2[[#This Row],[Course Title]],'TSD-Data'!$A$1:$E$80,3,FALSE)</f>
        <v>09K5</v>
      </c>
      <c r="F14" s="451" t="s">
        <v>25</v>
      </c>
      <c r="G14" s="453">
        <v>45937</v>
      </c>
      <c r="H14" s="453">
        <v>45940</v>
      </c>
      <c r="I14" s="454" t="s">
        <v>163</v>
      </c>
      <c r="J14" s="455"/>
      <c r="K14" s="460">
        <v>1900.7916666666667</v>
      </c>
      <c r="L14" s="460">
        <v>0.66666666666666663</v>
      </c>
      <c r="M14" s="460">
        <v>8.3333333333333329E-2</v>
      </c>
      <c r="N14" s="460">
        <v>0</v>
      </c>
      <c r="O14" s="460">
        <v>0.54166666666666663</v>
      </c>
      <c r="P14" s="460">
        <v>0.33333333333333331</v>
      </c>
      <c r="Q14" s="456" t="s">
        <v>426</v>
      </c>
      <c r="R14" s="456"/>
      <c r="S14" s="456"/>
      <c r="T14" s="452">
        <f>VLOOKUP(Table2[[#This Row],[Course Title]],'TSD-Data'!$A$1:$E$80,4,FALSE)</f>
        <v>45</v>
      </c>
      <c r="U14" s="452">
        <f>VLOOKUP(Table2[[#This Row],[Course Title]],'TSD-Data'!$A$1:$F$80,6,FALSE)</f>
        <v>32</v>
      </c>
      <c r="V14" s="457">
        <f>VLOOKUP(Table2[[#This Row],[Course Title]],'TSD-Data'!$A$1:$F$80,5,FALSE)</f>
        <v>4</v>
      </c>
      <c r="W14" s="457">
        <v>180</v>
      </c>
      <c r="X14" s="452">
        <f>Table2[[#This Row],[Quotas]]-Table2[[#This Row],[Open Quotas]]</f>
        <v>24</v>
      </c>
      <c r="Y14" s="452">
        <v>0</v>
      </c>
      <c r="Z14" s="457">
        <v>18</v>
      </c>
      <c r="AA14" s="457">
        <v>0</v>
      </c>
      <c r="AB14" s="452">
        <v>0</v>
      </c>
      <c r="AC14" s="452">
        <v>0</v>
      </c>
      <c r="AD14" s="452">
        <v>0</v>
      </c>
      <c r="AE14" s="452" t="s">
        <v>427</v>
      </c>
      <c r="AF14" s="457">
        <f ca="1">Table2[[#This Row],[End Date]]+2-TODAY()</f>
        <v>-65</v>
      </c>
      <c r="AG14" s="452">
        <f>IF(ISBLANK(Table2[[#This Row],[Roster Received by]]),1,0)</f>
        <v>0</v>
      </c>
      <c r="AH14" s="452">
        <f ca="1">IF(Table2[[#This Row],[Start Date]]&gt;TODAY(),1,)</f>
        <v>0</v>
      </c>
      <c r="AI14" s="452">
        <f>IF(ISBLANK(Table2[[#This Row],[Primary Instructor]]),0,1)</f>
        <v>1</v>
      </c>
      <c r="AJ14" s="452">
        <f>IF(ISBLANK(Table2[[#This Row],[Instructor 2]]),0,1)</f>
        <v>0</v>
      </c>
      <c r="AK14" s="452">
        <f>Table2[[#This Row],[Course Length (Hours)]]/(SUM(Table2[[#This Row],[1]:[2]]))</f>
        <v>32</v>
      </c>
      <c r="AL14" s="640">
        <v>21</v>
      </c>
      <c r="AM14" s="452">
        <v>1</v>
      </c>
      <c r="AN14" s="458" t="str">
        <f>VLOOKUP(Table2[[#This Row],[Course Title]],'TSD-Data'!$A$1:$G$80,7,FALSE)</f>
        <v>N5</v>
      </c>
    </row>
    <row r="15" spans="2:40" s="459" customFormat="1" x14ac:dyDescent="0.25">
      <c r="B15" s="450"/>
      <c r="C15" s="683" t="s">
        <v>159</v>
      </c>
      <c r="D15" s="452" t="str">
        <f>VLOOKUP(Table2[[#This Row],[Course Title]],'TSD-Data'!$A$1:$E$80,2,FALSE)</f>
        <v>A-493-2099</v>
      </c>
      <c r="E15" s="452" t="str">
        <f>VLOOKUP(Table2[[#This Row],[Course Title]],'TSD-Data'!$A$1:$E$80,3,FALSE)</f>
        <v>438G</v>
      </c>
      <c r="F15" s="683" t="s">
        <v>173</v>
      </c>
      <c r="G15" s="453">
        <v>45938</v>
      </c>
      <c r="H15" s="453">
        <v>45939</v>
      </c>
      <c r="I15" s="454" t="s">
        <v>163</v>
      </c>
      <c r="J15" s="455">
        <v>0.33333333333333331</v>
      </c>
      <c r="K15" s="420"/>
      <c r="L15" s="453"/>
      <c r="M15" s="453"/>
      <c r="N15" s="453"/>
      <c r="O15" s="453"/>
      <c r="P15" s="453"/>
      <c r="Q15" s="456" t="s">
        <v>164</v>
      </c>
      <c r="R15" s="456"/>
      <c r="S15" s="456"/>
      <c r="T15" s="452">
        <f>VLOOKUP(Table2[[#This Row],[Course Title]],'TSD-Data'!$A$1:$E$80,4,FALSE)</f>
        <v>30</v>
      </c>
      <c r="U15" s="452">
        <f>VLOOKUP(Table2[[#This Row],[Course Title]],'TSD-Data'!$A$1:$F$80,6,FALSE)</f>
        <v>16</v>
      </c>
      <c r="V15" s="457">
        <f>VLOOKUP(Table2[[#This Row],[Course Title]],'TSD-Data'!$A$1:$F$80,5,FALSE)</f>
        <v>2</v>
      </c>
      <c r="W15" s="457">
        <v>0</v>
      </c>
      <c r="X15" s="452">
        <f>Table2[[#This Row],[Quotas]]-Table2[[#This Row],[Open Quotas]]</f>
        <v>11</v>
      </c>
      <c r="Y15" s="452">
        <v>0</v>
      </c>
      <c r="Z15" s="457">
        <v>9</v>
      </c>
      <c r="AA15" s="457">
        <v>0</v>
      </c>
      <c r="AB15" s="452">
        <v>0</v>
      </c>
      <c r="AC15" s="452">
        <v>1</v>
      </c>
      <c r="AD15" s="452">
        <v>0</v>
      </c>
      <c r="AE15" s="452" t="s">
        <v>427</v>
      </c>
      <c r="AF15" s="457">
        <f ca="1">Table2[[#This Row],[End Date]]+2-TODAY()</f>
        <v>-66</v>
      </c>
      <c r="AG15" s="452">
        <f>IF(ISBLANK(Table2[[#This Row],[Roster Received by]]),1,0)</f>
        <v>0</v>
      </c>
      <c r="AH15" s="452">
        <f ca="1">IF(Table2[[#This Row],[Start Date]]&gt;TODAY(),1,)</f>
        <v>0</v>
      </c>
      <c r="AI15" s="452">
        <f>IF(ISBLANK(Table2[[#This Row],[Primary Instructor]]),0,1)</f>
        <v>1</v>
      </c>
      <c r="AJ15" s="452">
        <f>IF(ISBLANK(Table2[[#This Row],[Instructor 2]]),0,1)</f>
        <v>0</v>
      </c>
      <c r="AK15" s="452">
        <f>Table2[[#This Row],[Course Length (Hours)]]/(SUM(Table2[[#This Row],[1]:[2]]))</f>
        <v>16</v>
      </c>
      <c r="AL15" s="640">
        <v>19</v>
      </c>
      <c r="AM15" s="452">
        <v>1</v>
      </c>
      <c r="AN15" s="458" t="str">
        <f>VLOOKUP(Table2[[#This Row],[Course Title]],'TSD-Data'!$A$1:$G$80,7,FALSE)</f>
        <v>N8</v>
      </c>
    </row>
    <row r="16" spans="2:40" s="459" customFormat="1" x14ac:dyDescent="0.25">
      <c r="B16" s="450"/>
      <c r="C16" s="683" t="s">
        <v>80</v>
      </c>
      <c r="D16" s="458" t="str">
        <f>VLOOKUP(Table2[[#This Row],[Course Title]],'TSD-Data'!$A$1:$E$80,2,FALSE)</f>
        <v>A-493-0083</v>
      </c>
      <c r="E16" s="458" t="str">
        <f>VLOOKUP(Table2[[#This Row],[Course Title]],'TSD-Data'!$A$1:$E$80,3,FALSE)</f>
        <v>339E</v>
      </c>
      <c r="F16" s="683" t="s">
        <v>25</v>
      </c>
      <c r="G16" s="453">
        <v>45939</v>
      </c>
      <c r="H16" s="453">
        <v>45939</v>
      </c>
      <c r="I16" s="454" t="s">
        <v>163</v>
      </c>
      <c r="J16" s="455"/>
      <c r="K16" s="420">
        <v>1100.0833333333333</v>
      </c>
      <c r="L16" s="420">
        <v>0.95833333333333337</v>
      </c>
      <c r="M16" s="643">
        <v>0.375</v>
      </c>
      <c r="N16" s="455">
        <v>0.33333333333333331</v>
      </c>
      <c r="O16" s="455">
        <v>0.83333333333333337</v>
      </c>
      <c r="P16" s="420">
        <v>0.625</v>
      </c>
      <c r="Q16" s="456" t="s">
        <v>168</v>
      </c>
      <c r="R16" s="456"/>
      <c r="S16" s="456"/>
      <c r="T16" s="452">
        <f>VLOOKUP(Table2[[#This Row],[Course Title]],'TSD-Data'!$A$1:$E$80,4,FALSE)</f>
        <v>30</v>
      </c>
      <c r="U16" s="458">
        <f>VLOOKUP(Table2[[#This Row],[Course Title]],'TSD-Data'!$A$1:$F$80,6,FALSE)</f>
        <v>8</v>
      </c>
      <c r="V16" s="457">
        <f>VLOOKUP(Table2[[#This Row],[Course Title]],'TSD-Data'!$A$1:$F$80,5,FALSE)</f>
        <v>1</v>
      </c>
      <c r="W16" s="457"/>
      <c r="X16" s="452">
        <f>Table2[[#This Row],[Quotas]]-Table2[[#This Row],[Open Quotas]]</f>
        <v>20</v>
      </c>
      <c r="Y16" s="452">
        <v>0</v>
      </c>
      <c r="Z16" s="457">
        <v>20</v>
      </c>
      <c r="AA16" s="457">
        <v>0</v>
      </c>
      <c r="AB16" s="458">
        <v>0</v>
      </c>
      <c r="AC16" s="458">
        <v>0</v>
      </c>
      <c r="AD16" s="452">
        <v>0</v>
      </c>
      <c r="AE16" s="452" t="s">
        <v>427</v>
      </c>
      <c r="AF16" s="457">
        <f ca="1">Table2[[#This Row],[End Date]]+2-TODAY()</f>
        <v>-66</v>
      </c>
      <c r="AG16" s="452">
        <f>IF(ISBLANK(Table2[[#This Row],[Roster Received by]]),1,0)</f>
        <v>0</v>
      </c>
      <c r="AH16" s="452">
        <f ca="1">IF(Table2[[#This Row],[Start Date]]&gt;TODAY(),1,)</f>
        <v>0</v>
      </c>
      <c r="AI16" s="452">
        <f>IF(ISBLANK(Table2[[#This Row],[Primary Instructor]]),0,1)</f>
        <v>1</v>
      </c>
      <c r="AJ16" s="452">
        <f>IF(ISBLANK(Table2[[#This Row],[Instructor 2]]),0,1)</f>
        <v>0</v>
      </c>
      <c r="AK16" s="452">
        <f>Table2[[#This Row],[Course Length (Hours)]]/(SUM(Table2[[#This Row],[1]:[2]]))</f>
        <v>8</v>
      </c>
      <c r="AL16" s="644">
        <v>10</v>
      </c>
      <c r="AM16" s="452">
        <v>1</v>
      </c>
      <c r="AN16" s="458" t="str">
        <f>VLOOKUP(Table2[[#This Row],[Course Title]],'TSD-Data'!$A$1:$G$80,7,FALSE)</f>
        <v>N4</v>
      </c>
    </row>
    <row r="17" spans="2:40" s="459" customFormat="1" x14ac:dyDescent="0.25">
      <c r="B17" s="649" t="s">
        <v>237</v>
      </c>
      <c r="C17" s="691" t="s">
        <v>238</v>
      </c>
      <c r="D17" s="452" t="str">
        <f>VLOOKUP(Table2[[#This Row],[Course Title]],'TSD-Data'!$A$1:$E$80,2,FALSE)</f>
        <v>Holiday</v>
      </c>
      <c r="E17" s="452" t="str">
        <f>VLOOKUP(Table2[[#This Row],[Course Title]],'TSD-Data'!$A$1:$E$80,3,FALSE)</f>
        <v>Holiday</v>
      </c>
      <c r="F17" s="691" t="s">
        <v>238</v>
      </c>
      <c r="G17" s="686">
        <v>45943</v>
      </c>
      <c r="H17" s="686">
        <v>45943</v>
      </c>
      <c r="I17" s="454" t="s">
        <v>433</v>
      </c>
      <c r="J17" s="650"/>
      <c r="K17" s="651"/>
      <c r="L17" s="651"/>
      <c r="M17" s="651"/>
      <c r="N17" s="651"/>
      <c r="O17" s="651"/>
      <c r="P17" s="651"/>
      <c r="Q17" s="445" t="s">
        <v>434</v>
      </c>
      <c r="R17" s="445"/>
      <c r="S17" s="445"/>
      <c r="T17" s="452">
        <f>VLOOKUP(Table2[[#This Row],[Course Title]],'TSD-Data'!$A$1:$E$80,4,FALSE)</f>
        <v>0</v>
      </c>
      <c r="U17" s="452">
        <f>VLOOKUP(Table2[[#This Row],[Course Title]],'TSD-Data'!$A$1:$F$80,6,FALSE)</f>
        <v>0</v>
      </c>
      <c r="V17" s="457">
        <f>VLOOKUP(Table2[[#This Row],[Course Title]],'TSD-Data'!$A$1:$F$80,5,FALSE)</f>
        <v>0</v>
      </c>
      <c r="W17" s="652">
        <v>0</v>
      </c>
      <c r="X17" s="452">
        <f>Table2[[#This Row],[Quotas]]-Table2[[#This Row],[Open Quotas]]</f>
        <v>0</v>
      </c>
      <c r="Y17" s="650">
        <v>0</v>
      </c>
      <c r="Z17" s="650">
        <v>0</v>
      </c>
      <c r="AA17" s="650">
        <v>0</v>
      </c>
      <c r="AB17" s="650">
        <v>0</v>
      </c>
      <c r="AC17" s="650">
        <v>0</v>
      </c>
      <c r="AD17" s="650">
        <v>0</v>
      </c>
      <c r="AE17" s="650" t="s">
        <v>435</v>
      </c>
      <c r="AF17" s="457">
        <f ca="1">Table2[[#This Row],[End Date]]+2-TODAY()</f>
        <v>-62</v>
      </c>
      <c r="AG17" s="452">
        <f>IF(ISBLANK(Table2[[#This Row],[Roster Received by]]),1,0)</f>
        <v>0</v>
      </c>
      <c r="AH17" s="452">
        <f ca="1">IF(Table2[[#This Row],[Start Date]]&gt;TODAY(),1,)</f>
        <v>0</v>
      </c>
      <c r="AI17" s="452">
        <f>IF(ISBLANK(Table2[[#This Row],[Primary Instructor]]),0,1)</f>
        <v>1</v>
      </c>
      <c r="AJ17" s="452">
        <f>IF(ISBLANK(Table2[[#This Row],[Instructor 2]]),0,1)</f>
        <v>0</v>
      </c>
      <c r="AK17" s="452">
        <f>Table2[[#This Row],[Course Length (Hours)]]/(SUM(Table2[[#This Row],[1]:[2]]))</f>
        <v>0</v>
      </c>
      <c r="AL17" s="653">
        <v>0</v>
      </c>
      <c r="AM17" s="452">
        <v>1</v>
      </c>
      <c r="AN17" s="458" t="str">
        <f>VLOOKUP(Table2[[#This Row],[Course Title]],'TSD-Data'!$A$1:$G$80,7,FALSE)</f>
        <v>TSD</v>
      </c>
    </row>
    <row r="18" spans="2:40" s="428" customFormat="1" ht="15" customHeight="1" x14ac:dyDescent="0.25">
      <c r="B18" s="450"/>
      <c r="C18" s="691" t="s">
        <v>94</v>
      </c>
      <c r="D18" s="645" t="str">
        <f>VLOOKUP(Table2[[#This Row],[Course Title]],'TSD-Data'!$A$1:$E$80,2,FALSE)</f>
        <v>A-493-0331</v>
      </c>
      <c r="E18" s="645" t="str">
        <f>VLOOKUP(Table2[[#This Row],[Course Title]],'TSD-Data'!$A$1:$E$80,3,FALSE)</f>
        <v>10UG</v>
      </c>
      <c r="F18" s="683" t="s">
        <v>25</v>
      </c>
      <c r="G18" s="453">
        <v>45944</v>
      </c>
      <c r="H18" s="453">
        <v>45946</v>
      </c>
      <c r="I18" s="454" t="s">
        <v>163</v>
      </c>
      <c r="J18" s="455"/>
      <c r="K18" s="460">
        <v>0.5</v>
      </c>
      <c r="L18" s="460">
        <v>0.375</v>
      </c>
      <c r="M18" s="460">
        <v>0.79166666666666663</v>
      </c>
      <c r="N18" s="460">
        <v>0.75</v>
      </c>
      <c r="O18" s="460">
        <v>0.25</v>
      </c>
      <c r="P18" s="460">
        <v>4.1666666666666664E-2</v>
      </c>
      <c r="Q18" s="456" t="s">
        <v>436</v>
      </c>
      <c r="R18" s="456"/>
      <c r="S18" s="456"/>
      <c r="T18" s="452">
        <f>VLOOKUP(Table2[[#This Row],[Course Title]],'TSD-Data'!$A$1:$E$80,4,FALSE)</f>
        <v>45</v>
      </c>
      <c r="U18" s="452">
        <f>VLOOKUP(Table2[[#This Row],[Course Title]],'TSD-Data'!$A$1:$F$80,6,FALSE)</f>
        <v>24</v>
      </c>
      <c r="V18" s="457">
        <f>VLOOKUP(Table2[[#This Row],[Course Title]],'TSD-Data'!$A$1:$F$80,5,FALSE)</f>
        <v>3</v>
      </c>
      <c r="W18" s="457">
        <v>844</v>
      </c>
      <c r="X18" s="452">
        <f>Table2[[#This Row],[Quotas]]-Table2[[#This Row],[Open Quotas]]</f>
        <v>45</v>
      </c>
      <c r="Y18" s="452">
        <v>5</v>
      </c>
      <c r="Z18" s="457">
        <v>32</v>
      </c>
      <c r="AA18" s="457">
        <v>0</v>
      </c>
      <c r="AB18" s="452">
        <v>0</v>
      </c>
      <c r="AC18" s="452">
        <v>0</v>
      </c>
      <c r="AD18" s="452">
        <v>0</v>
      </c>
      <c r="AE18" s="452" t="s">
        <v>428</v>
      </c>
      <c r="AF18" s="457">
        <f ca="1">Table2[[#This Row],[End Date]]+2-TODAY()</f>
        <v>-59</v>
      </c>
      <c r="AG18" s="452">
        <f>IF(ISBLANK(Table2[[#This Row],[Roster Received by]]),1,0)</f>
        <v>0</v>
      </c>
      <c r="AH18" s="452">
        <f ca="1">IF(Table2[[#This Row],[Start Date]]&gt;TODAY(),1,)</f>
        <v>0</v>
      </c>
      <c r="AI18" s="452">
        <f>IF(ISBLANK(Table2[[#This Row],[Primary Instructor]]),0,1)</f>
        <v>1</v>
      </c>
      <c r="AJ18" s="452">
        <f>IF(ISBLANK(Table2[[#This Row],[Instructor 2]]),0,1)</f>
        <v>0</v>
      </c>
      <c r="AK18" s="452">
        <f>Table2[[#This Row],[Course Length (Hours)]]/(SUM(Table2[[#This Row],[1]:[2]]))</f>
        <v>24</v>
      </c>
      <c r="AL18" s="640">
        <v>0</v>
      </c>
      <c r="AM18" s="452">
        <v>1</v>
      </c>
      <c r="AN18" s="458" t="str">
        <f>VLOOKUP(Table2[[#This Row],[Course Title]],'TSD-Data'!$A$1:$G$80,7,FALSE)</f>
        <v>N3</v>
      </c>
    </row>
    <row r="19" spans="2:40" s="459" customFormat="1" x14ac:dyDescent="0.25">
      <c r="B19" s="450"/>
      <c r="C19" s="691" t="s">
        <v>38</v>
      </c>
      <c r="D19" s="452" t="str">
        <f>VLOOKUP(Table2[[#This Row],[Course Title]],'TSD-Data'!$A$1:$E$80,2,FALSE)</f>
        <v>A-493-0069</v>
      </c>
      <c r="E19" s="452" t="str">
        <f>VLOOKUP(Table2[[#This Row],[Course Title]],'TSD-Data'!$A$1:$E$80,3,FALSE)</f>
        <v>450U</v>
      </c>
      <c r="F19" s="451" t="s">
        <v>173</v>
      </c>
      <c r="G19" s="658">
        <v>45950</v>
      </c>
      <c r="H19" s="658">
        <v>45954</v>
      </c>
      <c r="I19" s="454" t="s">
        <v>163</v>
      </c>
      <c r="J19" s="455">
        <v>0.33333333333333331</v>
      </c>
      <c r="K19" s="642"/>
      <c r="L19" s="689"/>
      <c r="M19" s="689"/>
      <c r="N19" s="689"/>
      <c r="O19" s="689"/>
      <c r="P19" s="689"/>
      <c r="Q19" s="456" t="s">
        <v>175</v>
      </c>
      <c r="R19" s="456" t="s">
        <v>174</v>
      </c>
      <c r="S19" s="456"/>
      <c r="T19" s="452">
        <f>VLOOKUP(Table2[[#This Row],[Course Title]],'TSD-Data'!$A$1:$E$80,4,FALSE)</f>
        <v>25</v>
      </c>
      <c r="U19" s="452">
        <f>VLOOKUP(Table2[[#This Row],[Course Title]],'TSD-Data'!$A$1:$F$80,6,FALSE)</f>
        <v>40</v>
      </c>
      <c r="V19" s="457">
        <f>VLOOKUP(Table2[[#This Row],[Course Title]],'TSD-Data'!$A$1:$F$80,5,FALSE)</f>
        <v>5</v>
      </c>
      <c r="W19" s="457">
        <v>15</v>
      </c>
      <c r="X19" s="452">
        <f>Table2[[#This Row],[Quotas]]-Table2[[#This Row],[Open Quotas]]</f>
        <v>8</v>
      </c>
      <c r="Y19" s="452">
        <v>0</v>
      </c>
      <c r="Z19" s="457">
        <v>4</v>
      </c>
      <c r="AA19" s="457">
        <v>0</v>
      </c>
      <c r="AB19" s="452">
        <v>0</v>
      </c>
      <c r="AC19" s="452">
        <v>0</v>
      </c>
      <c r="AD19" s="452">
        <v>0</v>
      </c>
      <c r="AE19" s="452" t="s">
        <v>428</v>
      </c>
      <c r="AF19" s="457">
        <f ca="1">Table2[[#This Row],[End Date]]+2-TODAY()</f>
        <v>-51</v>
      </c>
      <c r="AG19" s="452">
        <f>IF(ISBLANK(Table2[[#This Row],[Roster Received by]]),1,0)</f>
        <v>0</v>
      </c>
      <c r="AH19" s="452">
        <f ca="1">IF(Table2[[#This Row],[Start Date]]&gt;TODAY(),1,)</f>
        <v>0</v>
      </c>
      <c r="AI19" s="452">
        <f>IF(ISBLANK(Table2[[#This Row],[Primary Instructor]]),0,1)</f>
        <v>1</v>
      </c>
      <c r="AJ19" s="452">
        <f>IF(ISBLANK(Table2[[#This Row],[Instructor 2]]),0,1)</f>
        <v>1</v>
      </c>
      <c r="AK19" s="452">
        <f>Table2[[#This Row],[Course Length (Hours)]]/(SUM(Table2[[#This Row],[1]:[2]]))</f>
        <v>20</v>
      </c>
      <c r="AL19" s="640">
        <v>17</v>
      </c>
      <c r="AM19" s="452">
        <v>1</v>
      </c>
      <c r="AN19" s="458" t="str">
        <f>VLOOKUP(Table2[[#This Row],[Course Title]],'TSD-Data'!$A$1:$G$80,7,FALSE)</f>
        <v>N3</v>
      </c>
    </row>
    <row r="20" spans="2:40" s="459" customFormat="1" x14ac:dyDescent="0.25">
      <c r="B20" s="450"/>
      <c r="C20" s="683" t="s">
        <v>52</v>
      </c>
      <c r="D20" s="452" t="str">
        <f>VLOOKUP(Table2[[#This Row],[Course Title]],'TSD-Data'!$A$1:$E$80,2,FALSE)</f>
        <v>A-493-0030</v>
      </c>
      <c r="E20" s="452" t="str">
        <f>VLOOKUP(Table2[[#This Row],[Course Title]],'TSD-Data'!$A$1:$E$80,3,FALSE)</f>
        <v>286X</v>
      </c>
      <c r="F20" s="451" t="s">
        <v>229</v>
      </c>
      <c r="G20" s="453">
        <v>45950</v>
      </c>
      <c r="H20" s="453">
        <v>45954</v>
      </c>
      <c r="I20" s="454" t="s">
        <v>163</v>
      </c>
      <c r="J20" s="455">
        <v>0.33333333333333331</v>
      </c>
      <c r="K20" s="695"/>
      <c r="L20" s="689"/>
      <c r="M20" s="689"/>
      <c r="N20" s="689"/>
      <c r="O20" s="689"/>
      <c r="P20" s="689"/>
      <c r="Q20" s="456" t="s">
        <v>437</v>
      </c>
      <c r="R20" s="456"/>
      <c r="S20" s="456"/>
      <c r="T20" s="452">
        <f>VLOOKUP(Table2[[#This Row],[Course Title]],'TSD-Data'!$A$1:$E$80,4,FALSE)</f>
        <v>25</v>
      </c>
      <c r="U20" s="452">
        <f>VLOOKUP(Table2[[#This Row],[Course Title]],'TSD-Data'!$A$1:$F$80,6,FALSE)</f>
        <v>40</v>
      </c>
      <c r="V20" s="457">
        <f>VLOOKUP(Table2[[#This Row],[Course Title]],'TSD-Data'!$A$1:$F$80,5,FALSE)</f>
        <v>5</v>
      </c>
      <c r="W20" s="457">
        <v>195</v>
      </c>
      <c r="X20" s="452">
        <f>Table2[[#This Row],[Quotas]]-Table2[[#This Row],[Open Quotas]]</f>
        <v>11</v>
      </c>
      <c r="Y20" s="452">
        <v>0</v>
      </c>
      <c r="Z20" s="457">
        <v>4</v>
      </c>
      <c r="AA20" s="457">
        <v>0</v>
      </c>
      <c r="AB20" s="452">
        <v>0</v>
      </c>
      <c r="AC20" s="452">
        <v>0</v>
      </c>
      <c r="AD20" s="452">
        <v>0</v>
      </c>
      <c r="AE20" s="452" t="s">
        <v>428</v>
      </c>
      <c r="AF20" s="457">
        <f ca="1">Table2[[#This Row],[End Date]]+2-TODAY()</f>
        <v>-51</v>
      </c>
      <c r="AG20" s="452">
        <f>IF(ISBLANK(Table2[[#This Row],[Roster Received by]]),1,0)</f>
        <v>0</v>
      </c>
      <c r="AH20" s="452">
        <f ca="1">IF(Table2[[#This Row],[Start Date]]&gt;TODAY(),1,)</f>
        <v>0</v>
      </c>
      <c r="AI20" s="452">
        <f>IF(ISBLANK(Table2[[#This Row],[Primary Instructor]]),0,1)</f>
        <v>1</v>
      </c>
      <c r="AJ20" s="452">
        <f>IF(ISBLANK(Table2[[#This Row],[Instructor 2]]),0,1)</f>
        <v>0</v>
      </c>
      <c r="AK20" s="452">
        <f>Table2[[#This Row],[Course Length (Hours)]]/(SUM(Table2[[#This Row],[1]:[2]]))</f>
        <v>40</v>
      </c>
      <c r="AL20" s="640">
        <v>14</v>
      </c>
      <c r="AM20" s="452">
        <v>1</v>
      </c>
      <c r="AN20" s="458" t="str">
        <f>VLOOKUP(Table2[[#This Row],[Course Title]],'TSD-Data'!$A$1:$G$80,7,FALSE)</f>
        <v>N3</v>
      </c>
    </row>
    <row r="21" spans="2:40" s="459" customFormat="1" x14ac:dyDescent="0.25">
      <c r="B21" s="663"/>
      <c r="C21" s="656" t="s">
        <v>61</v>
      </c>
      <c r="D21" s="452" t="str">
        <f>VLOOKUP(Table2[[#This Row],[Course Title]],'TSD-Data'!$A$1:$E$80,2,FALSE)</f>
        <v>A-493-0012</v>
      </c>
      <c r="E21" s="452">
        <f>VLOOKUP(Table2[[#This Row],[Course Title]],'TSD-Data'!$A$1:$E$80,3,FALSE)</f>
        <v>3682</v>
      </c>
      <c r="F21" s="656" t="s">
        <v>162</v>
      </c>
      <c r="G21" s="664">
        <v>45950</v>
      </c>
      <c r="H21" s="664">
        <v>45954</v>
      </c>
      <c r="I21" s="454" t="s">
        <v>163</v>
      </c>
      <c r="J21" s="455">
        <v>0.33333333333333331</v>
      </c>
      <c r="K21" s="420"/>
      <c r="L21" s="453"/>
      <c r="M21" s="453"/>
      <c r="N21" s="453"/>
      <c r="O21" s="453"/>
      <c r="P21" s="453"/>
      <c r="Q21" s="456" t="s">
        <v>438</v>
      </c>
      <c r="R21" s="456"/>
      <c r="S21" s="456"/>
      <c r="T21" s="452">
        <f>VLOOKUP(Table2[[#This Row],[Course Title]],'TSD-Data'!$A$1:$E$80,4,FALSE)</f>
        <v>40</v>
      </c>
      <c r="U21" s="452">
        <f>VLOOKUP(Table2[[#This Row],[Course Title]],'TSD-Data'!$A$1:$F$80,6,FALSE)</f>
        <v>40</v>
      </c>
      <c r="V21" s="457">
        <f>VLOOKUP(Table2[[#This Row],[Course Title]],'TSD-Data'!$A$1:$F$80,5,FALSE)</f>
        <v>5</v>
      </c>
      <c r="W21" s="452">
        <v>30</v>
      </c>
      <c r="X21" s="452">
        <f>Table2[[#This Row],[Quotas]]-Table2[[#This Row],[Open Quotas]]</f>
        <v>38</v>
      </c>
      <c r="Y21" s="452">
        <v>0</v>
      </c>
      <c r="Z21" s="457">
        <v>29</v>
      </c>
      <c r="AA21" s="457">
        <v>1</v>
      </c>
      <c r="AB21" s="452">
        <v>0</v>
      </c>
      <c r="AC21" s="452">
        <v>2</v>
      </c>
      <c r="AD21" s="452">
        <v>0</v>
      </c>
      <c r="AE21" s="452" t="s">
        <v>427</v>
      </c>
      <c r="AF21" s="457">
        <f ca="1">Table2[[#This Row],[End Date]]+2-TODAY()</f>
        <v>-51</v>
      </c>
      <c r="AG21" s="452">
        <f>IF(ISBLANK(Table2[[#This Row],[Roster Received by]]),1,0)</f>
        <v>0</v>
      </c>
      <c r="AH21" s="452">
        <f ca="1">IF(Table2[[#This Row],[Start Date]]&gt;TODAY(),1,)</f>
        <v>0</v>
      </c>
      <c r="AI21" s="452">
        <f>IF(ISBLANK(Table2[[#This Row],[Primary Instructor]]),0,1)</f>
        <v>1</v>
      </c>
      <c r="AJ21" s="452">
        <f>IF(ISBLANK(Table2[[#This Row],[Instructor 2]]),0,1)</f>
        <v>0</v>
      </c>
      <c r="AK21" s="452">
        <f>Table2[[#This Row],[Course Length (Hours)]]/(SUM(Table2[[#This Row],[1]:[2]]))</f>
        <v>40</v>
      </c>
      <c r="AL21" s="640">
        <v>2</v>
      </c>
      <c r="AM21" s="452">
        <v>1</v>
      </c>
      <c r="AN21" s="458" t="str">
        <f>VLOOKUP(Table2[[#This Row],[Course Title]],'TSD-Data'!$A$1:$G$80,7,FALSE)</f>
        <v>N4</v>
      </c>
    </row>
    <row r="22" spans="2:40" s="459" customFormat="1" x14ac:dyDescent="0.25">
      <c r="B22" s="451"/>
      <c r="C22" s="451" t="s">
        <v>395</v>
      </c>
      <c r="D22" s="452" t="str">
        <f>VLOOKUP(Table2[[#This Row],[Course Title]],'TSD-Data'!$A$1:$E$80,2,FALSE)</f>
        <v>A-493-3002</v>
      </c>
      <c r="E22" s="452" t="str">
        <f>VLOOKUP(Table2[[#This Row],[Course Title]],'TSD-Data'!$A$1:$E$80,3,FALSE)</f>
        <v>31V4</v>
      </c>
      <c r="F22" s="451" t="s">
        <v>25</v>
      </c>
      <c r="G22" s="453">
        <v>45950</v>
      </c>
      <c r="H22" s="453">
        <v>45950</v>
      </c>
      <c r="I22" s="454" t="s">
        <v>163</v>
      </c>
      <c r="J22" s="455"/>
      <c r="K22" s="460">
        <v>0.33333333333333331</v>
      </c>
      <c r="L22" s="420">
        <v>0.20833333333333334</v>
      </c>
      <c r="M22" s="420">
        <v>0.625</v>
      </c>
      <c r="N22" s="420">
        <v>0.58333333333333337</v>
      </c>
      <c r="O22" s="420">
        <v>0.125</v>
      </c>
      <c r="P22" s="420">
        <v>0.875</v>
      </c>
      <c r="Q22" s="456" t="s">
        <v>439</v>
      </c>
      <c r="R22" s="456"/>
      <c r="S22" s="456"/>
      <c r="T22" s="452">
        <f>VLOOKUP(Table2[[#This Row],[Course Title]],'TSD-Data'!$A$1:$E$80,4,FALSE)</f>
        <v>1000</v>
      </c>
      <c r="U22" s="452">
        <f>VLOOKUP(Table2[[#This Row],[Course Title]],'TSD-Data'!$A$1:$F$80,6,FALSE)</f>
        <v>4</v>
      </c>
      <c r="V22" s="457">
        <f>VLOOKUP(Table2[[#This Row],[Course Title]],'TSD-Data'!$A$1:$F$80,5,FALSE)</f>
        <v>0.5</v>
      </c>
      <c r="W22" s="457">
        <v>0</v>
      </c>
      <c r="X22" s="452">
        <f>Table2[[#This Row],[Quotas]]-Table2[[#This Row],[Open Quotas]]</f>
        <v>38</v>
      </c>
      <c r="Y22" s="452">
        <v>0</v>
      </c>
      <c r="Z22" s="457">
        <v>60</v>
      </c>
      <c r="AA22" s="457">
        <v>0</v>
      </c>
      <c r="AB22" s="452">
        <v>0</v>
      </c>
      <c r="AC22" s="452">
        <v>0</v>
      </c>
      <c r="AD22" s="452">
        <v>0</v>
      </c>
      <c r="AE22" s="452" t="s">
        <v>440</v>
      </c>
      <c r="AF22" s="457">
        <f ca="1">Table2[[#This Row],[End Date]]+2-TODAY()</f>
        <v>-55</v>
      </c>
      <c r="AG22" s="452">
        <f>IF(ISBLANK(Table2[[#This Row],[Roster Received by]]),1,0)</f>
        <v>0</v>
      </c>
      <c r="AH22" s="452">
        <f ca="1">IF(Table2[[#This Row],[Start Date]]&gt;TODAY(),1,)</f>
        <v>0</v>
      </c>
      <c r="AI22" s="452">
        <f>IF(ISBLANK(Table2[[#This Row],[Primary Instructor]]),0,1)</f>
        <v>1</v>
      </c>
      <c r="AJ22" s="452">
        <f>IF(ISBLANK(Table2[[#This Row],[Instructor 2]]),0,1)</f>
        <v>0</v>
      </c>
      <c r="AK22" s="452">
        <f>Table2[[#This Row],[Course Length (Hours)]]/(SUM(Table2[[#This Row],[1]:[2]]))</f>
        <v>4</v>
      </c>
      <c r="AL22" s="640">
        <v>962</v>
      </c>
      <c r="AM22" s="452">
        <v>1</v>
      </c>
      <c r="AN22" s="458" t="str">
        <f>VLOOKUP(Table2[[#This Row],[Course Title]],'TSD-Data'!$A$1:$G$80,7,FALSE)</f>
        <v>N8</v>
      </c>
    </row>
    <row r="23" spans="2:40" s="459" customFormat="1" x14ac:dyDescent="0.25">
      <c r="B23" s="450"/>
      <c r="C23" s="451" t="s">
        <v>401</v>
      </c>
      <c r="D23" s="458" t="str">
        <f>VLOOKUP(Table2[[#This Row],[Course Title]],'TSD-Data'!$A$1:$E$80,2,FALSE)</f>
        <v>A-493-3003</v>
      </c>
      <c r="E23" s="458" t="str">
        <f>VLOOKUP(Table2[[#This Row],[Course Title]],'TSD-Data'!$A$1:$E$80,3,FALSE)</f>
        <v>31V5</v>
      </c>
      <c r="F23" s="451" t="s">
        <v>25</v>
      </c>
      <c r="G23" s="453">
        <v>45950</v>
      </c>
      <c r="H23" s="453">
        <v>45952</v>
      </c>
      <c r="I23" s="454" t="s">
        <v>163</v>
      </c>
      <c r="J23" s="455"/>
      <c r="K23" s="460">
        <v>0.625</v>
      </c>
      <c r="L23" s="420">
        <v>0.5</v>
      </c>
      <c r="M23" s="420">
        <v>0.91666666666666663</v>
      </c>
      <c r="N23" s="420">
        <v>0.875</v>
      </c>
      <c r="O23" s="420">
        <v>0.41666666666666669</v>
      </c>
      <c r="P23" s="420">
        <v>0.16666666666666666</v>
      </c>
      <c r="Q23" s="456" t="s">
        <v>439</v>
      </c>
      <c r="R23" s="456"/>
      <c r="S23" s="456"/>
      <c r="T23" s="452">
        <f>VLOOKUP(Table2[[#This Row],[Course Title]],'TSD-Data'!$A$1:$E$80,4,FALSE)</f>
        <v>1000</v>
      </c>
      <c r="U23" s="452">
        <f>VLOOKUP(Table2[[#This Row],[Course Title]],'TSD-Data'!$A$1:$F$80,6,FALSE)</f>
        <v>0.75</v>
      </c>
      <c r="V23" s="457">
        <f>VLOOKUP(Table2[[#This Row],[Course Title]],'TSD-Data'!$A$1:$F$80,5,FALSE)</f>
        <v>0.1</v>
      </c>
      <c r="W23" s="457"/>
      <c r="X23" s="452">
        <f>Table2[[#This Row],[Quotas]]-Table2[[#This Row],[Open Quotas]]</f>
        <v>17</v>
      </c>
      <c r="Y23" s="452">
        <v>0</v>
      </c>
      <c r="Z23" s="457">
        <v>34</v>
      </c>
      <c r="AA23" s="457">
        <v>0</v>
      </c>
      <c r="AB23" s="458">
        <v>0</v>
      </c>
      <c r="AC23" s="458">
        <v>0</v>
      </c>
      <c r="AD23" s="452">
        <v>0</v>
      </c>
      <c r="AE23" s="452" t="s">
        <v>440</v>
      </c>
      <c r="AF23" s="457">
        <f ca="1">Table2[[#This Row],[End Date]]+2-TODAY()</f>
        <v>-53</v>
      </c>
      <c r="AG23" s="452">
        <f>IF(ISBLANK(Table2[[#This Row],[Roster Received by]]),1,0)</f>
        <v>0</v>
      </c>
      <c r="AH23" s="452">
        <f ca="1">IF(Table2[[#This Row],[Start Date]]&gt;TODAY(),1,)</f>
        <v>0</v>
      </c>
      <c r="AI23" s="452">
        <f>IF(ISBLANK(Table2[[#This Row],[Primary Instructor]]),0,1)</f>
        <v>1</v>
      </c>
      <c r="AJ23" s="452">
        <f>IF(ISBLANK(Table2[[#This Row],[Instructor 2]]),0,1)</f>
        <v>0</v>
      </c>
      <c r="AK23" s="452">
        <f>Table2[[#This Row],[Course Length (Hours)]]/(SUM(Table2[[#This Row],[1]:[2]]))</f>
        <v>0.75</v>
      </c>
      <c r="AL23" s="644">
        <v>983</v>
      </c>
      <c r="AM23" s="452">
        <v>1</v>
      </c>
      <c r="AN23" s="458" t="str">
        <f>VLOOKUP(Table2[[#This Row],[Course Title]],'TSD-Data'!$A$1:$G$80,7,FALSE)</f>
        <v>N8</v>
      </c>
    </row>
    <row r="24" spans="2:40" s="459" customFormat="1" x14ac:dyDescent="0.25">
      <c r="B24" s="450"/>
      <c r="C24" s="451" t="s">
        <v>404</v>
      </c>
      <c r="D24" s="458" t="str">
        <f>VLOOKUP(Table2[[#This Row],[Course Title]],'TSD-Data'!$A$1:$E$80,2,FALSE)</f>
        <v>A-493-3006</v>
      </c>
      <c r="E24" s="458" t="str">
        <f>VLOOKUP(Table2[[#This Row],[Course Title]],'TSD-Data'!$A$1:$E$80,3,FALSE)</f>
        <v>31V8</v>
      </c>
      <c r="F24" s="451" t="s">
        <v>25</v>
      </c>
      <c r="G24" s="453">
        <v>45950</v>
      </c>
      <c r="H24" s="453">
        <v>45950</v>
      </c>
      <c r="I24" s="454" t="s">
        <v>163</v>
      </c>
      <c r="J24" s="455"/>
      <c r="K24" s="460">
        <v>0.54166666666666663</v>
      </c>
      <c r="L24" s="420">
        <v>0.41666666666666669</v>
      </c>
      <c r="M24" s="420">
        <v>0.83333333333333337</v>
      </c>
      <c r="N24" s="420">
        <v>0.79166666666666663</v>
      </c>
      <c r="O24" s="420">
        <v>0.29166666666666669</v>
      </c>
      <c r="P24" s="420">
        <v>8.3333333333333329E-2</v>
      </c>
      <c r="Q24" s="456" t="s">
        <v>439</v>
      </c>
      <c r="R24" s="456"/>
      <c r="S24" s="456"/>
      <c r="T24" s="452">
        <f>VLOOKUP(Table2[[#This Row],[Course Title]],'TSD-Data'!$A$1:$E$80,4,FALSE)</f>
        <v>1000</v>
      </c>
      <c r="U24" s="452">
        <f>VLOOKUP(Table2[[#This Row],[Course Title]],'TSD-Data'!$A$1:$F$80,6,FALSE)</f>
        <v>0.75</v>
      </c>
      <c r="V24" s="457">
        <f>VLOOKUP(Table2[[#This Row],[Course Title]],'TSD-Data'!$A$1:$F$80,5,FALSE)</f>
        <v>0.1</v>
      </c>
      <c r="W24" s="457"/>
      <c r="X24" s="452">
        <f>Table2[[#This Row],[Quotas]]-Table2[[#This Row],[Open Quotas]]</f>
        <v>1</v>
      </c>
      <c r="Y24" s="452">
        <v>0</v>
      </c>
      <c r="Z24" s="457">
        <v>39</v>
      </c>
      <c r="AA24" s="457">
        <v>0</v>
      </c>
      <c r="AB24" s="458">
        <v>0</v>
      </c>
      <c r="AC24" s="458">
        <v>0</v>
      </c>
      <c r="AD24" s="452">
        <v>0</v>
      </c>
      <c r="AE24" s="452" t="s">
        <v>440</v>
      </c>
      <c r="AF24" s="457">
        <f ca="1">Table2[[#This Row],[End Date]]+2-TODAY()</f>
        <v>-55</v>
      </c>
      <c r="AG24" s="452">
        <f>IF(ISBLANK(Table2[[#This Row],[Roster Received by]]),1,0)</f>
        <v>0</v>
      </c>
      <c r="AH24" s="452">
        <f ca="1">IF(Table2[[#This Row],[Start Date]]&gt;TODAY(),1,)</f>
        <v>0</v>
      </c>
      <c r="AI24" s="452">
        <f>IF(ISBLANK(Table2[[#This Row],[Primary Instructor]]),0,1)</f>
        <v>1</v>
      </c>
      <c r="AJ24" s="452">
        <f>IF(ISBLANK(Table2[[#This Row],[Instructor 2]]),0,1)</f>
        <v>0</v>
      </c>
      <c r="AK24" s="452">
        <f>Table2[[#This Row],[Course Length (Hours)]]/(SUM(Table2[[#This Row],[1]:[2]]))</f>
        <v>0.75</v>
      </c>
      <c r="AL24" s="644">
        <v>999</v>
      </c>
      <c r="AM24" s="452">
        <v>1</v>
      </c>
      <c r="AN24" s="458" t="str">
        <f>VLOOKUP(Table2[[#This Row],[Course Title]],'TSD-Data'!$A$1:$G$80,7,FALSE)</f>
        <v>N8</v>
      </c>
    </row>
    <row r="25" spans="2:40" s="459" customFormat="1" x14ac:dyDescent="0.25">
      <c r="B25" s="450"/>
      <c r="C25" s="451" t="s">
        <v>407</v>
      </c>
      <c r="D25" s="458" t="str">
        <f>VLOOKUP(Table2[[#This Row],[Course Title]],'TSD-Data'!$A$1:$E$80,2,FALSE)</f>
        <v>A-493-3007</v>
      </c>
      <c r="E25" s="458" t="str">
        <f>VLOOKUP(Table2[[#This Row],[Course Title]],'TSD-Data'!$A$1:$E$80,3,FALSE)</f>
        <v>31V9</v>
      </c>
      <c r="F25" s="451" t="s">
        <v>25</v>
      </c>
      <c r="G25" s="453">
        <v>45950</v>
      </c>
      <c r="H25" s="453">
        <v>45950</v>
      </c>
      <c r="I25" s="454" t="s">
        <v>163</v>
      </c>
      <c r="J25" s="455"/>
      <c r="K25" s="460">
        <v>0.58333333333333337</v>
      </c>
      <c r="L25" s="420">
        <v>0.45833333333333331</v>
      </c>
      <c r="M25" s="420">
        <v>0.83333333333333337</v>
      </c>
      <c r="N25" s="420">
        <v>0.79166666666666663</v>
      </c>
      <c r="O25" s="420">
        <v>0.33333333333333331</v>
      </c>
      <c r="P25" s="420">
        <v>8.3333333333333329E-2</v>
      </c>
      <c r="Q25" s="456" t="s">
        <v>439</v>
      </c>
      <c r="R25" s="456"/>
      <c r="S25" s="456"/>
      <c r="T25" s="452">
        <f>VLOOKUP(Table2[[#This Row],[Course Title]],'TSD-Data'!$A$1:$E$80,4,FALSE)</f>
        <v>1000</v>
      </c>
      <c r="U25" s="452">
        <f>VLOOKUP(Table2[[#This Row],[Course Title]],'TSD-Data'!$A$1:$F$80,6,FALSE)</f>
        <v>0.75</v>
      </c>
      <c r="V25" s="457">
        <f>VLOOKUP(Table2[[#This Row],[Course Title]],'TSD-Data'!$A$1:$F$80,5,FALSE)</f>
        <v>0.1</v>
      </c>
      <c r="W25" s="457"/>
      <c r="X25" s="452">
        <f>Table2[[#This Row],[Quotas]]-Table2[[#This Row],[Open Quotas]]</f>
        <v>1</v>
      </c>
      <c r="Y25" s="452">
        <v>0</v>
      </c>
      <c r="Z25" s="457">
        <v>43</v>
      </c>
      <c r="AA25" s="457">
        <v>0</v>
      </c>
      <c r="AB25" s="458">
        <v>0</v>
      </c>
      <c r="AC25" s="458">
        <v>0</v>
      </c>
      <c r="AD25" s="452">
        <v>0</v>
      </c>
      <c r="AE25" s="452" t="s">
        <v>440</v>
      </c>
      <c r="AF25" s="457">
        <f ca="1">Table2[[#This Row],[End Date]]+2-TODAY()</f>
        <v>-55</v>
      </c>
      <c r="AG25" s="452">
        <f>IF(ISBLANK(Table2[[#This Row],[Roster Received by]]),1,0)</f>
        <v>0</v>
      </c>
      <c r="AH25" s="452">
        <f ca="1">IF(Table2[[#This Row],[Start Date]]&gt;TODAY(),1,)</f>
        <v>0</v>
      </c>
      <c r="AI25" s="452">
        <f>IF(ISBLANK(Table2[[#This Row],[Primary Instructor]]),0,1)</f>
        <v>1</v>
      </c>
      <c r="AJ25" s="452">
        <f>IF(ISBLANK(Table2[[#This Row],[Instructor 2]]),0,1)</f>
        <v>0</v>
      </c>
      <c r="AK25" s="452">
        <f>Table2[[#This Row],[Course Length (Hours)]]/(SUM(Table2[[#This Row],[1]:[2]]))</f>
        <v>0.75</v>
      </c>
      <c r="AL25" s="644">
        <v>999</v>
      </c>
      <c r="AM25" s="452">
        <v>1</v>
      </c>
      <c r="AN25" s="458" t="str">
        <f>VLOOKUP(Table2[[#This Row],[Course Title]],'TSD-Data'!$A$1:$G$80,7,FALSE)</f>
        <v>N8</v>
      </c>
    </row>
    <row r="26" spans="2:40" s="428" customFormat="1" x14ac:dyDescent="0.25">
      <c r="B26" s="450"/>
      <c r="C26" s="451" t="s">
        <v>119</v>
      </c>
      <c r="D26" s="452" t="str">
        <f>VLOOKUP(Table2[[#This Row],[Course Title]],'TSD-Data'!$A$1:$E$80,2,FALSE)</f>
        <v>A-493-2098</v>
      </c>
      <c r="E26" s="452" t="str">
        <f>VLOOKUP(Table2[[#This Row],[Course Title]],'TSD-Data'!$A$1:$E$80,3,FALSE)</f>
        <v>09WW</v>
      </c>
      <c r="F26" s="450" t="s">
        <v>25</v>
      </c>
      <c r="G26" s="453">
        <v>45950</v>
      </c>
      <c r="H26" s="453">
        <v>45952</v>
      </c>
      <c r="I26" s="454" t="s">
        <v>163</v>
      </c>
      <c r="J26" s="455"/>
      <c r="K26" s="460">
        <v>0.5</v>
      </c>
      <c r="L26" s="460">
        <v>0.375</v>
      </c>
      <c r="M26" s="460">
        <v>0.79166666666666663</v>
      </c>
      <c r="N26" s="460">
        <v>0.75</v>
      </c>
      <c r="O26" s="460">
        <v>0.25</v>
      </c>
      <c r="P26" s="460">
        <v>4.1666666666666664E-2</v>
      </c>
      <c r="Q26" s="456" t="s">
        <v>164</v>
      </c>
      <c r="R26" s="456"/>
      <c r="S26" s="456"/>
      <c r="T26" s="452">
        <f>VLOOKUP(Table2[[#This Row],[Course Title]],'TSD-Data'!$A$1:$E$80,4,FALSE)</f>
        <v>100</v>
      </c>
      <c r="U26" s="452">
        <f>VLOOKUP(Table2[[#This Row],[Course Title]],'TSD-Data'!$A$1:$F$80,6,FALSE)</f>
        <v>16</v>
      </c>
      <c r="V26" s="457">
        <f>VLOOKUP(Table2[[#This Row],[Course Title]],'TSD-Data'!$A$1:$F$80,5,FALSE)</f>
        <v>3</v>
      </c>
      <c r="W26" s="457">
        <v>1882</v>
      </c>
      <c r="X26" s="452">
        <f>Table2[[#This Row],[Quotas]]-Table2[[#This Row],[Open Quotas]]</f>
        <v>100</v>
      </c>
      <c r="Y26" s="452">
        <v>5</v>
      </c>
      <c r="Z26" s="457">
        <v>84</v>
      </c>
      <c r="AA26" s="457">
        <v>2</v>
      </c>
      <c r="AB26" s="452">
        <v>0</v>
      </c>
      <c r="AC26" s="452">
        <v>1</v>
      </c>
      <c r="AD26" s="452">
        <v>0</v>
      </c>
      <c r="AE26" s="452" t="s">
        <v>427</v>
      </c>
      <c r="AF26" s="457">
        <f ca="1">Table2[[#This Row],[End Date]]+2-TODAY()</f>
        <v>-53</v>
      </c>
      <c r="AG26" s="452">
        <f>IF(ISBLANK(Table2[[#This Row],[Roster Received by]]),1,0)</f>
        <v>0</v>
      </c>
      <c r="AH26" s="452">
        <f ca="1">IF(Table2[[#This Row],[Start Date]]&gt;TODAY(),1,)</f>
        <v>0</v>
      </c>
      <c r="AI26" s="452">
        <f>IF(ISBLANK(Table2[[#This Row],[Primary Instructor]]),0,1)</f>
        <v>1</v>
      </c>
      <c r="AJ26" s="452">
        <f>IF(ISBLANK(Table2[[#This Row],[Instructor 2]]),0,1)</f>
        <v>0</v>
      </c>
      <c r="AK26" s="452">
        <f>Table2[[#This Row],[Course Length (Hours)]]/(SUM(Table2[[#This Row],[1]:[2]]))</f>
        <v>16</v>
      </c>
      <c r="AL26" s="640">
        <v>0</v>
      </c>
      <c r="AM26" s="452">
        <v>1</v>
      </c>
      <c r="AN26" s="458" t="str">
        <f>VLOOKUP(Table2[[#This Row],[Course Title]],'TSD-Data'!$A$1:$G$80,7,FALSE)</f>
        <v>N8</v>
      </c>
    </row>
    <row r="27" spans="2:40" s="428" customFormat="1" x14ac:dyDescent="0.25">
      <c r="B27" s="450"/>
      <c r="C27" s="451" t="s">
        <v>48</v>
      </c>
      <c r="D27" s="452" t="str">
        <f>VLOOKUP(Table2[[#This Row],[Course Title]],'TSD-Data'!$A$1:$E$80,2,FALSE)</f>
        <v>A-493-0103</v>
      </c>
      <c r="E27" s="452" t="str">
        <f>VLOOKUP(Table2[[#This Row],[Course Title]],'TSD-Data'!$A$1:$E$80,3,FALSE)</f>
        <v>12JY</v>
      </c>
      <c r="F27" s="451" t="s">
        <v>414</v>
      </c>
      <c r="G27" s="453">
        <v>45950</v>
      </c>
      <c r="H27" s="453">
        <v>45954</v>
      </c>
      <c r="I27" s="454" t="s">
        <v>163</v>
      </c>
      <c r="J27" s="455">
        <v>0.33333333333333331</v>
      </c>
      <c r="K27" s="642"/>
      <c r="L27" s="689"/>
      <c r="M27" s="689"/>
      <c r="N27" s="689"/>
      <c r="O27" s="689"/>
      <c r="P27" s="689"/>
      <c r="Q27" s="456" t="s">
        <v>275</v>
      </c>
      <c r="R27" s="456"/>
      <c r="S27" s="456"/>
      <c r="T27" s="452">
        <f>VLOOKUP(Table2[[#This Row],[Course Title]],'TSD-Data'!$A$1:$E$80,4,FALSE)</f>
        <v>25</v>
      </c>
      <c r="U27" s="452">
        <f>VLOOKUP(Table2[[#This Row],[Course Title]],'TSD-Data'!$A$1:$F$80,6,FALSE)</f>
        <v>40</v>
      </c>
      <c r="V27" s="457">
        <f>VLOOKUP(Table2[[#This Row],[Course Title]],'TSD-Data'!$A$1:$F$80,5,FALSE)</f>
        <v>5</v>
      </c>
      <c r="W27" s="457">
        <v>512</v>
      </c>
      <c r="X27" s="452">
        <f>Table2[[#This Row],[Quotas]]-Table2[[#This Row],[Open Quotas]]</f>
        <v>25</v>
      </c>
      <c r="Y27" s="452">
        <v>2</v>
      </c>
      <c r="Z27" s="457">
        <v>20</v>
      </c>
      <c r="AA27" s="457">
        <v>0</v>
      </c>
      <c r="AB27" s="452">
        <v>0</v>
      </c>
      <c r="AC27" s="452">
        <v>6</v>
      </c>
      <c r="AD27" s="452">
        <v>0</v>
      </c>
      <c r="AE27" s="452" t="s">
        <v>430</v>
      </c>
      <c r="AF27" s="457">
        <f ca="1">Table2[[#This Row],[End Date]]+2-TODAY()</f>
        <v>-51</v>
      </c>
      <c r="AG27" s="452">
        <f>IF(ISBLANK(Table2[[#This Row],[Roster Received by]]),1,0)</f>
        <v>0</v>
      </c>
      <c r="AH27" s="452">
        <f ca="1">IF(Table2[[#This Row],[Start Date]]&gt;TODAY(),1,)</f>
        <v>0</v>
      </c>
      <c r="AI27" s="452">
        <f>IF(ISBLANK(Table2[[#This Row],[Primary Instructor]]),0,1)</f>
        <v>1</v>
      </c>
      <c r="AJ27" s="452">
        <f>IF(ISBLANK(Table2[[#This Row],[Instructor 2]]),0,1)</f>
        <v>0</v>
      </c>
      <c r="AK27" s="452">
        <f>Table2[[#This Row],[Course Length (Hours)]]/(SUM(Table2[[#This Row],[1]:[2]]))</f>
        <v>40</v>
      </c>
      <c r="AL27" s="640">
        <v>0</v>
      </c>
      <c r="AM27" s="452">
        <v>1</v>
      </c>
      <c r="AN27" s="458" t="str">
        <f>VLOOKUP(Table2[[#This Row],[Course Title]],'TSD-Data'!$A$1:$G$80,7,FALSE)</f>
        <v>N5</v>
      </c>
    </row>
    <row r="28" spans="2:40" s="459" customFormat="1" ht="15.6" customHeight="1" x14ac:dyDescent="0.25">
      <c r="B28" s="450"/>
      <c r="C28" s="683" t="s">
        <v>68</v>
      </c>
      <c r="D28" s="458" t="str">
        <f>VLOOKUP(Table2[[#This Row],[Course Title]],'TSD-Data'!$A$1:$E$80,2,FALSE)</f>
        <v xml:space="preserve">A-493-0075 </v>
      </c>
      <c r="E28" s="458" t="str">
        <f>VLOOKUP(Table2[[#This Row],[Course Title]],'TSD-Data'!$A$1:$E$80,3,FALSE)</f>
        <v>714U</v>
      </c>
      <c r="F28" s="451" t="s">
        <v>264</v>
      </c>
      <c r="G28" s="453">
        <v>45950</v>
      </c>
      <c r="H28" s="453">
        <v>45953</v>
      </c>
      <c r="I28" s="454" t="s">
        <v>163</v>
      </c>
      <c r="J28" s="455"/>
      <c r="K28" s="420"/>
      <c r="L28" s="453"/>
      <c r="M28" s="453"/>
      <c r="N28" s="453"/>
      <c r="O28" s="453"/>
      <c r="P28" s="453"/>
      <c r="Q28" s="456" t="s">
        <v>275</v>
      </c>
      <c r="R28" s="456"/>
      <c r="S28" s="456"/>
      <c r="T28" s="452">
        <f>VLOOKUP(Table2[[#This Row],[Course Title]],'TSD-Data'!$A$1:$E$80,4,FALSE)</f>
        <v>30</v>
      </c>
      <c r="U28" s="452">
        <f>VLOOKUP(Table2[[#This Row],[Course Title]],'TSD-Data'!$A$1:$F$80,6,FALSE)</f>
        <v>32</v>
      </c>
      <c r="V28" s="457">
        <f>VLOOKUP(Table2[[#This Row],[Course Title]],'TSD-Data'!$A$1:$F$80,5,FALSE)</f>
        <v>4</v>
      </c>
      <c r="W28" s="457"/>
      <c r="X28" s="452">
        <f>Table2[[#This Row],[Quotas]]-Table2[[#This Row],[Open Quotas]]</f>
        <v>10</v>
      </c>
      <c r="Y28" s="452">
        <v>0</v>
      </c>
      <c r="Z28" s="457">
        <v>3</v>
      </c>
      <c r="AA28" s="457">
        <v>0</v>
      </c>
      <c r="AB28" s="458">
        <v>0</v>
      </c>
      <c r="AC28" s="458">
        <v>1</v>
      </c>
      <c r="AD28" s="452">
        <v>0</v>
      </c>
      <c r="AE28" s="452" t="s">
        <v>430</v>
      </c>
      <c r="AF28" s="457">
        <f ca="1">Table2[[#This Row],[End Date]]+2-TODAY()</f>
        <v>-52</v>
      </c>
      <c r="AG28" s="452">
        <f>IF(ISBLANK(Table2[[#This Row],[Roster Received by]]),1,0)</f>
        <v>0</v>
      </c>
      <c r="AH28" s="452">
        <f ca="1">IF(Table2[[#This Row],[Start Date]]&gt;TODAY(),1,)</f>
        <v>0</v>
      </c>
      <c r="AI28" s="452">
        <f>IF(ISBLANK(Table2[[#This Row],[Primary Instructor]]),0,1)</f>
        <v>1</v>
      </c>
      <c r="AJ28" s="452">
        <f>IF(ISBLANK(Table2[[#This Row],[Instructor 2]]),0,1)</f>
        <v>0</v>
      </c>
      <c r="AK28" s="452">
        <f>Table2[[#This Row],[Course Length (Hours)]]/(SUM(Table2[[#This Row],[1]:[2]]))</f>
        <v>32</v>
      </c>
      <c r="AL28" s="644">
        <v>20</v>
      </c>
      <c r="AM28" s="452">
        <v>1</v>
      </c>
      <c r="AN28" s="458" t="str">
        <f>VLOOKUP(Table2[[#This Row],[Course Title]],'TSD-Data'!$A$1:$G$80,7,FALSE)</f>
        <v>N5</v>
      </c>
    </row>
    <row r="29" spans="2:40" s="459" customFormat="1" x14ac:dyDescent="0.25">
      <c r="B29" s="450"/>
      <c r="C29" s="683" t="s">
        <v>74</v>
      </c>
      <c r="D29" s="452" t="str">
        <f>VLOOKUP(Table2[[#This Row],[Course Title]],'TSD-Data'!$A$1:$E$80,2,FALSE)</f>
        <v>A-322-2604</v>
      </c>
      <c r="E29" s="452" t="str">
        <f>VLOOKUP(Table2[[#This Row],[Course Title]],'TSD-Data'!$A$1:$E$80,3,FALSE)</f>
        <v>10ZZ</v>
      </c>
      <c r="F29" s="451" t="s">
        <v>25</v>
      </c>
      <c r="G29" s="453">
        <v>45950</v>
      </c>
      <c r="H29" s="453">
        <v>45952</v>
      </c>
      <c r="I29" s="454" t="s">
        <v>163</v>
      </c>
      <c r="J29" s="455"/>
      <c r="K29" s="679">
        <v>1900.7916666666667</v>
      </c>
      <c r="L29" s="679">
        <v>0.66666666666666663</v>
      </c>
      <c r="M29" s="679">
        <v>8.3333333333333329E-2</v>
      </c>
      <c r="N29" s="679">
        <v>0</v>
      </c>
      <c r="O29" s="679">
        <v>0.54166666666666663</v>
      </c>
      <c r="P29" s="679">
        <v>0.33333333333333331</v>
      </c>
      <c r="Q29" s="456" t="s">
        <v>431</v>
      </c>
      <c r="R29" s="456"/>
      <c r="S29" s="456"/>
      <c r="T29" s="452">
        <f>VLOOKUP(Table2[[#This Row],[Course Title]],'TSD-Data'!$A$1:$E$80,4,FALSE)</f>
        <v>45</v>
      </c>
      <c r="U29" s="452">
        <f>VLOOKUP(Table2[[#This Row],[Course Title]],'TSD-Data'!$A$1:$F$80,6,FALSE)</f>
        <v>24</v>
      </c>
      <c r="V29" s="457">
        <f>VLOOKUP(Table2[[#This Row],[Course Title]],'TSD-Data'!$A$1:$F$80,5,FALSE)</f>
        <v>3</v>
      </c>
      <c r="W29" s="457">
        <v>174</v>
      </c>
      <c r="X29" s="452">
        <f>Table2[[#This Row],[Quotas]]-Table2[[#This Row],[Open Quotas]]</f>
        <v>45</v>
      </c>
      <c r="Y29" s="452">
        <v>4</v>
      </c>
      <c r="Z29" s="457">
        <v>39</v>
      </c>
      <c r="AA29" s="457">
        <v>0</v>
      </c>
      <c r="AB29" s="452">
        <v>0</v>
      </c>
      <c r="AC29" s="452">
        <v>4</v>
      </c>
      <c r="AD29" s="452">
        <v>0</v>
      </c>
      <c r="AE29" s="452" t="s">
        <v>430</v>
      </c>
      <c r="AF29" s="457">
        <f ca="1">Table2[[#This Row],[End Date]]+2-TODAY()</f>
        <v>-53</v>
      </c>
      <c r="AG29" s="452">
        <f>IF(ISBLANK(Table2[[#This Row],[Roster Received by]]),1,0)</f>
        <v>0</v>
      </c>
      <c r="AH29" s="452">
        <f ca="1">IF(Table2[[#This Row],[Start Date]]&gt;TODAY(),1,)</f>
        <v>0</v>
      </c>
      <c r="AI29" s="452">
        <f>IF(ISBLANK(Table2[[#This Row],[Primary Instructor]]),0,1)</f>
        <v>1</v>
      </c>
      <c r="AJ29" s="452">
        <f>IF(ISBLANK(Table2[[#This Row],[Instructor 2]]),0,1)</f>
        <v>0</v>
      </c>
      <c r="AK29" s="452">
        <f>Table2[[#This Row],[Course Length (Hours)]]/(SUM(Table2[[#This Row],[1]:[2]]))</f>
        <v>24</v>
      </c>
      <c r="AL29" s="640">
        <v>0</v>
      </c>
      <c r="AM29" s="452">
        <v>1</v>
      </c>
      <c r="AN29" s="458" t="str">
        <f>VLOOKUP(Table2[[#This Row],[Course Title]],'TSD-Data'!$A$1:$G$80,7,FALSE)</f>
        <v>N8</v>
      </c>
    </row>
    <row r="30" spans="2:40" s="459" customFormat="1" x14ac:dyDescent="0.25">
      <c r="B30" s="450"/>
      <c r="C30" s="683" t="s">
        <v>408</v>
      </c>
      <c r="D30" s="452" t="str">
        <f>VLOOKUP(Table2[[#This Row],[Course Title]],'TSD-Data'!$A$1:$E$80,2,FALSE)</f>
        <v>A-4J-0019</v>
      </c>
      <c r="E30" s="452" t="str">
        <f>VLOOKUP(Table2[[#This Row],[Course Title]],'TSD-Data'!$A$1:$E$80,3,FALSE)</f>
        <v>28SL/285M</v>
      </c>
      <c r="F30" s="451" t="s">
        <v>441</v>
      </c>
      <c r="G30" s="453">
        <v>45950</v>
      </c>
      <c r="H30" s="453">
        <v>45954</v>
      </c>
      <c r="I30" s="454" t="s">
        <v>163</v>
      </c>
      <c r="J30" s="455">
        <v>0.3125</v>
      </c>
      <c r="K30" s="420"/>
      <c r="L30" s="453"/>
      <c r="M30" s="453"/>
      <c r="N30" s="453"/>
      <c r="O30" s="453"/>
      <c r="P30" s="453"/>
      <c r="Q30" s="456" t="s">
        <v>442</v>
      </c>
      <c r="R30" s="456" t="s">
        <v>443</v>
      </c>
      <c r="S30" s="456"/>
      <c r="T30" s="452">
        <f>VLOOKUP(Table2[[#This Row],[Course Title]],'TSD-Data'!$A$1:$E$80,4,FALSE)</f>
        <v>20</v>
      </c>
      <c r="U30" s="452">
        <f>VLOOKUP(Table2[[#This Row],[Course Title]],'TSD-Data'!$A$1:$F$80,6,FALSE)</f>
        <v>40</v>
      </c>
      <c r="V30" s="457">
        <f>VLOOKUP(Table2[[#This Row],[Course Title]],'TSD-Data'!$A$1:$F$80,5,FALSE)</f>
        <v>5</v>
      </c>
      <c r="W30" s="457">
        <v>148</v>
      </c>
      <c r="X30" s="452">
        <f>Table2[[#This Row],[Quotas]]-Table2[[#This Row],[Open Quotas]]</f>
        <v>20</v>
      </c>
      <c r="Y30" s="452">
        <v>0</v>
      </c>
      <c r="Z30" s="457">
        <v>16</v>
      </c>
      <c r="AA30" s="457">
        <v>0</v>
      </c>
      <c r="AB30" s="452">
        <v>0</v>
      </c>
      <c r="AC30" s="452">
        <v>1</v>
      </c>
      <c r="AD30" s="452">
        <v>0</v>
      </c>
      <c r="AE30" s="452" t="s">
        <v>430</v>
      </c>
      <c r="AF30" s="457">
        <f ca="1">Table2[[#This Row],[End Date]]+2-TODAY()</f>
        <v>-51</v>
      </c>
      <c r="AG30" s="452">
        <f>IF(ISBLANK(Table2[[#This Row],[Roster Received by]]),1,0)</f>
        <v>0</v>
      </c>
      <c r="AH30" s="452">
        <f ca="1">IF(Table2[[#This Row],[Start Date]]&gt;TODAY(),1,)</f>
        <v>0</v>
      </c>
      <c r="AI30" s="452">
        <f>IF(ISBLANK(Table2[[#This Row],[Primary Instructor]]),0,1)</f>
        <v>1</v>
      </c>
      <c r="AJ30" s="452">
        <f>IF(ISBLANK(Table2[[#This Row],[Instructor 2]]),0,1)</f>
        <v>1</v>
      </c>
      <c r="AK30" s="452">
        <f>Table2[[#This Row],[Course Length (Hours)]]/(SUM(Table2[[#This Row],[1]:[2]]))</f>
        <v>20</v>
      </c>
      <c r="AL30" s="640">
        <v>0</v>
      </c>
      <c r="AM30" s="452">
        <v>1</v>
      </c>
      <c r="AN30" s="458" t="str">
        <f>VLOOKUP(Table2[[#This Row],[Course Title]],'TSD-Data'!$A$1:$G$80,7,FALSE)</f>
        <v>N8</v>
      </c>
    </row>
    <row r="31" spans="2:40" s="428" customFormat="1" x14ac:dyDescent="0.25">
      <c r="B31" s="450"/>
      <c r="C31" s="683" t="s">
        <v>80</v>
      </c>
      <c r="D31" s="458" t="str">
        <f>VLOOKUP(Table2[[#This Row],[Course Title]],'TSD-Data'!$A$1:$E$80,2,FALSE)</f>
        <v>A-493-0083</v>
      </c>
      <c r="E31" s="458" t="str">
        <f>VLOOKUP(Table2[[#This Row],[Course Title]],'TSD-Data'!$A$1:$E$80,3,FALSE)</f>
        <v>339E</v>
      </c>
      <c r="F31" s="450" t="s">
        <v>25</v>
      </c>
      <c r="G31" s="453">
        <v>45951</v>
      </c>
      <c r="H31" s="453">
        <v>45951</v>
      </c>
      <c r="I31" s="454" t="s">
        <v>163</v>
      </c>
      <c r="J31" s="455"/>
      <c r="K31" s="420">
        <v>1100.3333333333333</v>
      </c>
      <c r="L31" s="420">
        <v>0.20833333333333334</v>
      </c>
      <c r="M31" s="651">
        <v>1600</v>
      </c>
      <c r="N31" s="651">
        <v>1400</v>
      </c>
      <c r="O31" s="420">
        <v>0.125</v>
      </c>
      <c r="P31" s="651">
        <v>2200</v>
      </c>
      <c r="Q31" s="456" t="s">
        <v>168</v>
      </c>
      <c r="R31" s="456"/>
      <c r="S31" s="456"/>
      <c r="T31" s="452">
        <f>VLOOKUP(Table2[[#This Row],[Course Title]],'TSD-Data'!$A$1:$E$80,4,FALSE)</f>
        <v>30</v>
      </c>
      <c r="U31" s="452">
        <f>VLOOKUP(Table2[[#This Row],[Course Title]],'TSD-Data'!$A$1:$F$80,6,FALSE)</f>
        <v>8</v>
      </c>
      <c r="V31" s="457">
        <f>VLOOKUP(Table2[[#This Row],[Course Title]],'TSD-Data'!$A$1:$F$80,5,FALSE)</f>
        <v>1</v>
      </c>
      <c r="W31" s="457"/>
      <c r="X31" s="452">
        <f>Table2[[#This Row],[Quotas]]-Table2[[#This Row],[Open Quotas]]</f>
        <v>6</v>
      </c>
      <c r="Y31" s="452">
        <v>0</v>
      </c>
      <c r="Z31" s="457">
        <v>9</v>
      </c>
      <c r="AA31" s="457">
        <v>0</v>
      </c>
      <c r="AB31" s="458">
        <v>0</v>
      </c>
      <c r="AC31" s="458">
        <v>1</v>
      </c>
      <c r="AD31" s="452">
        <v>0</v>
      </c>
      <c r="AE31" s="452" t="s">
        <v>427</v>
      </c>
      <c r="AF31" s="457">
        <f ca="1">Table2[[#This Row],[End Date]]+2-TODAY()</f>
        <v>-54</v>
      </c>
      <c r="AG31" s="452">
        <f>IF(ISBLANK(Table2[[#This Row],[Roster Received by]]),1,0)</f>
        <v>0</v>
      </c>
      <c r="AH31" s="452">
        <f ca="1">IF(Table2[[#This Row],[Start Date]]&gt;TODAY(),1,)</f>
        <v>0</v>
      </c>
      <c r="AI31" s="452">
        <f>IF(ISBLANK(Table2[[#This Row],[Primary Instructor]]),0,1)</f>
        <v>1</v>
      </c>
      <c r="AJ31" s="452">
        <f>IF(ISBLANK(Table2[[#This Row],[Instructor 2]]),0,1)</f>
        <v>0</v>
      </c>
      <c r="AK31" s="452">
        <f>Table2[[#This Row],[Course Length (Hours)]]/(SUM(Table2[[#This Row],[1]:[2]]))</f>
        <v>8</v>
      </c>
      <c r="AL31" s="644">
        <v>24</v>
      </c>
      <c r="AM31" s="452">
        <v>1</v>
      </c>
      <c r="AN31" s="458" t="str">
        <f>VLOOKUP(Table2[[#This Row],[Course Title]],'TSD-Data'!$A$1:$G$80,7,FALSE)</f>
        <v>N4</v>
      </c>
    </row>
    <row r="32" spans="2:40" s="459" customFormat="1" x14ac:dyDescent="0.25">
      <c r="B32" s="450"/>
      <c r="C32" s="683" t="s">
        <v>393</v>
      </c>
      <c r="D32" s="452" t="str">
        <f>VLOOKUP(Table2[[#This Row],[Course Title]],'TSD-Data'!$A$1:$E$80,2,FALSE)</f>
        <v>A-493-3011</v>
      </c>
      <c r="E32" s="452" t="str">
        <f>VLOOKUP(Table2[[#This Row],[Course Title]],'TSD-Data'!$A$1:$E$80,3,FALSE)</f>
        <v>31VD</v>
      </c>
      <c r="F32" s="451" t="s">
        <v>25</v>
      </c>
      <c r="G32" s="453">
        <v>45951</v>
      </c>
      <c r="H32" s="453">
        <v>45951</v>
      </c>
      <c r="I32" s="454" t="s">
        <v>163</v>
      </c>
      <c r="J32" s="455"/>
      <c r="K32" s="460">
        <v>0.54166666666666663</v>
      </c>
      <c r="L32" s="420">
        <v>0.41666666666666669</v>
      </c>
      <c r="M32" s="420">
        <v>0.83333333333333337</v>
      </c>
      <c r="N32" s="420">
        <v>0.79166666666666663</v>
      </c>
      <c r="O32" s="420">
        <v>0.29166666666666669</v>
      </c>
      <c r="P32" s="420">
        <v>8.3333333333333329E-2</v>
      </c>
      <c r="Q32" s="456" t="s">
        <v>439</v>
      </c>
      <c r="R32" s="456"/>
      <c r="S32" s="456"/>
      <c r="T32" s="452">
        <f>VLOOKUP(Table2[[#This Row],[Course Title]],'TSD-Data'!$A$1:$E$80,4,FALSE)</f>
        <v>1000</v>
      </c>
      <c r="U32" s="452">
        <f>VLOOKUP(Table2[[#This Row],[Course Title]],'TSD-Data'!$A$1:$F$80,6,FALSE)</f>
        <v>2.5</v>
      </c>
      <c r="V32" s="457">
        <f>VLOOKUP(Table2[[#This Row],[Course Title]],'TSD-Data'!$A$1:$F$80,5,FALSE)</f>
        <v>0.3</v>
      </c>
      <c r="W32" s="457">
        <v>0</v>
      </c>
      <c r="X32" s="452">
        <f>Table2[[#This Row],[Quotas]]-Table2[[#This Row],[Open Quotas]]</f>
        <v>25</v>
      </c>
      <c r="Y32" s="452">
        <v>0</v>
      </c>
      <c r="Z32" s="457">
        <v>69</v>
      </c>
      <c r="AA32" s="457">
        <v>0</v>
      </c>
      <c r="AB32" s="452">
        <v>0</v>
      </c>
      <c r="AC32" s="452">
        <v>0</v>
      </c>
      <c r="AD32" s="452">
        <v>0</v>
      </c>
      <c r="AE32" s="452" t="s">
        <v>440</v>
      </c>
      <c r="AF32" s="457">
        <f ca="1">Table2[[#This Row],[End Date]]+2-TODAY()</f>
        <v>-54</v>
      </c>
      <c r="AG32" s="452">
        <f>IF(ISBLANK(Table2[[#This Row],[Roster Received by]]),1,0)</f>
        <v>0</v>
      </c>
      <c r="AH32" s="452">
        <f ca="1">IF(Table2[[#This Row],[Start Date]]&gt;TODAY(),1,)</f>
        <v>0</v>
      </c>
      <c r="AI32" s="452">
        <f>IF(ISBLANK(Table2[[#This Row],[Primary Instructor]]),0,1)</f>
        <v>1</v>
      </c>
      <c r="AJ32" s="452">
        <f>IF(ISBLANK(Table2[[#This Row],[Instructor 2]]),0,1)</f>
        <v>0</v>
      </c>
      <c r="AK32" s="452">
        <f>Table2[[#This Row],[Course Length (Hours)]]/(SUM(Table2[[#This Row],[1]:[2]]))</f>
        <v>2.5</v>
      </c>
      <c r="AL32" s="640">
        <v>975</v>
      </c>
      <c r="AM32" s="452">
        <v>1</v>
      </c>
      <c r="AN32" s="458" t="str">
        <f>VLOOKUP(Table2[[#This Row],[Course Title]],'TSD-Data'!$A$1:$G$80,7,FALSE)</f>
        <v>N8</v>
      </c>
    </row>
    <row r="33" spans="2:40" s="459" customFormat="1" x14ac:dyDescent="0.25">
      <c r="B33" s="451"/>
      <c r="C33" s="683" t="s">
        <v>394</v>
      </c>
      <c r="D33" s="452" t="str">
        <f>VLOOKUP(Table2[[#This Row],[Course Title]],'TSD-Data'!$A$1:$E$80,2,FALSE)</f>
        <v>A-493-3010</v>
      </c>
      <c r="E33" s="452" t="str">
        <f>VLOOKUP(Table2[[#This Row],[Course Title]],'TSD-Data'!$A$1:$E$80,3,FALSE)</f>
        <v>31VC</v>
      </c>
      <c r="F33" s="450" t="s">
        <v>25</v>
      </c>
      <c r="G33" s="453">
        <v>45951</v>
      </c>
      <c r="H33" s="453">
        <v>45951</v>
      </c>
      <c r="I33" s="454" t="s">
        <v>163</v>
      </c>
      <c r="J33" s="455"/>
      <c r="K33" s="460">
        <v>0.33333333333333331</v>
      </c>
      <c r="L33" s="420">
        <v>0.20833333333333334</v>
      </c>
      <c r="M33" s="420">
        <v>0.625</v>
      </c>
      <c r="N33" s="420">
        <v>0.58333333333333337</v>
      </c>
      <c r="O33" s="420">
        <v>0.125</v>
      </c>
      <c r="P33" s="420">
        <v>0.875</v>
      </c>
      <c r="Q33" s="456" t="s">
        <v>439</v>
      </c>
      <c r="R33" s="456"/>
      <c r="S33" s="456"/>
      <c r="T33" s="452">
        <f>VLOOKUP(Table2[[#This Row],[Course Title]],'TSD-Data'!$A$1:$E$80,4,FALSE)</f>
        <v>1000</v>
      </c>
      <c r="U33" s="452">
        <f>VLOOKUP(Table2[[#This Row],[Course Title]],'TSD-Data'!$A$1:$F$80,6,FALSE)</f>
        <v>3.5</v>
      </c>
      <c r="V33" s="457">
        <f>VLOOKUP(Table2[[#This Row],[Course Title]],'TSD-Data'!$A$1:$F$80,5,FALSE)</f>
        <v>0.4</v>
      </c>
      <c r="W33" s="457">
        <v>0</v>
      </c>
      <c r="X33" s="452">
        <f>Table2[[#This Row],[Quotas]]-Table2[[#This Row],[Open Quotas]]</f>
        <v>52</v>
      </c>
      <c r="Y33" s="452">
        <v>0</v>
      </c>
      <c r="Z33" s="457">
        <v>67</v>
      </c>
      <c r="AA33" s="457">
        <v>0</v>
      </c>
      <c r="AB33" s="452">
        <v>0</v>
      </c>
      <c r="AC33" s="452">
        <v>0</v>
      </c>
      <c r="AD33" s="452">
        <v>0</v>
      </c>
      <c r="AE33" s="452" t="s">
        <v>440</v>
      </c>
      <c r="AF33" s="457">
        <f ca="1">Table2[[#This Row],[End Date]]+2-TODAY()</f>
        <v>-54</v>
      </c>
      <c r="AG33" s="452">
        <f>IF(ISBLANK(Table2[[#This Row],[Roster Received by]]),1,0)</f>
        <v>0</v>
      </c>
      <c r="AH33" s="452">
        <f ca="1">IF(Table2[[#This Row],[Start Date]]&gt;TODAY(),1,)</f>
        <v>0</v>
      </c>
      <c r="AI33" s="452">
        <f>IF(ISBLANK(Table2[[#This Row],[Primary Instructor]]),0,1)</f>
        <v>1</v>
      </c>
      <c r="AJ33" s="452">
        <f>IF(ISBLANK(Table2[[#This Row],[Instructor 2]]),0,1)</f>
        <v>0</v>
      </c>
      <c r="AK33" s="452">
        <f>Table2[[#This Row],[Course Length (Hours)]]/(SUM(Table2[[#This Row],[1]:[2]]))</f>
        <v>3.5</v>
      </c>
      <c r="AL33" s="640">
        <v>948</v>
      </c>
      <c r="AM33" s="452">
        <v>1</v>
      </c>
      <c r="AN33" s="458" t="str">
        <f>VLOOKUP(Table2[[#This Row],[Course Title]],'TSD-Data'!$A$1:$G$80,7,FALSE)</f>
        <v>N8</v>
      </c>
    </row>
    <row r="34" spans="2:40" s="459" customFormat="1" x14ac:dyDescent="0.25">
      <c r="B34" s="450"/>
      <c r="C34" s="683" t="s">
        <v>390</v>
      </c>
      <c r="D34" s="458" t="str">
        <f>VLOOKUP(Table2[[#This Row],[Course Title]],'TSD-Data'!$A$1:$E$80,2,FALSE)</f>
        <v>A-493-3018</v>
      </c>
      <c r="E34" s="458" t="str">
        <f>VLOOKUP(Table2[[#This Row],[Course Title]],'TSD-Data'!$A$1:$E$80,3,FALSE)</f>
        <v>31YM</v>
      </c>
      <c r="F34" s="450" t="s">
        <v>25</v>
      </c>
      <c r="G34" s="454">
        <v>45952</v>
      </c>
      <c r="H34" s="454">
        <v>45952</v>
      </c>
      <c r="I34" s="454" t="s">
        <v>163</v>
      </c>
      <c r="J34" s="455"/>
      <c r="K34" s="460">
        <v>0.60416666666666663</v>
      </c>
      <c r="L34" s="420">
        <v>0.47916666666666669</v>
      </c>
      <c r="M34" s="420">
        <v>0.89583333333333337</v>
      </c>
      <c r="N34" s="420">
        <v>0.85416666666666663</v>
      </c>
      <c r="O34" s="420">
        <v>0.39583333333333331</v>
      </c>
      <c r="P34" s="420">
        <v>0.14583333333333334</v>
      </c>
      <c r="Q34" s="456" t="s">
        <v>439</v>
      </c>
      <c r="R34" s="456"/>
      <c r="S34" s="456"/>
      <c r="T34" s="452">
        <f>VLOOKUP(Table2[[#This Row],[Course Title]],'TSD-Data'!$A$1:$E$80,4,FALSE)</f>
        <v>1000</v>
      </c>
      <c r="U34" s="452">
        <f>VLOOKUP(Table2[[#This Row],[Course Title]],'TSD-Data'!$A$1:$F$80,6,FALSE)</f>
        <v>2.5</v>
      </c>
      <c r="V34" s="457">
        <f>VLOOKUP(Table2[[#This Row],[Course Title]],'TSD-Data'!$A$1:$F$80,5,FALSE)</f>
        <v>0.3</v>
      </c>
      <c r="W34" s="457"/>
      <c r="X34" s="452">
        <f>Table2[[#This Row],[Quotas]]-Table2[[#This Row],[Open Quotas]]</f>
        <v>1</v>
      </c>
      <c r="Y34" s="452">
        <v>0</v>
      </c>
      <c r="Z34" s="457">
        <v>35</v>
      </c>
      <c r="AA34" s="457">
        <v>0</v>
      </c>
      <c r="AB34" s="458">
        <v>0</v>
      </c>
      <c r="AC34" s="458">
        <v>0</v>
      </c>
      <c r="AD34" s="452">
        <v>0</v>
      </c>
      <c r="AE34" s="452" t="s">
        <v>440</v>
      </c>
      <c r="AF34" s="457">
        <f ca="1">Table2[[#This Row],[End Date]]+2-TODAY()</f>
        <v>-53</v>
      </c>
      <c r="AG34" s="452">
        <f>IF(ISBLANK(Table2[[#This Row],[Roster Received by]]),1,0)</f>
        <v>0</v>
      </c>
      <c r="AH34" s="452">
        <f ca="1">IF(Table2[[#This Row],[Start Date]]&gt;TODAY(),1,)</f>
        <v>0</v>
      </c>
      <c r="AI34" s="452">
        <f>IF(ISBLANK(Table2[[#This Row],[Primary Instructor]]),0,1)</f>
        <v>1</v>
      </c>
      <c r="AJ34" s="452">
        <f>IF(ISBLANK(Table2[[#This Row],[Instructor 2]]),0,1)</f>
        <v>0</v>
      </c>
      <c r="AK34" s="452">
        <f>Table2[[#This Row],[Course Length (Hours)]]/(SUM(Table2[[#This Row],[1]:[2]]))</f>
        <v>2.5</v>
      </c>
      <c r="AL34" s="644">
        <v>999</v>
      </c>
      <c r="AM34" s="452">
        <v>1</v>
      </c>
      <c r="AN34" s="458" t="str">
        <f>VLOOKUP(Table2[[#This Row],[Course Title]],'TSD-Data'!$A$1:$G$80,7,FALSE)</f>
        <v>N8</v>
      </c>
    </row>
    <row r="35" spans="2:40" s="459" customFormat="1" x14ac:dyDescent="0.25">
      <c r="B35" s="450"/>
      <c r="C35" s="683" t="s">
        <v>392</v>
      </c>
      <c r="D35" s="452" t="str">
        <f>VLOOKUP(Table2[[#This Row],[Course Title]],'TSD-Data'!$A$1:$E$80,2,FALSE)</f>
        <v>A-493-3004</v>
      </c>
      <c r="E35" s="452" t="str">
        <f>VLOOKUP(Table2[[#This Row],[Course Title]],'TSD-Data'!$A$1:$E$80,3,FALSE)</f>
        <v>31V6</v>
      </c>
      <c r="F35" s="450" t="s">
        <v>25</v>
      </c>
      <c r="G35" s="454">
        <v>45952</v>
      </c>
      <c r="H35" s="454">
        <v>45952</v>
      </c>
      <c r="I35" s="454" t="s">
        <v>163</v>
      </c>
      <c r="J35" s="455"/>
      <c r="K35" s="460">
        <v>0.52083333333333337</v>
      </c>
      <c r="L35" s="420">
        <v>0.41666666666666669</v>
      </c>
      <c r="M35" s="420">
        <v>0.83333333333333337</v>
      </c>
      <c r="N35" s="420">
        <v>0.79166666666666663</v>
      </c>
      <c r="O35" s="420">
        <v>0.29166666666666669</v>
      </c>
      <c r="P35" s="420">
        <v>8.3333333333333329E-2</v>
      </c>
      <c r="Q35" s="456" t="s">
        <v>439</v>
      </c>
      <c r="R35" s="456"/>
      <c r="S35" s="456"/>
      <c r="T35" s="452">
        <f>VLOOKUP(Table2[[#This Row],[Course Title]],'TSD-Data'!$A$1:$E$80,4,FALSE)</f>
        <v>1000</v>
      </c>
      <c r="U35" s="452">
        <f>VLOOKUP(Table2[[#This Row],[Course Title]],'TSD-Data'!$A$1:$F$80,6,FALSE)</f>
        <v>1.5</v>
      </c>
      <c r="V35" s="457">
        <f>VLOOKUP(Table2[[#This Row],[Course Title]],'TSD-Data'!$A$1:$F$80,5,FALSE)</f>
        <v>0.2</v>
      </c>
      <c r="W35" s="457">
        <v>0</v>
      </c>
      <c r="X35" s="452">
        <f>Table2[[#This Row],[Quotas]]-Table2[[#This Row],[Open Quotas]]</f>
        <v>25</v>
      </c>
      <c r="Y35" s="452">
        <v>0</v>
      </c>
      <c r="Z35" s="457">
        <v>56</v>
      </c>
      <c r="AA35" s="457">
        <v>0</v>
      </c>
      <c r="AB35" s="452">
        <v>0</v>
      </c>
      <c r="AC35" s="452">
        <v>0</v>
      </c>
      <c r="AD35" s="452">
        <v>0</v>
      </c>
      <c r="AE35" s="452" t="s">
        <v>440</v>
      </c>
      <c r="AF35" s="457">
        <f ca="1">Table2[[#This Row],[End Date]]+2-TODAY()</f>
        <v>-53</v>
      </c>
      <c r="AG35" s="452">
        <f>IF(ISBLANK(Table2[[#This Row],[Roster Received by]]),1,0)</f>
        <v>0</v>
      </c>
      <c r="AH35" s="452">
        <f ca="1">IF(Table2[[#This Row],[Start Date]]&gt;TODAY(),1,)</f>
        <v>0</v>
      </c>
      <c r="AI35" s="452">
        <f>IF(ISBLANK(Table2[[#This Row],[Primary Instructor]]),0,1)</f>
        <v>1</v>
      </c>
      <c r="AJ35" s="452">
        <f>IF(ISBLANK(Table2[[#This Row],[Instructor 2]]),0,1)</f>
        <v>0</v>
      </c>
      <c r="AK35" s="452">
        <f>Table2[[#This Row],[Course Length (Hours)]]/(SUM(Table2[[#This Row],[1]:[2]]))</f>
        <v>1.5</v>
      </c>
      <c r="AL35" s="640">
        <v>975</v>
      </c>
      <c r="AM35" s="452">
        <v>1</v>
      </c>
      <c r="AN35" s="458" t="str">
        <f>VLOOKUP(Table2[[#This Row],[Course Title]],'TSD-Data'!$A$1:$G$80,7,FALSE)</f>
        <v>N8</v>
      </c>
    </row>
    <row r="36" spans="2:40" s="459" customFormat="1" x14ac:dyDescent="0.25">
      <c r="B36" s="450"/>
      <c r="C36" s="683" t="s">
        <v>403</v>
      </c>
      <c r="D36" s="458" t="str">
        <f>VLOOKUP(Table2[[#This Row],[Course Title]],'TSD-Data'!$A$1:$E$80,2,FALSE)</f>
        <v>A-493-3001</v>
      </c>
      <c r="E36" s="458" t="str">
        <f>VLOOKUP(Table2[[#This Row],[Course Title]],'TSD-Data'!$A$1:$E$80,3,FALSE)</f>
        <v>31V3</v>
      </c>
      <c r="F36" s="450" t="s">
        <v>25</v>
      </c>
      <c r="G36" s="454">
        <v>45952</v>
      </c>
      <c r="H36" s="454">
        <v>45952</v>
      </c>
      <c r="I36" s="454" t="s">
        <v>163</v>
      </c>
      <c r="J36" s="455"/>
      <c r="K36" s="460">
        <v>0.33333333333333331</v>
      </c>
      <c r="L36" s="420">
        <v>0.20833333333333334</v>
      </c>
      <c r="M36" s="420">
        <v>0.625</v>
      </c>
      <c r="N36" s="420">
        <v>0.58333333333333337</v>
      </c>
      <c r="O36" s="420">
        <v>0.125</v>
      </c>
      <c r="P36" s="420">
        <v>0.875</v>
      </c>
      <c r="Q36" s="456" t="s">
        <v>439</v>
      </c>
      <c r="R36" s="456"/>
      <c r="S36" s="456"/>
      <c r="T36" s="452">
        <f>VLOOKUP(Table2[[#This Row],[Course Title]],'TSD-Data'!$A$1:$E$80,4,FALSE)</f>
        <v>1000</v>
      </c>
      <c r="U36" s="452">
        <f>VLOOKUP(Table2[[#This Row],[Course Title]],'TSD-Data'!$A$1:$F$80,6,FALSE)</f>
        <v>2</v>
      </c>
      <c r="V36" s="457">
        <f>VLOOKUP(Table2[[#This Row],[Course Title]],'TSD-Data'!$A$1:$F$80,5,FALSE)</f>
        <v>0.25</v>
      </c>
      <c r="W36" s="457"/>
      <c r="X36" s="452">
        <f>Table2[[#This Row],[Quotas]]-Table2[[#This Row],[Open Quotas]]</f>
        <v>12</v>
      </c>
      <c r="Y36" s="452">
        <v>0</v>
      </c>
      <c r="Z36" s="457">
        <v>45</v>
      </c>
      <c r="AA36" s="457">
        <v>0</v>
      </c>
      <c r="AB36" s="458">
        <v>0</v>
      </c>
      <c r="AC36" s="458">
        <v>0</v>
      </c>
      <c r="AD36" s="452">
        <v>0</v>
      </c>
      <c r="AE36" s="452" t="s">
        <v>440</v>
      </c>
      <c r="AF36" s="457">
        <f ca="1">Table2[[#This Row],[End Date]]+2-TODAY()</f>
        <v>-53</v>
      </c>
      <c r="AG36" s="452">
        <f>IF(ISBLANK(Table2[[#This Row],[Roster Received by]]),1,0)</f>
        <v>0</v>
      </c>
      <c r="AH36" s="452">
        <f ca="1">IF(Table2[[#This Row],[Start Date]]&gt;TODAY(),1,)</f>
        <v>0</v>
      </c>
      <c r="AI36" s="452">
        <f>IF(ISBLANK(Table2[[#This Row],[Primary Instructor]]),0,1)</f>
        <v>1</v>
      </c>
      <c r="AJ36" s="452">
        <f>IF(ISBLANK(Table2[[#This Row],[Instructor 2]]),0,1)</f>
        <v>0</v>
      </c>
      <c r="AK36" s="452">
        <f>Table2[[#This Row],[Course Length (Hours)]]/(SUM(Table2[[#This Row],[1]:[2]]))</f>
        <v>2</v>
      </c>
      <c r="AL36" s="644">
        <v>988</v>
      </c>
      <c r="AM36" s="452">
        <v>1</v>
      </c>
      <c r="AN36" s="458" t="str">
        <f>VLOOKUP(Table2[[#This Row],[Course Title]],'TSD-Data'!$A$1:$G$80,7,FALSE)</f>
        <v>N8</v>
      </c>
    </row>
    <row r="37" spans="2:40" s="459" customFormat="1" x14ac:dyDescent="0.25">
      <c r="B37" s="450"/>
      <c r="C37" s="683" t="s">
        <v>397</v>
      </c>
      <c r="D37" s="458" t="str">
        <f>VLOOKUP(Table2[[#This Row],[Course Title]],'TSD-Data'!$A$1:$E$80,2,FALSE)</f>
        <v>A-493-3013</v>
      </c>
      <c r="E37" s="458" t="str">
        <f>VLOOKUP(Table2[[#This Row],[Course Title]],'TSD-Data'!$A$1:$E$80,3,FALSE)</f>
        <v>31YG</v>
      </c>
      <c r="F37" s="451" t="s">
        <v>25</v>
      </c>
      <c r="G37" s="453">
        <v>45953</v>
      </c>
      <c r="H37" s="453">
        <v>45953</v>
      </c>
      <c r="I37" s="454" t="s">
        <v>163</v>
      </c>
      <c r="J37" s="455"/>
      <c r="K37" s="455">
        <v>0.4375</v>
      </c>
      <c r="L37" s="420">
        <v>0.3125</v>
      </c>
      <c r="M37" s="455">
        <v>0.72916666666666663</v>
      </c>
      <c r="N37" s="455">
        <v>0.6875</v>
      </c>
      <c r="O37" s="455">
        <v>0.1875</v>
      </c>
      <c r="P37" s="455">
        <v>0.97916666666666663</v>
      </c>
      <c r="Q37" s="456" t="s">
        <v>439</v>
      </c>
      <c r="R37" s="456"/>
      <c r="S37" s="456"/>
      <c r="T37" s="452">
        <f>VLOOKUP(Table2[[#This Row],[Course Title]],'TSD-Data'!$A$1:$E$80,4,FALSE)</f>
        <v>1000</v>
      </c>
      <c r="U37" s="458">
        <f>VLOOKUP(Table2[[#This Row],[Course Title]],'TSD-Data'!$A$1:$F$80,6,FALSE)</f>
        <v>1</v>
      </c>
      <c r="V37" s="457">
        <f>VLOOKUP(Table2[[#This Row],[Course Title]],'TSD-Data'!$A$1:$F$80,5,FALSE)</f>
        <v>0.1</v>
      </c>
      <c r="W37" s="457"/>
      <c r="X37" s="452">
        <f>Table2[[#This Row],[Quotas]]-Table2[[#This Row],[Open Quotas]]</f>
        <v>1</v>
      </c>
      <c r="Y37" s="452">
        <v>0</v>
      </c>
      <c r="Z37" s="457">
        <v>37</v>
      </c>
      <c r="AA37" s="457">
        <v>0</v>
      </c>
      <c r="AB37" s="458">
        <v>0</v>
      </c>
      <c r="AC37" s="458">
        <v>0</v>
      </c>
      <c r="AD37" s="452">
        <v>0</v>
      </c>
      <c r="AE37" s="452" t="s">
        <v>440</v>
      </c>
      <c r="AF37" s="457">
        <f ca="1">Table2[[#This Row],[End Date]]+2-TODAY()</f>
        <v>-52</v>
      </c>
      <c r="AG37" s="452">
        <f>IF(ISBLANK(Table2[[#This Row],[Roster Received by]]),1,0)</f>
        <v>0</v>
      </c>
      <c r="AH37" s="452">
        <f ca="1">IF(Table2[[#This Row],[Start Date]]&gt;TODAY(),1,)</f>
        <v>0</v>
      </c>
      <c r="AI37" s="452">
        <f>IF(ISBLANK(Table2[[#This Row],[Primary Instructor]]),0,1)</f>
        <v>1</v>
      </c>
      <c r="AJ37" s="452">
        <f>IF(ISBLANK(Table2[[#This Row],[Instructor 2]]),0,1)</f>
        <v>0</v>
      </c>
      <c r="AK37" s="452">
        <f>Table2[[#This Row],[Course Length (Hours)]]/(SUM(Table2[[#This Row],[1]:[2]]))</f>
        <v>1</v>
      </c>
      <c r="AL37" s="644">
        <v>999</v>
      </c>
      <c r="AM37" s="452">
        <v>1</v>
      </c>
      <c r="AN37" s="458" t="str">
        <f>VLOOKUP(Table2[[#This Row],[Course Title]],'TSD-Data'!$A$1:$G$80,7,FALSE)</f>
        <v>N8</v>
      </c>
    </row>
    <row r="38" spans="2:40" s="459" customFormat="1" x14ac:dyDescent="0.25">
      <c r="B38" s="450"/>
      <c r="C38" s="683" t="s">
        <v>398</v>
      </c>
      <c r="D38" s="458" t="str">
        <f>VLOOKUP(Table2[[#This Row],[Course Title]],'TSD-Data'!$A$1:$E$80,2,FALSE)</f>
        <v>A-493-3014</v>
      </c>
      <c r="E38" s="458" t="str">
        <f>VLOOKUP(Table2[[#This Row],[Course Title]],'TSD-Data'!$A$1:$E$80,3,FALSE)</f>
        <v>31Yh</v>
      </c>
      <c r="F38" s="451" t="s">
        <v>25</v>
      </c>
      <c r="G38" s="453">
        <v>45953</v>
      </c>
      <c r="H38" s="453">
        <v>45953</v>
      </c>
      <c r="I38" s="454" t="s">
        <v>163</v>
      </c>
      <c r="J38" s="455"/>
      <c r="K38" s="460">
        <v>0.52083333333333337</v>
      </c>
      <c r="L38" s="687">
        <v>0.39583333333333331</v>
      </c>
      <c r="M38" s="460">
        <v>0.8125</v>
      </c>
      <c r="N38" s="460">
        <v>0.77083333333333337</v>
      </c>
      <c r="O38" s="460">
        <v>0.3125</v>
      </c>
      <c r="P38" s="460">
        <v>6.25E-2</v>
      </c>
      <c r="Q38" s="456" t="s">
        <v>439</v>
      </c>
      <c r="R38" s="456"/>
      <c r="S38" s="456"/>
      <c r="T38" s="452">
        <f>VLOOKUP(Table2[[#This Row],[Course Title]],'TSD-Data'!$A$1:$E$80,4,FALSE)</f>
        <v>1000</v>
      </c>
      <c r="U38" s="458">
        <f>VLOOKUP(Table2[[#This Row],[Course Title]],'TSD-Data'!$A$1:$F$80,6,FALSE)</f>
        <v>0.75</v>
      </c>
      <c r="V38" s="457">
        <f>VLOOKUP(Table2[[#This Row],[Course Title]],'TSD-Data'!$A$1:$F$80,5,FALSE)</f>
        <v>0.1</v>
      </c>
      <c r="W38" s="457"/>
      <c r="X38" s="452">
        <f>Table2[[#This Row],[Quotas]]-Table2[[#This Row],[Open Quotas]]</f>
        <v>1</v>
      </c>
      <c r="Y38" s="452">
        <v>0</v>
      </c>
      <c r="Z38" s="457">
        <v>43</v>
      </c>
      <c r="AA38" s="457">
        <v>0</v>
      </c>
      <c r="AB38" s="458">
        <v>0</v>
      </c>
      <c r="AC38" s="458">
        <v>0</v>
      </c>
      <c r="AD38" s="452">
        <v>0</v>
      </c>
      <c r="AE38" s="452" t="s">
        <v>440</v>
      </c>
      <c r="AF38" s="457">
        <f ca="1">Table2[[#This Row],[End Date]]+2-TODAY()</f>
        <v>-52</v>
      </c>
      <c r="AG38" s="452">
        <f>IF(ISBLANK(Table2[[#This Row],[Roster Received by]]),1,0)</f>
        <v>0</v>
      </c>
      <c r="AH38" s="452">
        <f ca="1">IF(Table2[[#This Row],[Start Date]]&gt;TODAY(),1,)</f>
        <v>0</v>
      </c>
      <c r="AI38" s="452">
        <f>IF(ISBLANK(Table2[[#This Row],[Primary Instructor]]),0,1)</f>
        <v>1</v>
      </c>
      <c r="AJ38" s="452">
        <f>IF(ISBLANK(Table2[[#This Row],[Instructor 2]]),0,1)</f>
        <v>0</v>
      </c>
      <c r="AK38" s="452">
        <f>Table2[[#This Row],[Course Length (Hours)]]/(SUM(Table2[[#This Row],[1]:[2]]))</f>
        <v>0.75</v>
      </c>
      <c r="AL38" s="644">
        <v>999</v>
      </c>
      <c r="AM38" s="452">
        <v>1</v>
      </c>
      <c r="AN38" s="458" t="str">
        <f>VLOOKUP(Table2[[#This Row],[Course Title]],'TSD-Data'!$A$1:$G$80,7,FALSE)</f>
        <v>N8</v>
      </c>
    </row>
    <row r="39" spans="2:40" s="459" customFormat="1" x14ac:dyDescent="0.25">
      <c r="B39" s="450"/>
      <c r="C39" s="683" t="s">
        <v>399</v>
      </c>
      <c r="D39" s="458" t="str">
        <f>VLOOKUP(Table2[[#This Row],[Course Title]],'TSD-Data'!$A$1:$E$80,2,FALSE)</f>
        <v>A-493-3015</v>
      </c>
      <c r="E39" s="458" t="str">
        <f>VLOOKUP(Table2[[#This Row],[Course Title]],'TSD-Data'!$A$1:$E$80,3,FALSE)</f>
        <v>31YJ</v>
      </c>
      <c r="F39" s="451" t="s">
        <v>25</v>
      </c>
      <c r="G39" s="453">
        <v>45953</v>
      </c>
      <c r="H39" s="453">
        <v>45953</v>
      </c>
      <c r="I39" s="454" t="s">
        <v>163</v>
      </c>
      <c r="J39" s="455"/>
      <c r="K39" s="460">
        <v>0.33333333333333331</v>
      </c>
      <c r="L39" s="420">
        <v>0.20833333333333334</v>
      </c>
      <c r="M39" s="420">
        <v>0.625</v>
      </c>
      <c r="N39" s="420">
        <v>0.58333333333333337</v>
      </c>
      <c r="O39" s="420">
        <v>0.125</v>
      </c>
      <c r="P39" s="420">
        <v>0.875</v>
      </c>
      <c r="Q39" s="456" t="s">
        <v>439</v>
      </c>
      <c r="R39" s="456"/>
      <c r="S39" s="456"/>
      <c r="T39" s="452">
        <f>VLOOKUP(Table2[[#This Row],[Course Title]],'TSD-Data'!$A$1:$E$80,4,FALSE)</f>
        <v>1000</v>
      </c>
      <c r="U39" s="458">
        <f>VLOOKUP(Table2[[#This Row],[Course Title]],'TSD-Data'!$A$1:$F$80,6,FALSE)</f>
        <v>1</v>
      </c>
      <c r="V39" s="457">
        <f>VLOOKUP(Table2[[#This Row],[Course Title]],'TSD-Data'!$A$1:$F$80,5,FALSE)</f>
        <v>0.1</v>
      </c>
      <c r="W39" s="457"/>
      <c r="X39" s="452">
        <f>Table2[[#This Row],[Quotas]]-Table2[[#This Row],[Open Quotas]]</f>
        <v>1</v>
      </c>
      <c r="Y39" s="452">
        <v>0</v>
      </c>
      <c r="Z39" s="457">
        <v>48</v>
      </c>
      <c r="AA39" s="457">
        <v>0</v>
      </c>
      <c r="AB39" s="458">
        <v>0</v>
      </c>
      <c r="AC39" s="458">
        <v>0</v>
      </c>
      <c r="AD39" s="452">
        <v>0</v>
      </c>
      <c r="AE39" s="452" t="s">
        <v>440</v>
      </c>
      <c r="AF39" s="457">
        <f ca="1">Table2[[#This Row],[End Date]]+2-TODAY()</f>
        <v>-52</v>
      </c>
      <c r="AG39" s="452">
        <f>IF(ISBLANK(Table2[[#This Row],[Roster Received by]]),1,0)</f>
        <v>0</v>
      </c>
      <c r="AH39" s="452">
        <f ca="1">IF(Table2[[#This Row],[Start Date]]&gt;TODAY(),1,)</f>
        <v>0</v>
      </c>
      <c r="AI39" s="452">
        <f>IF(ISBLANK(Table2[[#This Row],[Primary Instructor]]),0,1)</f>
        <v>1</v>
      </c>
      <c r="AJ39" s="452">
        <f>IF(ISBLANK(Table2[[#This Row],[Instructor 2]]),0,1)</f>
        <v>0</v>
      </c>
      <c r="AK39" s="452">
        <f>Table2[[#This Row],[Course Length (Hours)]]/(SUM(Table2[[#This Row],[1]:[2]]))</f>
        <v>1</v>
      </c>
      <c r="AL39" s="644">
        <v>999</v>
      </c>
      <c r="AM39" s="452">
        <v>1</v>
      </c>
      <c r="AN39" s="458" t="str">
        <f>VLOOKUP(Table2[[#This Row],[Course Title]],'TSD-Data'!$A$1:$G$80,7,FALSE)</f>
        <v>N8</v>
      </c>
    </row>
    <row r="40" spans="2:40" s="459" customFormat="1" x14ac:dyDescent="0.25">
      <c r="B40" s="450"/>
      <c r="C40" s="683" t="s">
        <v>400</v>
      </c>
      <c r="D40" s="458" t="str">
        <f>VLOOKUP(Table2[[#This Row],[Course Title]],'TSD-Data'!$A$1:$E$80,2,FALSE)</f>
        <v>A-493-3016</v>
      </c>
      <c r="E40" s="458" t="str">
        <f>VLOOKUP(Table2[[#This Row],[Course Title]],'TSD-Data'!$A$1:$E$80,3,FALSE)</f>
        <v>31Yk</v>
      </c>
      <c r="F40" s="451" t="s">
        <v>25</v>
      </c>
      <c r="G40" s="453">
        <v>45953</v>
      </c>
      <c r="H40" s="453">
        <v>45953</v>
      </c>
      <c r="I40" s="454" t="s">
        <v>163</v>
      </c>
      <c r="J40" s="455"/>
      <c r="K40" s="460">
        <v>0.5625</v>
      </c>
      <c r="L40" s="687">
        <v>0.4375</v>
      </c>
      <c r="M40" s="460">
        <v>0.85416666666666663</v>
      </c>
      <c r="N40" s="460">
        <v>0.8125</v>
      </c>
      <c r="O40" s="460">
        <v>0.35416666666666669</v>
      </c>
      <c r="P40" s="460">
        <v>0.10416666666666667</v>
      </c>
      <c r="Q40" s="456" t="s">
        <v>439</v>
      </c>
      <c r="R40" s="456"/>
      <c r="S40" s="456"/>
      <c r="T40" s="452">
        <f>VLOOKUP(Table2[[#This Row],[Course Title]],'TSD-Data'!$A$1:$E$80,4,FALSE)</f>
        <v>1000</v>
      </c>
      <c r="U40" s="458">
        <f>VLOOKUP(Table2[[#This Row],[Course Title]],'TSD-Data'!$A$1:$F$80,6,FALSE)</f>
        <v>1</v>
      </c>
      <c r="V40" s="457">
        <f>VLOOKUP(Table2[[#This Row],[Course Title]],'TSD-Data'!$A$1:$F$80,5,FALSE)</f>
        <v>0.1</v>
      </c>
      <c r="W40" s="457"/>
      <c r="X40" s="452">
        <f>Table2[[#This Row],[Quotas]]-Table2[[#This Row],[Open Quotas]]</f>
        <v>1</v>
      </c>
      <c r="Y40" s="452">
        <v>0</v>
      </c>
      <c r="Z40" s="457">
        <v>39</v>
      </c>
      <c r="AA40" s="457">
        <v>0</v>
      </c>
      <c r="AB40" s="458">
        <v>0</v>
      </c>
      <c r="AC40" s="458">
        <v>0</v>
      </c>
      <c r="AD40" s="452">
        <v>0</v>
      </c>
      <c r="AE40" s="452" t="s">
        <v>440</v>
      </c>
      <c r="AF40" s="457">
        <f ca="1">Table2[[#This Row],[End Date]]+2-TODAY()</f>
        <v>-52</v>
      </c>
      <c r="AG40" s="452">
        <f>IF(ISBLANK(Table2[[#This Row],[Roster Received by]]),1,0)</f>
        <v>0</v>
      </c>
      <c r="AH40" s="452">
        <f ca="1">IF(Table2[[#This Row],[Start Date]]&gt;TODAY(),1,)</f>
        <v>0</v>
      </c>
      <c r="AI40" s="452">
        <f>IF(ISBLANK(Table2[[#This Row],[Primary Instructor]]),0,1)</f>
        <v>1</v>
      </c>
      <c r="AJ40" s="452">
        <f>IF(ISBLANK(Table2[[#This Row],[Instructor 2]]),0,1)</f>
        <v>0</v>
      </c>
      <c r="AK40" s="452">
        <f>Table2[[#This Row],[Course Length (Hours)]]/(SUM(Table2[[#This Row],[1]:[2]]))</f>
        <v>1</v>
      </c>
      <c r="AL40" s="644">
        <v>999</v>
      </c>
      <c r="AM40" s="452">
        <v>1</v>
      </c>
      <c r="AN40" s="458" t="str">
        <f>VLOOKUP(Table2[[#This Row],[Course Title]],'TSD-Data'!$A$1:$G$80,7,FALSE)</f>
        <v>N8</v>
      </c>
    </row>
    <row r="41" spans="2:40" s="459" customFormat="1" x14ac:dyDescent="0.25">
      <c r="B41" s="450"/>
      <c r="C41" s="683" t="s">
        <v>405</v>
      </c>
      <c r="D41" s="458" t="str">
        <f>VLOOKUP(Table2[[#This Row],[Course Title]],'TSD-Data'!$A$1:$E$80,2,FALSE)</f>
        <v>A-493-3012</v>
      </c>
      <c r="E41" s="458" t="str">
        <f>VLOOKUP(Table2[[#This Row],[Course Title]],'TSD-Data'!$A$1:$E$80,3,FALSE)</f>
        <v>31YF</v>
      </c>
      <c r="F41" s="451" t="s">
        <v>25</v>
      </c>
      <c r="G41" s="453">
        <v>45953</v>
      </c>
      <c r="H41" s="453">
        <v>45953</v>
      </c>
      <c r="I41" s="454" t="s">
        <v>163</v>
      </c>
      <c r="J41" s="455"/>
      <c r="K41" s="460">
        <v>0.625</v>
      </c>
      <c r="L41" s="420">
        <v>0.5</v>
      </c>
      <c r="M41" s="420">
        <v>0.91666666666666663</v>
      </c>
      <c r="N41" s="420">
        <v>0.875</v>
      </c>
      <c r="O41" s="420">
        <v>0.41666666666666669</v>
      </c>
      <c r="P41" s="420">
        <v>0.16666666666666666</v>
      </c>
      <c r="Q41" s="456" t="s">
        <v>439</v>
      </c>
      <c r="R41" s="456"/>
      <c r="S41" s="456"/>
      <c r="T41" s="452">
        <f>VLOOKUP(Table2[[#This Row],[Course Title]],'TSD-Data'!$A$1:$E$80,4,FALSE)</f>
        <v>1000</v>
      </c>
      <c r="U41" s="458">
        <f>VLOOKUP(Table2[[#This Row],[Course Title]],'TSD-Data'!$A$1:$F$80,6,FALSE)</f>
        <v>1</v>
      </c>
      <c r="V41" s="457">
        <f>VLOOKUP(Table2[[#This Row],[Course Title]],'TSD-Data'!$A$1:$F$80,5,FALSE)</f>
        <v>0.1</v>
      </c>
      <c r="W41" s="457"/>
      <c r="X41" s="452">
        <f>Table2[[#This Row],[Quotas]]-Table2[[#This Row],[Open Quotas]]</f>
        <v>1</v>
      </c>
      <c r="Y41" s="452">
        <v>0</v>
      </c>
      <c r="Z41" s="457">
        <v>33</v>
      </c>
      <c r="AA41" s="457">
        <v>0</v>
      </c>
      <c r="AB41" s="458">
        <v>0</v>
      </c>
      <c r="AC41" s="458">
        <v>0</v>
      </c>
      <c r="AD41" s="452">
        <v>0</v>
      </c>
      <c r="AE41" s="452" t="s">
        <v>440</v>
      </c>
      <c r="AF41" s="457">
        <f ca="1">Table2[[#This Row],[End Date]]+2-TODAY()</f>
        <v>-52</v>
      </c>
      <c r="AG41" s="452">
        <f>IF(ISBLANK(Table2[[#This Row],[Roster Received by]]),1,0)</f>
        <v>0</v>
      </c>
      <c r="AH41" s="452">
        <f ca="1">IF(Table2[[#This Row],[Start Date]]&gt;TODAY(),1,)</f>
        <v>0</v>
      </c>
      <c r="AI41" s="452">
        <f>IF(ISBLANK(Table2[[#This Row],[Primary Instructor]]),0,1)</f>
        <v>1</v>
      </c>
      <c r="AJ41" s="452">
        <f>IF(ISBLANK(Table2[[#This Row],[Instructor 2]]),0,1)</f>
        <v>0</v>
      </c>
      <c r="AK41" s="452">
        <f>Table2[[#This Row],[Course Length (Hours)]]/(SUM(Table2[[#This Row],[1]:[2]]))</f>
        <v>1</v>
      </c>
      <c r="AL41" s="644">
        <v>999</v>
      </c>
      <c r="AM41" s="452">
        <v>1</v>
      </c>
      <c r="AN41" s="458" t="str">
        <f>VLOOKUP(Table2[[#This Row],[Course Title]],'TSD-Data'!$A$1:$G$80,7,FALSE)</f>
        <v>N8</v>
      </c>
    </row>
    <row r="42" spans="2:40" s="459" customFormat="1" x14ac:dyDescent="0.25">
      <c r="B42" s="451"/>
      <c r="C42" s="683" t="s">
        <v>391</v>
      </c>
      <c r="D42" s="458" t="str">
        <f>VLOOKUP(Table2[[#This Row],[Course Title]],'TSD-Data'!$A$1:$E$80,2,FALSE)</f>
        <v>A-493-3005</v>
      </c>
      <c r="E42" s="458" t="str">
        <f>VLOOKUP(Table2[[#This Row],[Course Title]],'TSD-Data'!$A$1:$E$80,3,FALSE)</f>
        <v>31V7</v>
      </c>
      <c r="F42" s="451" t="s">
        <v>25</v>
      </c>
      <c r="G42" s="453">
        <v>45954</v>
      </c>
      <c r="H42" s="453">
        <v>45954</v>
      </c>
      <c r="I42" s="454" t="s">
        <v>163</v>
      </c>
      <c r="J42" s="455"/>
      <c r="K42" s="420">
        <v>0.44791666666666669</v>
      </c>
      <c r="L42" s="420">
        <v>0.32291666666666669</v>
      </c>
      <c r="M42" s="420">
        <v>0.73958333333333337</v>
      </c>
      <c r="N42" s="420">
        <v>0.69791666666666663</v>
      </c>
      <c r="O42" s="420">
        <v>0.23958333333333334</v>
      </c>
      <c r="P42" s="420">
        <v>0.98958333333333337</v>
      </c>
      <c r="Q42" s="456" t="s">
        <v>439</v>
      </c>
      <c r="R42" s="456"/>
      <c r="S42" s="456"/>
      <c r="T42" s="452">
        <f>VLOOKUP(Table2[[#This Row],[Course Title]],'TSD-Data'!$A$1:$E$80,4,FALSE)</f>
        <v>1000</v>
      </c>
      <c r="U42" s="452">
        <f>VLOOKUP(Table2[[#This Row],[Course Title]],'TSD-Data'!$A$1:$F$80,6,FALSE)</f>
        <v>2</v>
      </c>
      <c r="V42" s="457">
        <f>VLOOKUP(Table2[[#This Row],[Course Title]],'TSD-Data'!$A$1:$F$80,5,FALSE)</f>
        <v>0.25</v>
      </c>
      <c r="W42" s="457"/>
      <c r="X42" s="452">
        <f>Table2[[#This Row],[Quotas]]-Table2[[#This Row],[Open Quotas]]</f>
        <v>22</v>
      </c>
      <c r="Y42" s="452">
        <v>0</v>
      </c>
      <c r="Z42" s="457">
        <v>48</v>
      </c>
      <c r="AA42" s="457">
        <v>0</v>
      </c>
      <c r="AB42" s="458">
        <v>0</v>
      </c>
      <c r="AC42" s="458">
        <v>0</v>
      </c>
      <c r="AD42" s="452">
        <v>0</v>
      </c>
      <c r="AE42" s="452" t="s">
        <v>440</v>
      </c>
      <c r="AF42" s="457">
        <f ca="1">Table2[[#This Row],[End Date]]+2-TODAY()</f>
        <v>-51</v>
      </c>
      <c r="AG42" s="452">
        <f>IF(ISBLANK(Table2[[#This Row],[Roster Received by]]),1,0)</f>
        <v>0</v>
      </c>
      <c r="AH42" s="452">
        <f ca="1">IF(Table2[[#This Row],[Start Date]]&gt;TODAY(),1,)</f>
        <v>0</v>
      </c>
      <c r="AI42" s="452">
        <f>IF(ISBLANK(Table2[[#This Row],[Primary Instructor]]),0,1)</f>
        <v>1</v>
      </c>
      <c r="AJ42" s="452">
        <f>IF(ISBLANK(Table2[[#This Row],[Instructor 2]]),0,1)</f>
        <v>0</v>
      </c>
      <c r="AK42" s="452">
        <f>Table2[[#This Row],[Course Length (Hours)]]/(SUM(Table2[[#This Row],[1]:[2]]))</f>
        <v>2</v>
      </c>
      <c r="AL42" s="644">
        <v>978</v>
      </c>
      <c r="AM42" s="452">
        <v>1</v>
      </c>
      <c r="AN42" s="458" t="str">
        <f>VLOOKUP(Table2[[#This Row],[Course Title]],'TSD-Data'!$A$1:$G$80,7,FALSE)</f>
        <v>N8</v>
      </c>
    </row>
    <row r="43" spans="2:40" s="459" customFormat="1" x14ac:dyDescent="0.25">
      <c r="B43" s="450"/>
      <c r="C43" s="683" t="s">
        <v>396</v>
      </c>
      <c r="D43" s="458" t="str">
        <f>VLOOKUP(Table2[[#This Row],[Course Title]],'TSD-Data'!$A$1:$E$80,2,FALSE)</f>
        <v>A-493-3017</v>
      </c>
      <c r="E43" s="458" t="str">
        <f>VLOOKUP(Table2[[#This Row],[Course Title]],'TSD-Data'!$A$1:$E$80,3,FALSE)</f>
        <v>31YL</v>
      </c>
      <c r="F43" s="451" t="s">
        <v>25</v>
      </c>
      <c r="G43" s="453">
        <v>45954</v>
      </c>
      <c r="H43" s="453">
        <v>45954</v>
      </c>
      <c r="I43" s="454" t="s">
        <v>163</v>
      </c>
      <c r="J43" s="455"/>
      <c r="K43" s="460">
        <v>0.52083333333333337</v>
      </c>
      <c r="L43" s="460">
        <v>0.39583333333333331</v>
      </c>
      <c r="M43" s="460">
        <v>0.8125</v>
      </c>
      <c r="N43" s="460">
        <v>0.77083333333333337</v>
      </c>
      <c r="O43" s="460">
        <v>0.3125</v>
      </c>
      <c r="P43" s="460">
        <v>6.25E-2</v>
      </c>
      <c r="Q43" s="456" t="s">
        <v>439</v>
      </c>
      <c r="R43" s="456"/>
      <c r="S43" s="456"/>
      <c r="T43" s="657">
        <f>VLOOKUP(Table2[[#This Row],[Course Title]],'TSD-Data'!$A$1:$E$80,4,FALSE)</f>
        <v>1000</v>
      </c>
      <c r="U43" s="458">
        <f>VLOOKUP(Table2[[#This Row],[Course Title]],'TSD-Data'!$A$1:$F$80,6,FALSE)</f>
        <v>2.5</v>
      </c>
      <c r="V43" s="457">
        <f>VLOOKUP(Table2[[#This Row],[Course Title]],'TSD-Data'!$A$1:$F$80,5,FALSE)</f>
        <v>0.3</v>
      </c>
      <c r="W43" s="457"/>
      <c r="X43" s="452">
        <f>Table2[[#This Row],[Quotas]]-Table2[[#This Row],[Open Quotas]]</f>
        <v>1</v>
      </c>
      <c r="Y43" s="452">
        <v>0</v>
      </c>
      <c r="Z43" s="457">
        <v>43</v>
      </c>
      <c r="AA43" s="457">
        <v>0</v>
      </c>
      <c r="AB43" s="458">
        <v>0</v>
      </c>
      <c r="AC43" s="458">
        <v>0</v>
      </c>
      <c r="AD43" s="452">
        <v>0</v>
      </c>
      <c r="AE43" s="452" t="s">
        <v>440</v>
      </c>
      <c r="AF43" s="457">
        <f ca="1">Table2[[#This Row],[End Date]]+2-TODAY()</f>
        <v>-51</v>
      </c>
      <c r="AG43" s="452">
        <f>IF(ISBLANK(Table2[[#This Row],[Roster Received by]]),1,0)</f>
        <v>0</v>
      </c>
      <c r="AH43" s="452">
        <f ca="1">IF(Table2[[#This Row],[Start Date]]&gt;TODAY(),1,)</f>
        <v>0</v>
      </c>
      <c r="AI43" s="452">
        <f>IF(ISBLANK(Table2[[#This Row],[Primary Instructor]]),0,1)</f>
        <v>1</v>
      </c>
      <c r="AJ43" s="452">
        <f>IF(ISBLANK(Table2[[#This Row],[Instructor 2]]),0,1)</f>
        <v>0</v>
      </c>
      <c r="AK43" s="452">
        <f>Table2[[#This Row],[Course Length (Hours)]]/(SUM(Table2[[#This Row],[1]:[2]]))</f>
        <v>2.5</v>
      </c>
      <c r="AL43" s="644">
        <v>999</v>
      </c>
      <c r="AM43" s="452">
        <v>1</v>
      </c>
      <c r="AN43" s="458" t="str">
        <f>VLOOKUP(Table2[[#This Row],[Course Title]],'TSD-Data'!$A$1:$G$80,7,FALSE)</f>
        <v>N8</v>
      </c>
    </row>
    <row r="44" spans="2:40" s="459" customFormat="1" x14ac:dyDescent="0.25">
      <c r="B44" s="450"/>
      <c r="C44" s="683" t="s">
        <v>402</v>
      </c>
      <c r="D44" s="458" t="str">
        <f>VLOOKUP(Table2[[#This Row],[Course Title]],'TSD-Data'!$A$1:$E$80,2,FALSE)</f>
        <v>A-493-3008</v>
      </c>
      <c r="E44" s="458" t="str">
        <f>VLOOKUP(Table2[[#This Row],[Course Title]],'TSD-Data'!$A$1:$E$80,3,FALSE)</f>
        <v>31VA</v>
      </c>
      <c r="F44" s="451" t="s">
        <v>25</v>
      </c>
      <c r="G44" s="453">
        <v>45954</v>
      </c>
      <c r="H44" s="453">
        <v>45954</v>
      </c>
      <c r="I44" s="454" t="s">
        <v>163</v>
      </c>
      <c r="J44" s="455"/>
      <c r="K44" s="460">
        <v>0.33333333333333331</v>
      </c>
      <c r="L44" s="420">
        <v>0.20833333333333334</v>
      </c>
      <c r="M44" s="420">
        <v>0.625</v>
      </c>
      <c r="N44" s="420">
        <v>0.58333333333333337</v>
      </c>
      <c r="O44" s="420">
        <v>0.125</v>
      </c>
      <c r="P44" s="420">
        <v>0.875</v>
      </c>
      <c r="Q44" s="456" t="s">
        <v>439</v>
      </c>
      <c r="R44" s="456"/>
      <c r="S44" s="456"/>
      <c r="T44" s="452">
        <f>VLOOKUP(Table2[[#This Row],[Course Title]],'TSD-Data'!$A$1:$E$80,4,FALSE)</f>
        <v>1000</v>
      </c>
      <c r="U44" s="452">
        <f>VLOOKUP(Table2[[#This Row],[Course Title]],'TSD-Data'!$A$1:$F$80,6,FALSE)</f>
        <v>1</v>
      </c>
      <c r="V44" s="457">
        <f>VLOOKUP(Table2[[#This Row],[Course Title]],'TSD-Data'!$A$1:$F$80,5,FALSE)</f>
        <v>0.1</v>
      </c>
      <c r="W44" s="457"/>
      <c r="X44" s="452">
        <f>Table2[[#This Row],[Quotas]]-Table2[[#This Row],[Open Quotas]]</f>
        <v>14</v>
      </c>
      <c r="Y44" s="452">
        <v>0</v>
      </c>
      <c r="Z44" s="457">
        <v>41</v>
      </c>
      <c r="AA44" s="457">
        <v>0</v>
      </c>
      <c r="AB44" s="458">
        <v>0</v>
      </c>
      <c r="AC44" s="458">
        <v>0</v>
      </c>
      <c r="AD44" s="452">
        <v>0</v>
      </c>
      <c r="AE44" s="452" t="s">
        <v>440</v>
      </c>
      <c r="AF44" s="457">
        <f ca="1">Table2[[#This Row],[End Date]]+2-TODAY()</f>
        <v>-51</v>
      </c>
      <c r="AG44" s="452">
        <f>IF(ISBLANK(Table2[[#This Row],[Roster Received by]]),1,0)</f>
        <v>0</v>
      </c>
      <c r="AH44" s="452">
        <f ca="1">IF(Table2[[#This Row],[Start Date]]&gt;TODAY(),1,)</f>
        <v>0</v>
      </c>
      <c r="AI44" s="452">
        <f>IF(ISBLANK(Table2[[#This Row],[Primary Instructor]]),0,1)</f>
        <v>1</v>
      </c>
      <c r="AJ44" s="452">
        <f>IF(ISBLANK(Table2[[#This Row],[Instructor 2]]),0,1)</f>
        <v>0</v>
      </c>
      <c r="AK44" s="452">
        <f>Table2[[#This Row],[Course Length (Hours)]]/(SUM(Table2[[#This Row],[1]:[2]]))</f>
        <v>1</v>
      </c>
      <c r="AL44" s="644">
        <v>986</v>
      </c>
      <c r="AM44" s="452">
        <v>1</v>
      </c>
      <c r="AN44" s="458" t="str">
        <f>VLOOKUP(Table2[[#This Row],[Course Title]],'TSD-Data'!$A$1:$G$80,7,FALSE)</f>
        <v>N8</v>
      </c>
    </row>
    <row r="45" spans="2:40" s="459" customFormat="1" x14ac:dyDescent="0.25">
      <c r="B45" s="451"/>
      <c r="C45" s="683" t="s">
        <v>406</v>
      </c>
      <c r="D45" s="458" t="str">
        <f>VLOOKUP(Table2[[#This Row],[Course Title]],'TSD-Data'!$A$1:$E$80,2,FALSE)</f>
        <v>A-493-3009</v>
      </c>
      <c r="E45" s="458" t="str">
        <f>VLOOKUP(Table2[[#This Row],[Course Title]],'TSD-Data'!$A$1:$E$80,3,FALSE)</f>
        <v>31VB</v>
      </c>
      <c r="F45" s="451" t="s">
        <v>25</v>
      </c>
      <c r="G45" s="453">
        <v>45954</v>
      </c>
      <c r="H45" s="453">
        <v>45954</v>
      </c>
      <c r="I45" s="454" t="s">
        <v>163</v>
      </c>
      <c r="J45" s="455"/>
      <c r="K45" s="642">
        <v>0.39583333333333331</v>
      </c>
      <c r="L45" s="642">
        <v>0.27083333333333331</v>
      </c>
      <c r="M45" s="642">
        <v>0.6875</v>
      </c>
      <c r="N45" s="642">
        <v>0.64583333333333337</v>
      </c>
      <c r="O45" s="642">
        <v>0.1875</v>
      </c>
      <c r="P45" s="642">
        <v>0.9375</v>
      </c>
      <c r="Q45" s="456" t="s">
        <v>439</v>
      </c>
      <c r="R45" s="456"/>
      <c r="S45" s="456"/>
      <c r="T45" s="452">
        <f>VLOOKUP(Table2[[#This Row],[Course Title]],'TSD-Data'!$A$1:$E$80,4,FALSE)</f>
        <v>1000</v>
      </c>
      <c r="U45" s="452">
        <f>VLOOKUP(Table2[[#This Row],[Course Title]],'TSD-Data'!$A$1:$F$80,6,FALSE)</f>
        <v>1</v>
      </c>
      <c r="V45" s="457">
        <f>VLOOKUP(Table2[[#This Row],[Course Title]],'TSD-Data'!$A$1:$F$80,5,FALSE)</f>
        <v>0.1</v>
      </c>
      <c r="W45" s="457"/>
      <c r="X45" s="452">
        <f>Table2[[#This Row],[Quotas]]-Table2[[#This Row],[Open Quotas]]</f>
        <v>44</v>
      </c>
      <c r="Y45" s="452">
        <v>0</v>
      </c>
      <c r="Z45" s="457">
        <v>65</v>
      </c>
      <c r="AA45" s="457">
        <v>0</v>
      </c>
      <c r="AB45" s="458">
        <v>0</v>
      </c>
      <c r="AC45" s="458">
        <v>0</v>
      </c>
      <c r="AD45" s="452">
        <v>0</v>
      </c>
      <c r="AE45" s="452" t="s">
        <v>440</v>
      </c>
      <c r="AF45" s="457">
        <f ca="1">Table2[[#This Row],[End Date]]+2-TODAY()</f>
        <v>-51</v>
      </c>
      <c r="AG45" s="452">
        <f>IF(ISBLANK(Table2[[#This Row],[Roster Received by]]),1,0)</f>
        <v>0</v>
      </c>
      <c r="AH45" s="452">
        <f ca="1">IF(Table2[[#This Row],[Start Date]]&gt;TODAY(),1,)</f>
        <v>0</v>
      </c>
      <c r="AI45" s="452">
        <f>IF(ISBLANK(Table2[[#This Row],[Primary Instructor]]),0,1)</f>
        <v>1</v>
      </c>
      <c r="AJ45" s="452">
        <f>IF(ISBLANK(Table2[[#This Row],[Instructor 2]]),0,1)</f>
        <v>0</v>
      </c>
      <c r="AK45" s="452">
        <f>Table2[[#This Row],[Course Length (Hours)]]/(SUM(Table2[[#This Row],[1]:[2]]))</f>
        <v>1</v>
      </c>
      <c r="AL45" s="644">
        <v>956</v>
      </c>
      <c r="AM45" s="452">
        <v>1</v>
      </c>
      <c r="AN45" s="458" t="str">
        <f>VLOOKUP(Table2[[#This Row],[Course Title]],'TSD-Data'!$A$1:$G$80,7,FALSE)</f>
        <v>N8</v>
      </c>
    </row>
    <row r="46" spans="2:40" s="459" customFormat="1" x14ac:dyDescent="0.25">
      <c r="B46" s="450"/>
      <c r="C46" s="691" t="s">
        <v>28</v>
      </c>
      <c r="D46" s="452" t="str">
        <f>VLOOKUP(Table2[[#This Row],[Course Title]],'TSD-Data'!$A$1:$E$80,2,FALSE)</f>
        <v>A-493-0014</v>
      </c>
      <c r="E46" s="452">
        <f>VLOOKUP(Table2[[#This Row],[Course Title]],'TSD-Data'!$A$1:$E$80,3,FALSE)</f>
        <v>3878</v>
      </c>
      <c r="F46" s="451" t="s">
        <v>173</v>
      </c>
      <c r="G46" s="658">
        <v>45957</v>
      </c>
      <c r="H46" s="658">
        <v>45959</v>
      </c>
      <c r="I46" s="454" t="s">
        <v>163</v>
      </c>
      <c r="J46" s="455">
        <v>0.33333333333333331</v>
      </c>
      <c r="K46" s="695"/>
      <c r="L46" s="689"/>
      <c r="M46" s="689"/>
      <c r="N46" s="689"/>
      <c r="O46" s="689"/>
      <c r="P46" s="689"/>
      <c r="Q46" s="456" t="s">
        <v>175</v>
      </c>
      <c r="R46" s="456" t="s">
        <v>174</v>
      </c>
      <c r="S46" s="456"/>
      <c r="T46" s="452">
        <f>VLOOKUP(Table2[[#This Row],[Course Title]],'TSD-Data'!$A$1:$E$80,4,FALSE)</f>
        <v>25</v>
      </c>
      <c r="U46" s="452">
        <f>VLOOKUP(Table2[[#This Row],[Course Title]],'TSD-Data'!$A$1:$F$80,6,FALSE)</f>
        <v>24</v>
      </c>
      <c r="V46" s="457">
        <f>VLOOKUP(Table2[[#This Row],[Course Title]],'TSD-Data'!$A$1:$F$80,5,FALSE)</f>
        <v>3</v>
      </c>
      <c r="W46" s="457">
        <v>149</v>
      </c>
      <c r="X46" s="452">
        <f>Table2[[#This Row],[Quotas]]-Table2[[#This Row],[Open Quotas]]</f>
        <v>15</v>
      </c>
      <c r="Y46" s="452">
        <v>0</v>
      </c>
      <c r="Z46" s="457">
        <v>11</v>
      </c>
      <c r="AA46" s="457">
        <v>0</v>
      </c>
      <c r="AB46" s="452">
        <v>0</v>
      </c>
      <c r="AC46" s="452">
        <v>1</v>
      </c>
      <c r="AD46" s="452">
        <v>0</v>
      </c>
      <c r="AE46" s="452" t="s">
        <v>428</v>
      </c>
      <c r="AF46" s="457">
        <f ca="1">Table2[[#This Row],[End Date]]+2-TODAY()</f>
        <v>-46</v>
      </c>
      <c r="AG46" s="452">
        <f>IF(ISBLANK(Table2[[#This Row],[Roster Received by]]),1,0)</f>
        <v>0</v>
      </c>
      <c r="AH46" s="452">
        <f ca="1">IF(Table2[[#This Row],[Start Date]]&gt;TODAY(),1,)</f>
        <v>0</v>
      </c>
      <c r="AI46" s="452">
        <f>IF(ISBLANK(Table2[[#This Row],[Primary Instructor]]),0,1)</f>
        <v>1</v>
      </c>
      <c r="AJ46" s="452">
        <f>IF(ISBLANK(Table2[[#This Row],[Instructor 2]]),0,1)</f>
        <v>1</v>
      </c>
      <c r="AK46" s="452">
        <f>Table2[[#This Row],[Course Length (Hours)]]/(SUM(Table2[[#This Row],[1]:[2]]))</f>
        <v>12</v>
      </c>
      <c r="AL46" s="640">
        <v>10</v>
      </c>
      <c r="AM46" s="452">
        <v>1</v>
      </c>
      <c r="AN46" s="458" t="str">
        <f>VLOOKUP(Table2[[#This Row],[Course Title]],'TSD-Data'!$A$1:$G$80,7,FALSE)</f>
        <v>N3</v>
      </c>
    </row>
    <row r="47" spans="2:40" s="428" customFormat="1" x14ac:dyDescent="0.25">
      <c r="B47" s="450"/>
      <c r="C47" s="683" t="s">
        <v>44</v>
      </c>
      <c r="D47" s="452" t="str">
        <f>VLOOKUP(Table2[[#This Row],[Course Title]],'TSD-Data'!$A$1:$E$80,2,FALSE)</f>
        <v>A-493-0665</v>
      </c>
      <c r="E47" s="452" t="str">
        <f>VLOOKUP(Table2[[#This Row],[Course Title]],'TSD-Data'!$A$1:$E$80,3,FALSE)</f>
        <v>10KW</v>
      </c>
      <c r="F47" s="451" t="s">
        <v>25</v>
      </c>
      <c r="G47" s="453">
        <v>45957</v>
      </c>
      <c r="H47" s="453">
        <v>45959</v>
      </c>
      <c r="I47" s="454" t="s">
        <v>163</v>
      </c>
      <c r="J47" s="455"/>
      <c r="K47" s="460">
        <v>0.33333333333333331</v>
      </c>
      <c r="L47" s="420">
        <v>0.20833333333333334</v>
      </c>
      <c r="M47" s="420">
        <v>0.625</v>
      </c>
      <c r="N47" s="420">
        <v>0.54166666666666663</v>
      </c>
      <c r="O47" s="420">
        <v>8.3333333333333329E-2</v>
      </c>
      <c r="P47" s="420">
        <v>0.875</v>
      </c>
      <c r="Q47" s="456" t="s">
        <v>444</v>
      </c>
      <c r="R47" s="456" t="s">
        <v>431</v>
      </c>
      <c r="S47" s="456"/>
      <c r="T47" s="452">
        <f>VLOOKUP(Table2[[#This Row],[Course Title]],'TSD-Data'!$A$1:$E$80,4,FALSE)</f>
        <v>45</v>
      </c>
      <c r="U47" s="452">
        <f>VLOOKUP(Table2[[#This Row],[Course Title]],'TSD-Data'!$A$1:$F$80,6,FALSE)</f>
        <v>24</v>
      </c>
      <c r="V47" s="457">
        <f>VLOOKUP(Table2[[#This Row],[Course Title]],'TSD-Data'!$A$1:$F$80,5,FALSE)</f>
        <v>3</v>
      </c>
      <c r="W47" s="457">
        <v>140</v>
      </c>
      <c r="X47" s="452">
        <f>Table2[[#This Row],[Quotas]]-Table2[[#This Row],[Open Quotas]]</f>
        <v>36</v>
      </c>
      <c r="Y47" s="452">
        <v>0</v>
      </c>
      <c r="Z47" s="457">
        <v>33</v>
      </c>
      <c r="AA47" s="457">
        <v>0</v>
      </c>
      <c r="AB47" s="452">
        <v>0</v>
      </c>
      <c r="AC47" s="452">
        <v>0</v>
      </c>
      <c r="AD47" s="452">
        <v>0</v>
      </c>
      <c r="AE47" s="452" t="s">
        <v>440</v>
      </c>
      <c r="AF47" s="457">
        <f ca="1">Table2[[#This Row],[End Date]]+2-TODAY()</f>
        <v>-46</v>
      </c>
      <c r="AG47" s="452">
        <f>IF(ISBLANK(Table2[[#This Row],[Roster Received by]]),1,0)</f>
        <v>0</v>
      </c>
      <c r="AH47" s="452">
        <f ca="1">IF(Table2[[#This Row],[Start Date]]&gt;TODAY(),1,)</f>
        <v>0</v>
      </c>
      <c r="AI47" s="452">
        <f>IF(ISBLANK(Table2[[#This Row],[Primary Instructor]]),0,1)</f>
        <v>1</v>
      </c>
      <c r="AJ47" s="452">
        <f>IF(ISBLANK(Table2[[#This Row],[Instructor 2]]),0,1)</f>
        <v>1</v>
      </c>
      <c r="AK47" s="452">
        <f>Table2[[#This Row],[Course Length (Hours)]]/(SUM(Table2[[#This Row],[1]:[2]]))</f>
        <v>12</v>
      </c>
      <c r="AL47" s="640">
        <v>9</v>
      </c>
      <c r="AM47" s="452">
        <v>1</v>
      </c>
      <c r="AN47" s="458" t="str">
        <f>VLOOKUP(Table2[[#This Row],[Course Title]],'TSD-Data'!$A$1:$G$80,7,FALSE)</f>
        <v>N8</v>
      </c>
    </row>
    <row r="48" spans="2:40" s="459" customFormat="1" x14ac:dyDescent="0.25">
      <c r="B48" s="450"/>
      <c r="C48" s="683" t="s">
        <v>113</v>
      </c>
      <c r="D48" s="452" t="str">
        <f>VLOOKUP(Table2[[#This Row],[Course Title]],'TSD-Data'!$A$1:$E$80,2,FALSE)</f>
        <v>A-570-0100</v>
      </c>
      <c r="E48" s="452" t="str">
        <f>VLOOKUP(Table2[[#This Row],[Course Title]],'TSD-Data'!$A$1:$E$80,3,FALSE)</f>
        <v>18B7</v>
      </c>
      <c r="F48" s="450" t="s">
        <v>25</v>
      </c>
      <c r="G48" s="453">
        <v>45957</v>
      </c>
      <c r="H48" s="453">
        <v>45958</v>
      </c>
      <c r="I48" s="454" t="s">
        <v>163</v>
      </c>
      <c r="J48" s="455"/>
      <c r="K48" s="420">
        <v>0.5</v>
      </c>
      <c r="L48" s="460">
        <v>0.375</v>
      </c>
      <c r="M48" s="460">
        <v>0.79166666666666663</v>
      </c>
      <c r="N48" s="460">
        <v>0.75</v>
      </c>
      <c r="O48" s="460">
        <v>0.25</v>
      </c>
      <c r="P48" s="460">
        <v>4.1666666666666664E-2</v>
      </c>
      <c r="Q48" s="456" t="s">
        <v>431</v>
      </c>
      <c r="R48" s="456"/>
      <c r="S48" s="456"/>
      <c r="T48" s="452">
        <f>VLOOKUP(Table2[[#This Row],[Course Title]],'TSD-Data'!$A$1:$E$80,4,FALSE)</f>
        <v>45</v>
      </c>
      <c r="U48" s="452">
        <f>VLOOKUP(Table2[[#This Row],[Course Title]],'TSD-Data'!$A$1:$F$80,6,FALSE)</f>
        <v>16</v>
      </c>
      <c r="V48" s="457">
        <f>VLOOKUP(Table2[[#This Row],[Course Title]],'TSD-Data'!$A$1:$F$80,5,FALSE)</f>
        <v>2</v>
      </c>
      <c r="W48" s="457">
        <v>326</v>
      </c>
      <c r="X48" s="452">
        <f>Table2[[#This Row],[Quotas]]-Table2[[#This Row],[Open Quotas]]</f>
        <v>39</v>
      </c>
      <c r="Y48" s="452">
        <v>0</v>
      </c>
      <c r="Z48" s="457">
        <v>34</v>
      </c>
      <c r="AA48" s="457">
        <v>0</v>
      </c>
      <c r="AB48" s="452">
        <v>0</v>
      </c>
      <c r="AC48" s="452">
        <v>0</v>
      </c>
      <c r="AD48" s="452">
        <v>0</v>
      </c>
      <c r="AE48" s="452" t="s">
        <v>428</v>
      </c>
      <c r="AF48" s="457">
        <f ca="1">Table2[[#This Row],[End Date]]+2-TODAY()</f>
        <v>-47</v>
      </c>
      <c r="AG48" s="452">
        <f>IF(ISBLANK(Table2[[#This Row],[Roster Received by]]),1,0)</f>
        <v>0</v>
      </c>
      <c r="AH48" s="452">
        <f ca="1">IF(Table2[[#This Row],[Start Date]]&gt;TODAY(),1,)</f>
        <v>0</v>
      </c>
      <c r="AI48" s="452">
        <f>IF(ISBLANK(Table2[[#This Row],[Primary Instructor]]),0,1)</f>
        <v>1</v>
      </c>
      <c r="AJ48" s="452">
        <f>IF(ISBLANK(Table2[[#This Row],[Instructor 2]]),0,1)</f>
        <v>0</v>
      </c>
      <c r="AK48" s="452">
        <f>Table2[[#This Row],[Course Length (Hours)]]/(SUM(Table2[[#This Row],[1]:[2]]))</f>
        <v>16</v>
      </c>
      <c r="AL48" s="640">
        <v>6</v>
      </c>
      <c r="AM48" s="452">
        <v>1</v>
      </c>
      <c r="AN48" s="458" t="str">
        <f>VLOOKUP(Table2[[#This Row],[Course Title]],'TSD-Data'!$A$1:$G$80,7,FALSE)</f>
        <v>N8</v>
      </c>
    </row>
    <row r="49" spans="2:54" s="459" customFormat="1" x14ac:dyDescent="0.25">
      <c r="B49" s="450"/>
      <c r="C49" s="683" t="s">
        <v>116</v>
      </c>
      <c r="D49" s="452" t="str">
        <f>VLOOKUP(Table2[[#This Row],[Course Title]],'TSD-Data'!$A$1:$E$80,2,FALSE)</f>
        <v>A-493-0072</v>
      </c>
      <c r="E49" s="452" t="str">
        <f>VLOOKUP(Table2[[#This Row],[Course Title]],'TSD-Data'!$A$1:$E$80,3,FALSE)</f>
        <v>713U</v>
      </c>
      <c r="F49" s="450" t="s">
        <v>414</v>
      </c>
      <c r="G49" s="453">
        <v>45957</v>
      </c>
      <c r="H49" s="453">
        <v>45961</v>
      </c>
      <c r="I49" s="454" t="s">
        <v>163</v>
      </c>
      <c r="J49" s="455">
        <v>0.33333333333333331</v>
      </c>
      <c r="K49" s="420"/>
      <c r="L49" s="681"/>
      <c r="M49" s="453"/>
      <c r="N49" s="453"/>
      <c r="O49" s="453"/>
      <c r="P49" s="453"/>
      <c r="Q49" s="456" t="s">
        <v>445</v>
      </c>
      <c r="R49" s="456" t="s">
        <v>285</v>
      </c>
      <c r="S49" s="456"/>
      <c r="T49" s="452">
        <f>VLOOKUP(Table2[[#This Row],[Course Title]],'TSD-Data'!$A$1:$E$80,4,FALSE)</f>
        <v>30</v>
      </c>
      <c r="U49" s="452">
        <f>VLOOKUP(Table2[[#This Row],[Course Title]],'TSD-Data'!$A$1:$F$80,6,FALSE)</f>
        <v>40</v>
      </c>
      <c r="V49" s="457">
        <f>VLOOKUP(Table2[[#This Row],[Course Title]],'TSD-Data'!$A$1:$F$80,5,FALSE)</f>
        <v>5</v>
      </c>
      <c r="W49" s="457">
        <v>178</v>
      </c>
      <c r="X49" s="452">
        <f>Table2[[#This Row],[Quotas]]-Table2[[#This Row],[Open Quotas]]</f>
        <v>19</v>
      </c>
      <c r="Y49" s="452">
        <v>0</v>
      </c>
      <c r="Z49" s="457">
        <v>19</v>
      </c>
      <c r="AA49" s="457">
        <v>0</v>
      </c>
      <c r="AB49" s="452">
        <v>0</v>
      </c>
      <c r="AC49" s="452">
        <v>5</v>
      </c>
      <c r="AD49" s="452">
        <v>0</v>
      </c>
      <c r="AE49" s="452" t="s">
        <v>428</v>
      </c>
      <c r="AF49" s="457">
        <f ca="1">Table2[[#This Row],[End Date]]+2-TODAY()</f>
        <v>-44</v>
      </c>
      <c r="AG49" s="452">
        <f>IF(ISBLANK(Table2[[#This Row],[Roster Received by]]),1,0)</f>
        <v>0</v>
      </c>
      <c r="AH49" s="452">
        <f ca="1">IF(Table2[[#This Row],[Start Date]]&gt;TODAY(),1,)</f>
        <v>0</v>
      </c>
      <c r="AI49" s="452">
        <f>IF(ISBLANK(Table2[[#This Row],[Primary Instructor]]),0,1)</f>
        <v>1</v>
      </c>
      <c r="AJ49" s="452">
        <f>IF(ISBLANK(Table2[[#This Row],[Instructor 2]]),0,1)</f>
        <v>1</v>
      </c>
      <c r="AK49" s="452">
        <f>Table2[[#This Row],[Course Length (Hours)]]/(SUM(Table2[[#This Row],[1]:[2]]))</f>
        <v>20</v>
      </c>
      <c r="AL49" s="640">
        <v>11</v>
      </c>
      <c r="AM49" s="452">
        <v>1</v>
      </c>
      <c r="AN49" s="458" t="str">
        <f>VLOOKUP(Table2[[#This Row],[Course Title]],'TSD-Data'!$A$1:$G$80,7,FALSE)</f>
        <v>N3</v>
      </c>
    </row>
    <row r="50" spans="2:54" s="428" customFormat="1" x14ac:dyDescent="0.25">
      <c r="B50" s="450"/>
      <c r="C50" s="451" t="s">
        <v>48</v>
      </c>
      <c r="D50" s="452" t="str">
        <f>VLOOKUP(Table2[[#This Row],[Course Title]],'TSD-Data'!$A$1:$E$80,2,FALSE)</f>
        <v>A-493-0103</v>
      </c>
      <c r="E50" s="452" t="str">
        <f>VLOOKUP(Table2[[#This Row],[Course Title]],'TSD-Data'!$A$1:$E$80,3,FALSE)</f>
        <v>12JY</v>
      </c>
      <c r="F50" s="451" t="s">
        <v>229</v>
      </c>
      <c r="G50" s="453">
        <v>45957</v>
      </c>
      <c r="H50" s="453">
        <v>45961</v>
      </c>
      <c r="I50" s="454" t="s">
        <v>163</v>
      </c>
      <c r="J50" s="455">
        <v>0.33333333333333331</v>
      </c>
      <c r="K50" s="420"/>
      <c r="L50" s="453"/>
      <c r="M50" s="453"/>
      <c r="N50" s="453"/>
      <c r="O50" s="453"/>
      <c r="P50" s="453"/>
      <c r="Q50" s="456" t="s">
        <v>275</v>
      </c>
      <c r="R50" s="456"/>
      <c r="S50" s="456"/>
      <c r="T50" s="452">
        <f>VLOOKUP(Table2[[#This Row],[Course Title]],'TSD-Data'!$A$1:$E$80,4,FALSE)</f>
        <v>25</v>
      </c>
      <c r="U50" s="452">
        <f>VLOOKUP(Table2[[#This Row],[Course Title]],'TSD-Data'!$A$1:$F$80,6,FALSE)</f>
        <v>40</v>
      </c>
      <c r="V50" s="457">
        <f>VLOOKUP(Table2[[#This Row],[Course Title]],'TSD-Data'!$A$1:$F$80,5,FALSE)</f>
        <v>5</v>
      </c>
      <c r="W50" s="457">
        <v>512</v>
      </c>
      <c r="X50" s="452">
        <f>Table2[[#This Row],[Quotas]]-Table2[[#This Row],[Open Quotas]]</f>
        <v>25</v>
      </c>
      <c r="Y50" s="452">
        <v>4</v>
      </c>
      <c r="Z50" s="457">
        <v>22</v>
      </c>
      <c r="AA50" s="457">
        <v>0</v>
      </c>
      <c r="AB50" s="452">
        <v>0</v>
      </c>
      <c r="AC50" s="452">
        <v>4</v>
      </c>
      <c r="AD50" s="452">
        <v>0</v>
      </c>
      <c r="AE50" s="452" t="s">
        <v>430</v>
      </c>
      <c r="AF50" s="457">
        <f ca="1">Table2[[#This Row],[End Date]]+2-TODAY()</f>
        <v>-44</v>
      </c>
      <c r="AG50" s="452">
        <f>IF(ISBLANK(Table2[[#This Row],[Roster Received by]]),1,0)</f>
        <v>0</v>
      </c>
      <c r="AH50" s="452">
        <f ca="1">IF(Table2[[#This Row],[Start Date]]&gt;TODAY(),1,)</f>
        <v>0</v>
      </c>
      <c r="AI50" s="452">
        <f>IF(ISBLANK(Table2[[#This Row],[Primary Instructor]]),0,1)</f>
        <v>1</v>
      </c>
      <c r="AJ50" s="452">
        <f>IF(ISBLANK(Table2[[#This Row],[Instructor 2]]),0,1)</f>
        <v>0</v>
      </c>
      <c r="AK50" s="452">
        <f>Table2[[#This Row],[Course Length (Hours)]]/(SUM(Table2[[#This Row],[1]:[2]]))</f>
        <v>40</v>
      </c>
      <c r="AL50" s="640">
        <v>0</v>
      </c>
      <c r="AM50" s="452">
        <v>1</v>
      </c>
      <c r="AN50" s="458" t="str">
        <f>VLOOKUP(Table2[[#This Row],[Course Title]],'TSD-Data'!$A$1:$G$80,7,FALSE)</f>
        <v>N5</v>
      </c>
    </row>
    <row r="51" spans="2:54" s="459" customFormat="1" x14ac:dyDescent="0.25">
      <c r="B51" s="450"/>
      <c r="C51" s="451" t="s">
        <v>71</v>
      </c>
      <c r="D51" s="452" t="str">
        <f>VLOOKUP(Table2[[#This Row],[Course Title]],'TSD-Data'!$A$1:$E$80,2,FALSE)</f>
        <v>A-493-0061</v>
      </c>
      <c r="E51" s="452" t="str">
        <f>VLOOKUP(Table2[[#This Row],[Course Title]],'TSD-Data'!$A$1:$E$80,3,FALSE)</f>
        <v>288E</v>
      </c>
      <c r="F51" s="451" t="s">
        <v>25</v>
      </c>
      <c r="G51" s="693">
        <v>45957</v>
      </c>
      <c r="H51" s="693">
        <v>45960</v>
      </c>
      <c r="I51" s="454" t="s">
        <v>163</v>
      </c>
      <c r="J51" s="455"/>
      <c r="K51" s="460">
        <v>0.5</v>
      </c>
      <c r="L51" s="460">
        <v>0.375</v>
      </c>
      <c r="M51" s="460">
        <v>0.79166666666666663</v>
      </c>
      <c r="N51" s="460">
        <v>0.75</v>
      </c>
      <c r="O51" s="460">
        <v>0.25</v>
      </c>
      <c r="P51" s="460">
        <v>4.1666666666666664E-2</v>
      </c>
      <c r="Q51" s="456" t="s">
        <v>272</v>
      </c>
      <c r="R51" s="456"/>
      <c r="S51" s="456"/>
      <c r="T51" s="452">
        <f>VLOOKUP(Table2[[#This Row],[Course Title]],'TSD-Data'!$A$1:$E$80,4,FALSE)</f>
        <v>45</v>
      </c>
      <c r="U51" s="452">
        <f>VLOOKUP(Table2[[#This Row],[Course Title]],'TSD-Data'!$A$1:$F$80,6,FALSE)</f>
        <v>30</v>
      </c>
      <c r="V51" s="457">
        <f>VLOOKUP(Table2[[#This Row],[Course Title]],'TSD-Data'!$A$1:$F$80,5,FALSE)</f>
        <v>4</v>
      </c>
      <c r="W51" s="457">
        <v>620</v>
      </c>
      <c r="X51" s="452">
        <f>Table2[[#This Row],[Quotas]]-Table2[[#This Row],[Open Quotas]]</f>
        <v>32</v>
      </c>
      <c r="Y51" s="452">
        <v>0</v>
      </c>
      <c r="Z51" s="457">
        <v>26</v>
      </c>
      <c r="AA51" s="457">
        <v>0</v>
      </c>
      <c r="AB51" s="452">
        <v>0</v>
      </c>
      <c r="AC51" s="452">
        <v>1</v>
      </c>
      <c r="AD51" s="452">
        <v>0</v>
      </c>
      <c r="AE51" s="452" t="s">
        <v>430</v>
      </c>
      <c r="AF51" s="457">
        <f ca="1">Table2[[#This Row],[End Date]]+2-TODAY()</f>
        <v>-45</v>
      </c>
      <c r="AG51" s="452">
        <f>IF(ISBLANK(Table2[[#This Row],[Roster Received by]]),1,0)</f>
        <v>0</v>
      </c>
      <c r="AH51" s="452">
        <f ca="1">IF(Table2[[#This Row],[Start Date]]&gt;TODAY(),1,)</f>
        <v>0</v>
      </c>
      <c r="AI51" s="452">
        <f>IF(ISBLANK(Table2[[#This Row],[Primary Instructor]]),0,1)</f>
        <v>1</v>
      </c>
      <c r="AJ51" s="452">
        <f>IF(ISBLANK(Table2[[#This Row],[Instructor 2]]),0,1)</f>
        <v>0</v>
      </c>
      <c r="AK51" s="452">
        <f>Table2[[#This Row],[Course Length (Hours)]]/(SUM(Table2[[#This Row],[1]:[2]]))</f>
        <v>30</v>
      </c>
      <c r="AL51" s="640">
        <v>13</v>
      </c>
      <c r="AM51" s="452">
        <v>1</v>
      </c>
      <c r="AN51" s="458" t="str">
        <f>VLOOKUP(Table2[[#This Row],[Course Title]],'TSD-Data'!$A$1:$G$80,7,FALSE)</f>
        <v>N5</v>
      </c>
    </row>
    <row r="52" spans="2:54" s="459" customFormat="1" x14ac:dyDescent="0.25">
      <c r="B52" s="450"/>
      <c r="C52" s="665" t="s">
        <v>94</v>
      </c>
      <c r="D52" s="452" t="str">
        <f>VLOOKUP(Table2[[#This Row],[Course Title]],'TSD-Data'!$A$1:$E$80,2,FALSE)</f>
        <v>A-493-0331</v>
      </c>
      <c r="E52" s="452" t="str">
        <f>VLOOKUP(Table2[[#This Row],[Course Title]],'TSD-Data'!$A$1:$E$80,3,FALSE)</f>
        <v>10UG</v>
      </c>
      <c r="F52" s="450" t="s">
        <v>25</v>
      </c>
      <c r="G52" s="693">
        <v>45958</v>
      </c>
      <c r="H52" s="693">
        <v>45960</v>
      </c>
      <c r="I52" s="454" t="s">
        <v>163</v>
      </c>
      <c r="J52" s="455"/>
      <c r="K52" s="643">
        <v>1900.7916666666667</v>
      </c>
      <c r="L52" s="460">
        <v>0.66666666666666663</v>
      </c>
      <c r="M52" s="643">
        <v>8.3333333333333329E-2</v>
      </c>
      <c r="N52" s="643">
        <v>0</v>
      </c>
      <c r="O52" s="643">
        <v>0.54166666666666663</v>
      </c>
      <c r="P52" s="643">
        <v>0.33333333333333331</v>
      </c>
      <c r="Q52" s="456" t="s">
        <v>436</v>
      </c>
      <c r="R52" s="456"/>
      <c r="S52" s="456"/>
      <c r="T52" s="657">
        <f>VLOOKUP(Table2[[#This Row],[Course Title]],'TSD-Data'!$A$1:$E$80,4,FALSE)</f>
        <v>45</v>
      </c>
      <c r="U52" s="452">
        <f>VLOOKUP(Table2[[#This Row],[Course Title]],'TSD-Data'!$A$1:$F$80,6,FALSE)</f>
        <v>24</v>
      </c>
      <c r="V52" s="457">
        <f>VLOOKUP(Table2[[#This Row],[Course Title]],'TSD-Data'!$A$1:$F$80,5,FALSE)</f>
        <v>3</v>
      </c>
      <c r="W52" s="457">
        <v>183</v>
      </c>
      <c r="X52" s="452">
        <f>Table2[[#This Row],[Quotas]]-Table2[[#This Row],[Open Quotas]]</f>
        <v>45</v>
      </c>
      <c r="Y52" s="452">
        <v>1</v>
      </c>
      <c r="Z52" s="457">
        <v>37</v>
      </c>
      <c r="AA52" s="457">
        <v>1</v>
      </c>
      <c r="AB52" s="452">
        <v>0</v>
      </c>
      <c r="AC52" s="452">
        <v>0</v>
      </c>
      <c r="AD52" s="452">
        <v>0</v>
      </c>
      <c r="AE52" s="452" t="s">
        <v>428</v>
      </c>
      <c r="AF52" s="457">
        <f ca="1">Table2[[#This Row],[End Date]]+2-TODAY()</f>
        <v>-45</v>
      </c>
      <c r="AG52" s="452">
        <f>IF(ISBLANK(Table2[[#This Row],[Roster Received by]]),1,0)</f>
        <v>0</v>
      </c>
      <c r="AH52" s="452">
        <f ca="1">IF(Table2[[#This Row],[Start Date]]&gt;TODAY(),1,)</f>
        <v>0</v>
      </c>
      <c r="AI52" s="452">
        <f>IF(ISBLANK(Table2[[#This Row],[Primary Instructor]]),0,1)</f>
        <v>1</v>
      </c>
      <c r="AJ52" s="452">
        <f>IF(ISBLANK(Table2[[#This Row],[Instructor 2]]),0,1)</f>
        <v>0</v>
      </c>
      <c r="AK52" s="452">
        <f>Table2[[#This Row],[Course Length (Hours)]]/(SUM(Table2[[#This Row],[1]:[2]]))</f>
        <v>24</v>
      </c>
      <c r="AL52" s="640">
        <v>0</v>
      </c>
      <c r="AM52" s="452">
        <v>1</v>
      </c>
      <c r="AN52" s="458" t="str">
        <f>VLOOKUP(Table2[[#This Row],[Course Title]],'TSD-Data'!$A$1:$G$80,7,FALSE)</f>
        <v>N3</v>
      </c>
    </row>
    <row r="53" spans="2:54" s="459" customFormat="1" x14ac:dyDescent="0.25">
      <c r="B53" s="450"/>
      <c r="C53" s="665" t="s">
        <v>34</v>
      </c>
      <c r="D53" s="452" t="str">
        <f>VLOOKUP(Table2[[#This Row],[Course Title]],'TSD-Data'!$A$1:$E$80,2,FALSE)</f>
        <v>A-493-0019</v>
      </c>
      <c r="E53" s="452">
        <f>VLOOKUP(Table2[[#This Row],[Course Title]],'TSD-Data'!$A$1:$E$80,3,FALSE)</f>
        <v>3882</v>
      </c>
      <c r="F53" s="451" t="s">
        <v>173</v>
      </c>
      <c r="G53" s="694">
        <v>45960</v>
      </c>
      <c r="H53" s="694">
        <v>45961</v>
      </c>
      <c r="I53" s="454" t="s">
        <v>163</v>
      </c>
      <c r="J53" s="455">
        <v>0.33333333333333331</v>
      </c>
      <c r="K53" s="420"/>
      <c r="L53" s="453"/>
      <c r="M53" s="453"/>
      <c r="N53" s="453"/>
      <c r="O53" s="453"/>
      <c r="P53" s="453"/>
      <c r="Q53" s="456" t="s">
        <v>175</v>
      </c>
      <c r="R53" s="456" t="s">
        <v>174</v>
      </c>
      <c r="S53" s="456"/>
      <c r="T53" s="452">
        <f>VLOOKUP(Table2[[#This Row],[Course Title]],'TSD-Data'!$A$1:$E$80,4,FALSE)</f>
        <v>25</v>
      </c>
      <c r="U53" s="452">
        <f>VLOOKUP(Table2[[#This Row],[Course Title]],'TSD-Data'!$A$1:$F$80,6,FALSE)</f>
        <v>16</v>
      </c>
      <c r="V53" s="457">
        <f>VLOOKUP(Table2[[#This Row],[Course Title]],'TSD-Data'!$A$1:$F$80,5,FALSE)</f>
        <v>2</v>
      </c>
      <c r="W53" s="457">
        <v>14</v>
      </c>
      <c r="X53" s="452">
        <f>Table2[[#This Row],[Quotas]]-Table2[[#This Row],[Open Quotas]]</f>
        <v>6</v>
      </c>
      <c r="Y53" s="452">
        <v>0</v>
      </c>
      <c r="Z53" s="457">
        <v>4</v>
      </c>
      <c r="AA53" s="457">
        <v>0</v>
      </c>
      <c r="AB53" s="452">
        <v>0</v>
      </c>
      <c r="AC53" s="452">
        <v>0</v>
      </c>
      <c r="AD53" s="452">
        <v>0</v>
      </c>
      <c r="AE53" s="452" t="s">
        <v>428</v>
      </c>
      <c r="AF53" s="457">
        <f ca="1">Table2[[#This Row],[End Date]]+2-TODAY()</f>
        <v>-44</v>
      </c>
      <c r="AG53" s="452">
        <f>IF(ISBLANK(Table2[[#This Row],[Roster Received by]]),1,0)</f>
        <v>0</v>
      </c>
      <c r="AH53" s="452">
        <f ca="1">IF(Table2[[#This Row],[Start Date]]&gt;TODAY(),1,)</f>
        <v>0</v>
      </c>
      <c r="AI53" s="452">
        <f>IF(ISBLANK(Table2[[#This Row],[Primary Instructor]]),0,1)</f>
        <v>1</v>
      </c>
      <c r="AJ53" s="452">
        <f>IF(ISBLANK(Table2[[#This Row],[Instructor 2]]),0,1)</f>
        <v>1</v>
      </c>
      <c r="AK53" s="452">
        <f>Table2[[#This Row],[Course Length (Hours)]]/(SUM(Table2[[#This Row],[1]:[2]]))</f>
        <v>8</v>
      </c>
      <c r="AL53" s="640">
        <v>19</v>
      </c>
      <c r="AM53" s="452">
        <v>1</v>
      </c>
      <c r="AN53" s="458" t="str">
        <f>VLOOKUP(Table2[[#This Row],[Course Title]],'TSD-Data'!$A$1:$G$80,7,FALSE)</f>
        <v>N3</v>
      </c>
    </row>
    <row r="54" spans="2:54" s="459" customFormat="1" x14ac:dyDescent="0.25">
      <c r="B54" s="450"/>
      <c r="C54" s="451" t="s">
        <v>97</v>
      </c>
      <c r="D54" s="452" t="str">
        <f>VLOOKUP(Table2[[#This Row],[Course Title]],'TSD-Data'!$A$1:$E$80,2,FALSE)</f>
        <v>A-493-0335</v>
      </c>
      <c r="E54" s="452" t="str">
        <f>VLOOKUP(Table2[[#This Row],[Course Title]],'TSD-Data'!$A$1:$E$80,3,FALSE)</f>
        <v>09ND</v>
      </c>
      <c r="F54" s="450" t="s">
        <v>25</v>
      </c>
      <c r="G54" s="693">
        <v>45964</v>
      </c>
      <c r="H54" s="693">
        <v>45967</v>
      </c>
      <c r="I54" s="454" t="s">
        <v>163</v>
      </c>
      <c r="J54" s="455"/>
      <c r="K54" s="460">
        <v>0.5</v>
      </c>
      <c r="L54" s="687">
        <v>0.375</v>
      </c>
      <c r="M54" s="460">
        <v>0.83333333333333337</v>
      </c>
      <c r="N54" s="460">
        <v>0.75</v>
      </c>
      <c r="O54" s="460">
        <v>0.29166666666666669</v>
      </c>
      <c r="P54" s="460">
        <v>8.3333333333333329E-2</v>
      </c>
      <c r="Q54" s="456" t="s">
        <v>175</v>
      </c>
      <c r="R54" s="456"/>
      <c r="S54" s="456"/>
      <c r="T54" s="452">
        <f>VLOOKUP(Table2[[#This Row],[Course Title]],'TSD-Data'!$A$1:$E$80,4,FALSE)</f>
        <v>45</v>
      </c>
      <c r="U54" s="452">
        <f>VLOOKUP(Table2[[#This Row],[Course Title]],'TSD-Data'!$A$1:$F$80,6,FALSE)</f>
        <v>32</v>
      </c>
      <c r="V54" s="457">
        <f>VLOOKUP(Table2[[#This Row],[Course Title]],'TSD-Data'!$A$1:$F$80,5,FALSE)</f>
        <v>4</v>
      </c>
      <c r="W54" s="457">
        <v>537</v>
      </c>
      <c r="X54" s="452">
        <f>Table2[[#This Row],[Quotas]]-Table2[[#This Row],[Open Quotas]]</f>
        <v>28</v>
      </c>
      <c r="Y54" s="452">
        <v>0</v>
      </c>
      <c r="Z54" s="457">
        <v>19</v>
      </c>
      <c r="AA54" s="457">
        <v>0</v>
      </c>
      <c r="AB54" s="452">
        <v>0</v>
      </c>
      <c r="AC54" s="452">
        <v>0</v>
      </c>
      <c r="AD54" s="452">
        <v>0</v>
      </c>
      <c r="AE54" s="452" t="s">
        <v>428</v>
      </c>
      <c r="AF54" s="457">
        <f ca="1">Table2[[#This Row],[End Date]]+2-TODAY()</f>
        <v>-38</v>
      </c>
      <c r="AG54" s="452">
        <f>IF(ISBLANK(Table2[[#This Row],[Roster Received by]]),1,0)</f>
        <v>0</v>
      </c>
      <c r="AH54" s="452">
        <f ca="1">IF(Table2[[#This Row],[Start Date]]&gt;TODAY(),1,)</f>
        <v>0</v>
      </c>
      <c r="AI54" s="452">
        <f>IF(ISBLANK(Table2[[#This Row],[Primary Instructor]]),0,1)</f>
        <v>1</v>
      </c>
      <c r="AJ54" s="452">
        <f>IF(ISBLANK(Table2[[#This Row],[Instructor 2]]),0,1)</f>
        <v>0</v>
      </c>
      <c r="AK54" s="452">
        <f>Table2[[#This Row],[Course Length (Hours)]]/(SUM(Table2[[#This Row],[1]:[2]]))</f>
        <v>32</v>
      </c>
      <c r="AL54" s="640">
        <v>17</v>
      </c>
      <c r="AM54" s="452">
        <v>1</v>
      </c>
      <c r="AN54" s="458" t="str">
        <f>VLOOKUP(Table2[[#This Row],[Course Title]],'TSD-Data'!$A$1:$G$80,7,FALSE)</f>
        <v>N3</v>
      </c>
    </row>
    <row r="55" spans="2:54" s="459" customFormat="1" x14ac:dyDescent="0.25">
      <c r="B55" s="450"/>
      <c r="C55" s="451" t="s">
        <v>395</v>
      </c>
      <c r="D55" s="452" t="str">
        <f>VLOOKUP(Table2[[#This Row],[Course Title]],'TSD-Data'!$A$1:$E$80,2,FALSE)</f>
        <v>A-493-3002</v>
      </c>
      <c r="E55" s="452" t="str">
        <f>VLOOKUP(Table2[[#This Row],[Course Title]],'TSD-Data'!$A$1:$E$80,3,FALSE)</f>
        <v>31V4</v>
      </c>
      <c r="F55" s="450" t="s">
        <v>25</v>
      </c>
      <c r="G55" s="693">
        <v>45964</v>
      </c>
      <c r="H55" s="693">
        <v>45964</v>
      </c>
      <c r="I55" s="454" t="s">
        <v>163</v>
      </c>
      <c r="J55" s="455"/>
      <c r="K55" s="455">
        <v>0.45833333333333331</v>
      </c>
      <c r="L55" s="420">
        <v>0.33333333333333331</v>
      </c>
      <c r="M55" s="455">
        <v>0.79166666666666663</v>
      </c>
      <c r="N55" s="455">
        <v>0.70833333333333337</v>
      </c>
      <c r="O55" s="455">
        <v>0.25</v>
      </c>
      <c r="P55" s="455">
        <v>4.1666666666666664E-2</v>
      </c>
      <c r="Q55" s="456" t="s">
        <v>439</v>
      </c>
      <c r="R55" s="456"/>
      <c r="S55" s="456"/>
      <c r="T55" s="452">
        <f>VLOOKUP(Table2[[#This Row],[Course Title]],'TSD-Data'!$A$1:$E$80,4,FALSE)</f>
        <v>1000</v>
      </c>
      <c r="U55" s="452">
        <f>VLOOKUP(Table2[[#This Row],[Course Title]],'TSD-Data'!$A$1:$F$80,6,FALSE)</f>
        <v>4</v>
      </c>
      <c r="V55" s="457">
        <f>VLOOKUP(Table2[[#This Row],[Course Title]],'TSD-Data'!$A$1:$F$80,5,FALSE)</f>
        <v>0.5</v>
      </c>
      <c r="W55" s="457">
        <v>0</v>
      </c>
      <c r="X55" s="452">
        <f>Table2[[#This Row],[Quotas]]-Table2[[#This Row],[Open Quotas]]</f>
        <v>13</v>
      </c>
      <c r="Y55" s="452">
        <v>0</v>
      </c>
      <c r="Z55" s="457">
        <v>51</v>
      </c>
      <c r="AA55" s="457">
        <v>0</v>
      </c>
      <c r="AB55" s="452">
        <v>0</v>
      </c>
      <c r="AC55" s="452">
        <v>0</v>
      </c>
      <c r="AD55" s="452">
        <v>0</v>
      </c>
      <c r="AE55" s="452" t="s">
        <v>440</v>
      </c>
      <c r="AF55" s="457">
        <f ca="1">Table2[[#This Row],[End Date]]+2-TODAY()</f>
        <v>-41</v>
      </c>
      <c r="AG55" s="452">
        <f>IF(ISBLANK(Table2[[#This Row],[Roster Received by]]),1,0)</f>
        <v>0</v>
      </c>
      <c r="AH55" s="452">
        <f ca="1">IF(Table2[[#This Row],[Start Date]]&gt;TODAY(),1,)</f>
        <v>0</v>
      </c>
      <c r="AI55" s="452">
        <f>IF(ISBLANK(Table2[[#This Row],[Primary Instructor]]),0,1)</f>
        <v>1</v>
      </c>
      <c r="AJ55" s="452">
        <f>IF(ISBLANK(Table2[[#This Row],[Instructor 2]]),0,1)</f>
        <v>0</v>
      </c>
      <c r="AK55" s="452">
        <f>Table2[[#This Row],[Course Length (Hours)]]/(SUM(Table2[[#This Row],[1]:[2]]))</f>
        <v>4</v>
      </c>
      <c r="AL55" s="640">
        <v>987</v>
      </c>
      <c r="AM55" s="452">
        <v>1</v>
      </c>
      <c r="AN55" s="458" t="str">
        <f>VLOOKUP(Table2[[#This Row],[Course Title]],'TSD-Data'!$A$1:$G$80,7,FALSE)</f>
        <v>N8</v>
      </c>
    </row>
    <row r="56" spans="2:54" s="459" customFormat="1" x14ac:dyDescent="0.25">
      <c r="B56" s="450"/>
      <c r="C56" s="684" t="s">
        <v>401</v>
      </c>
      <c r="D56" s="458" t="str">
        <f>VLOOKUP(Table2[[#This Row],[Course Title]],'TSD-Data'!$A$1:$E$80,2,FALSE)</f>
        <v>A-493-3003</v>
      </c>
      <c r="E56" s="458" t="str">
        <f>VLOOKUP(Table2[[#This Row],[Course Title]],'TSD-Data'!$A$1:$E$80,3,FALSE)</f>
        <v>31V5</v>
      </c>
      <c r="F56" s="451" t="s">
        <v>25</v>
      </c>
      <c r="G56" s="693">
        <v>45964</v>
      </c>
      <c r="H56" s="453">
        <v>45964</v>
      </c>
      <c r="I56" s="454" t="s">
        <v>163</v>
      </c>
      <c r="J56" s="455"/>
      <c r="K56" s="460">
        <v>0.625</v>
      </c>
      <c r="L56" s="688">
        <v>0.5</v>
      </c>
      <c r="M56" s="420">
        <v>0.95833333333333337</v>
      </c>
      <c r="N56" s="420">
        <v>0.875</v>
      </c>
      <c r="O56" s="420">
        <v>4.1666666666666664E-2</v>
      </c>
      <c r="P56" s="420">
        <v>0.20833333333333334</v>
      </c>
      <c r="Q56" s="456" t="s">
        <v>439</v>
      </c>
      <c r="R56" s="456"/>
      <c r="S56" s="456"/>
      <c r="T56" s="452">
        <f>VLOOKUP(Table2[[#This Row],[Course Title]],'TSD-Data'!$A$1:$E$80,4,FALSE)</f>
        <v>1000</v>
      </c>
      <c r="U56" s="452">
        <f>VLOOKUP(Table2[[#This Row],[Course Title]],'TSD-Data'!$A$1:$F$80,6,FALSE)</f>
        <v>0.75</v>
      </c>
      <c r="V56" s="457">
        <f>VLOOKUP(Table2[[#This Row],[Course Title]],'TSD-Data'!$A$1:$F$80,5,FALSE)</f>
        <v>0.1</v>
      </c>
      <c r="W56" s="457"/>
      <c r="X56" s="452">
        <f>Table2[[#This Row],[Quotas]]-Table2[[#This Row],[Open Quotas]]</f>
        <v>5</v>
      </c>
      <c r="Y56" s="452">
        <v>0</v>
      </c>
      <c r="Z56" s="457">
        <v>28</v>
      </c>
      <c r="AA56" s="457">
        <v>0</v>
      </c>
      <c r="AB56" s="458">
        <v>0</v>
      </c>
      <c r="AC56" s="458">
        <v>0</v>
      </c>
      <c r="AD56" s="452">
        <v>0</v>
      </c>
      <c r="AE56" s="452" t="s">
        <v>440</v>
      </c>
      <c r="AF56" s="457">
        <f ca="1">Table2[[#This Row],[End Date]]+2-TODAY()</f>
        <v>-41</v>
      </c>
      <c r="AG56" s="452">
        <f>IF(ISBLANK(Table2[[#This Row],[Roster Received by]]),1,0)</f>
        <v>0</v>
      </c>
      <c r="AH56" s="452">
        <f ca="1">IF(Table2[[#This Row],[Start Date]]&gt;TODAY(),1,)</f>
        <v>0</v>
      </c>
      <c r="AI56" s="452">
        <f>IF(ISBLANK(Table2[[#This Row],[Primary Instructor]]),0,1)</f>
        <v>1</v>
      </c>
      <c r="AJ56" s="452">
        <f>IF(ISBLANK(Table2[[#This Row],[Instructor 2]]),0,1)</f>
        <v>0</v>
      </c>
      <c r="AK56" s="452">
        <f>Table2[[#This Row],[Course Length (Hours)]]/(SUM(Table2[[#This Row],[1]:[2]]))</f>
        <v>0.75</v>
      </c>
      <c r="AL56" s="644">
        <v>995</v>
      </c>
      <c r="AM56" s="452">
        <v>1</v>
      </c>
      <c r="AN56" s="458" t="str">
        <f>VLOOKUP(Table2[[#This Row],[Course Title]],'TSD-Data'!$A$1:$G$80,7,FALSE)</f>
        <v>N8</v>
      </c>
    </row>
    <row r="57" spans="2:54" s="459" customFormat="1" x14ac:dyDescent="0.25">
      <c r="B57" s="450"/>
      <c r="C57" s="684" t="s">
        <v>404</v>
      </c>
      <c r="D57" s="458" t="str">
        <f>VLOOKUP(Table2[[#This Row],[Course Title]],'TSD-Data'!$A$1:$E$80,2,FALSE)</f>
        <v>A-493-3006</v>
      </c>
      <c r="E57" s="458" t="str">
        <f>VLOOKUP(Table2[[#This Row],[Course Title]],'TSD-Data'!$A$1:$E$80,3,FALSE)</f>
        <v>31V8</v>
      </c>
      <c r="F57" s="451" t="s">
        <v>25</v>
      </c>
      <c r="G57" s="453">
        <v>45964</v>
      </c>
      <c r="H57" s="453">
        <v>45964</v>
      </c>
      <c r="I57" s="454" t="s">
        <v>163</v>
      </c>
      <c r="J57" s="455"/>
      <c r="K57" s="455">
        <v>0.75</v>
      </c>
      <c r="L57" s="420">
        <v>0.625</v>
      </c>
      <c r="M57" s="455">
        <v>8.3333333333333329E-2</v>
      </c>
      <c r="N57" s="455">
        <v>0</v>
      </c>
      <c r="O57" s="455">
        <v>0.54166666666666663</v>
      </c>
      <c r="P57" s="455">
        <v>0.33333333333333331</v>
      </c>
      <c r="Q57" s="456" t="s">
        <v>439</v>
      </c>
      <c r="R57" s="456"/>
      <c r="S57" s="456"/>
      <c r="T57" s="452">
        <f>VLOOKUP(Table2[[#This Row],[Course Title]],'TSD-Data'!$A$1:$E$80,4,FALSE)</f>
        <v>1000</v>
      </c>
      <c r="U57" s="452">
        <f>VLOOKUP(Table2[[#This Row],[Course Title]],'TSD-Data'!$A$1:$F$80,6,FALSE)</f>
        <v>0.75</v>
      </c>
      <c r="V57" s="457">
        <f>VLOOKUP(Table2[[#This Row],[Course Title]],'TSD-Data'!$A$1:$F$80,5,FALSE)</f>
        <v>0.1</v>
      </c>
      <c r="W57" s="457"/>
      <c r="X57" s="452">
        <f>Table2[[#This Row],[Quotas]]-Table2[[#This Row],[Open Quotas]]</f>
        <v>1</v>
      </c>
      <c r="Y57" s="452">
        <v>0</v>
      </c>
      <c r="Z57" s="457">
        <v>28</v>
      </c>
      <c r="AA57" s="457">
        <v>0</v>
      </c>
      <c r="AB57" s="458">
        <v>0</v>
      </c>
      <c r="AC57" s="458">
        <v>0</v>
      </c>
      <c r="AD57" s="452">
        <v>0</v>
      </c>
      <c r="AE57" s="452" t="s">
        <v>440</v>
      </c>
      <c r="AF57" s="457">
        <f ca="1">Table2[[#This Row],[End Date]]+2-TODAY()</f>
        <v>-41</v>
      </c>
      <c r="AG57" s="452">
        <f>IF(ISBLANK(Table2[[#This Row],[Roster Received by]]),1,0)</f>
        <v>0</v>
      </c>
      <c r="AH57" s="452">
        <f ca="1">IF(Table2[[#This Row],[Start Date]]&gt;TODAY(),1,)</f>
        <v>0</v>
      </c>
      <c r="AI57" s="452">
        <f>IF(ISBLANK(Table2[[#This Row],[Primary Instructor]]),0,1)</f>
        <v>1</v>
      </c>
      <c r="AJ57" s="452">
        <f>IF(ISBLANK(Table2[[#This Row],[Instructor 2]]),0,1)</f>
        <v>0</v>
      </c>
      <c r="AK57" s="452">
        <f>Table2[[#This Row],[Course Length (Hours)]]/(SUM(Table2[[#This Row],[1]:[2]]))</f>
        <v>0.75</v>
      </c>
      <c r="AL57" s="644">
        <v>999</v>
      </c>
      <c r="AM57" s="452">
        <v>1</v>
      </c>
      <c r="AN57" s="458" t="str">
        <f>VLOOKUP(Table2[[#This Row],[Course Title]],'TSD-Data'!$A$1:$G$80,7,FALSE)</f>
        <v>N8</v>
      </c>
    </row>
    <row r="58" spans="2:54" s="459" customFormat="1" x14ac:dyDescent="0.25">
      <c r="B58" s="450"/>
      <c r="C58" s="684" t="s">
        <v>407</v>
      </c>
      <c r="D58" s="458" t="str">
        <f>VLOOKUP(Table2[[#This Row],[Course Title]],'TSD-Data'!$A$1:$E$80,2,FALSE)</f>
        <v>A-493-3007</v>
      </c>
      <c r="E58" s="458" t="str">
        <f>VLOOKUP(Table2[[#This Row],[Course Title]],'TSD-Data'!$A$1:$E$80,3,FALSE)</f>
        <v>31V9</v>
      </c>
      <c r="F58" s="451" t="s">
        <v>25</v>
      </c>
      <c r="G58" s="453">
        <v>45964</v>
      </c>
      <c r="H58" s="453">
        <v>45964</v>
      </c>
      <c r="I58" s="454" t="s">
        <v>163</v>
      </c>
      <c r="J58" s="455"/>
      <c r="K58" s="455">
        <v>0.79166666666666663</v>
      </c>
      <c r="L58" s="420">
        <v>0.66666666666666663</v>
      </c>
      <c r="M58" s="455">
        <v>0.125</v>
      </c>
      <c r="N58" s="455">
        <v>4.1666666666666664E-2</v>
      </c>
      <c r="O58" s="455">
        <v>0.625</v>
      </c>
      <c r="P58" s="455">
        <v>0.375</v>
      </c>
      <c r="Q58" s="456" t="s">
        <v>439</v>
      </c>
      <c r="R58" s="456"/>
      <c r="S58" s="456"/>
      <c r="T58" s="452">
        <f>VLOOKUP(Table2[[#This Row],[Course Title]],'TSD-Data'!$A$1:$E$80,4,FALSE)</f>
        <v>1000</v>
      </c>
      <c r="U58" s="452">
        <f>VLOOKUP(Table2[[#This Row],[Course Title]],'TSD-Data'!$A$1:$F$80,6,FALSE)</f>
        <v>0.75</v>
      </c>
      <c r="V58" s="457">
        <f>VLOOKUP(Table2[[#This Row],[Course Title]],'TSD-Data'!$A$1:$F$80,5,FALSE)</f>
        <v>0.1</v>
      </c>
      <c r="W58" s="457"/>
      <c r="X58" s="452">
        <f>Table2[[#This Row],[Quotas]]-Table2[[#This Row],[Open Quotas]]</f>
        <v>1</v>
      </c>
      <c r="Y58" s="452">
        <v>0</v>
      </c>
      <c r="Z58" s="457">
        <v>25</v>
      </c>
      <c r="AA58" s="457">
        <v>0</v>
      </c>
      <c r="AB58" s="458">
        <v>0</v>
      </c>
      <c r="AC58" s="458">
        <v>0</v>
      </c>
      <c r="AD58" s="452">
        <v>0</v>
      </c>
      <c r="AE58" s="452" t="s">
        <v>440</v>
      </c>
      <c r="AF58" s="457">
        <f ca="1">Table2[[#This Row],[End Date]]+2-TODAY()</f>
        <v>-41</v>
      </c>
      <c r="AG58" s="452">
        <f>IF(ISBLANK(Table2[[#This Row],[Roster Received by]]),1,0)</f>
        <v>0</v>
      </c>
      <c r="AH58" s="452">
        <f ca="1">IF(Table2[[#This Row],[Start Date]]&gt;TODAY(),1,)</f>
        <v>0</v>
      </c>
      <c r="AI58" s="452">
        <f>IF(ISBLANK(Table2[[#This Row],[Primary Instructor]]),0,1)</f>
        <v>1</v>
      </c>
      <c r="AJ58" s="452">
        <f>IF(ISBLANK(Table2[[#This Row],[Instructor 2]]),0,1)</f>
        <v>0</v>
      </c>
      <c r="AK58" s="452">
        <f>Table2[[#This Row],[Course Length (Hours)]]/(SUM(Table2[[#This Row],[1]:[2]]))</f>
        <v>0.75</v>
      </c>
      <c r="AL58" s="644">
        <v>999</v>
      </c>
      <c r="AM58" s="452">
        <v>1</v>
      </c>
      <c r="AN58" s="458" t="str">
        <f>VLOOKUP(Table2[[#This Row],[Course Title]],'TSD-Data'!$A$1:$G$80,7,FALSE)</f>
        <v>N8</v>
      </c>
    </row>
    <row r="59" spans="2:54" s="459" customFormat="1" x14ac:dyDescent="0.25">
      <c r="B59" s="450"/>
      <c r="C59" s="684" t="s">
        <v>119</v>
      </c>
      <c r="D59" s="452" t="str">
        <f>VLOOKUP(Table2[[#This Row],[Course Title]],'TSD-Data'!$A$1:$E$80,2,FALSE)</f>
        <v>A-493-2098</v>
      </c>
      <c r="E59" s="452" t="str">
        <f>VLOOKUP(Table2[[#This Row],[Course Title]],'TSD-Data'!$A$1:$E$80,3,FALSE)</f>
        <v>09WW</v>
      </c>
      <c r="F59" s="450" t="s">
        <v>25</v>
      </c>
      <c r="G59" s="453">
        <v>45964</v>
      </c>
      <c r="H59" s="453">
        <v>45966</v>
      </c>
      <c r="I59" s="454" t="s">
        <v>163</v>
      </c>
      <c r="J59" s="455"/>
      <c r="K59" s="677">
        <v>0.79166666666666663</v>
      </c>
      <c r="L59" s="460">
        <v>0.66666666666666663</v>
      </c>
      <c r="M59" s="678">
        <v>0.125</v>
      </c>
      <c r="N59" s="678">
        <v>4.1666666666666664E-2</v>
      </c>
      <c r="O59" s="678">
        <v>0.58333333333333337</v>
      </c>
      <c r="P59" s="678">
        <v>0.375</v>
      </c>
      <c r="Q59" s="456" t="s">
        <v>432</v>
      </c>
      <c r="R59" s="456"/>
      <c r="S59" s="456"/>
      <c r="T59" s="452">
        <f>VLOOKUP(Table2[[#This Row],[Course Title]],'TSD-Data'!$A$1:$E$80,4,FALSE)</f>
        <v>100</v>
      </c>
      <c r="U59" s="452">
        <f>VLOOKUP(Table2[[#This Row],[Course Title]],'TSD-Data'!$A$1:$F$80,6,FALSE)</f>
        <v>16</v>
      </c>
      <c r="V59" s="457">
        <f>VLOOKUP(Table2[[#This Row],[Course Title]],'TSD-Data'!$A$1:$F$80,5,FALSE)</f>
        <v>3</v>
      </c>
      <c r="W59" s="457">
        <v>1882</v>
      </c>
      <c r="X59" s="452">
        <f>Table2[[#This Row],[Quotas]]-Table2[[#This Row],[Open Quotas]]</f>
        <v>100</v>
      </c>
      <c r="Y59" s="452">
        <v>5</v>
      </c>
      <c r="Z59" s="457">
        <v>74</v>
      </c>
      <c r="AA59" s="457">
        <v>2</v>
      </c>
      <c r="AB59" s="452">
        <v>0</v>
      </c>
      <c r="AC59" s="452">
        <v>0</v>
      </c>
      <c r="AD59" s="452">
        <v>0</v>
      </c>
      <c r="AE59" s="452" t="s">
        <v>427</v>
      </c>
      <c r="AF59" s="457">
        <f ca="1">Table2[[#This Row],[End Date]]+2-TODAY()</f>
        <v>-39</v>
      </c>
      <c r="AG59" s="452">
        <f>IF(ISBLANK(Table2[[#This Row],[Roster Received by]]),1,0)</f>
        <v>0</v>
      </c>
      <c r="AH59" s="452">
        <f ca="1">IF(Table2[[#This Row],[Start Date]]&gt;TODAY(),1,)</f>
        <v>0</v>
      </c>
      <c r="AI59" s="452">
        <f>IF(ISBLANK(Table2[[#This Row],[Primary Instructor]]),0,1)</f>
        <v>1</v>
      </c>
      <c r="AJ59" s="452">
        <f>IF(ISBLANK(Table2[[#This Row],[Instructor 2]]),0,1)</f>
        <v>0</v>
      </c>
      <c r="AK59" s="452">
        <f>Table2[[#This Row],[Course Length (Hours)]]/(SUM(Table2[[#This Row],[1]:[2]]))</f>
        <v>16</v>
      </c>
      <c r="AL59" s="640">
        <v>0</v>
      </c>
      <c r="AM59" s="452">
        <v>1</v>
      </c>
      <c r="AN59" s="458" t="str">
        <f>VLOOKUP(Table2[[#This Row],[Course Title]],'TSD-Data'!$A$1:$G$80,7,FALSE)</f>
        <v>N8</v>
      </c>
      <c r="AO59" s="674"/>
      <c r="AP59" s="674"/>
      <c r="AQ59" s="674"/>
      <c r="AR59" s="674"/>
      <c r="AS59" s="674"/>
      <c r="AT59" s="674"/>
      <c r="AU59" s="674"/>
      <c r="AV59" s="674"/>
      <c r="AW59" s="674"/>
      <c r="AX59" s="674"/>
      <c r="AY59" s="674"/>
      <c r="AZ59" s="674"/>
      <c r="BA59" s="674"/>
      <c r="BB59" s="674"/>
    </row>
    <row r="60" spans="2:54" s="428" customFormat="1" x14ac:dyDescent="0.25">
      <c r="B60" s="450"/>
      <c r="C60" s="684" t="s">
        <v>122</v>
      </c>
      <c r="D60" s="452" t="str">
        <f>VLOOKUP(Table2[[#This Row],[Course Title]],'TSD-Data'!$A$1:$E$80,2,FALSE)</f>
        <v>F-4J-0023</v>
      </c>
      <c r="E60" s="452" t="str">
        <f>VLOOKUP(Table2[[#This Row],[Course Title]],'TSD-Data'!$A$1:$E$80,3,FALSE)</f>
        <v>11A2</v>
      </c>
      <c r="F60" s="451" t="s">
        <v>25</v>
      </c>
      <c r="G60" s="453">
        <v>45964</v>
      </c>
      <c r="H60" s="453">
        <v>45965</v>
      </c>
      <c r="I60" s="454" t="s">
        <v>163</v>
      </c>
      <c r="J60" s="455"/>
      <c r="K60" s="420">
        <v>0.33333333333333331</v>
      </c>
      <c r="L60" s="688">
        <v>0.20833333333333334</v>
      </c>
      <c r="M60" s="651">
        <v>1600</v>
      </c>
      <c r="N60" s="651">
        <v>1400</v>
      </c>
      <c r="O60" s="420">
        <v>0.125</v>
      </c>
      <c r="P60" s="651">
        <v>2200</v>
      </c>
      <c r="Q60" s="456" t="s">
        <v>446</v>
      </c>
      <c r="R60" s="456"/>
      <c r="S60" s="456"/>
      <c r="T60" s="452">
        <f>VLOOKUP(Table2[[#This Row],[Course Title]],'TSD-Data'!$A$1:$E$80,4,FALSE)</f>
        <v>45</v>
      </c>
      <c r="U60" s="452">
        <f>VLOOKUP(Table2[[#This Row],[Course Title]],'TSD-Data'!$A$1:$F$80,6,FALSE)</f>
        <v>16</v>
      </c>
      <c r="V60" s="457">
        <f>VLOOKUP(Table2[[#This Row],[Course Title]],'TSD-Data'!$A$1:$F$80,5,FALSE)</f>
        <v>2</v>
      </c>
      <c r="W60" s="457">
        <v>28</v>
      </c>
      <c r="X60" s="452">
        <f>Table2[[#This Row],[Quotas]]-Table2[[#This Row],[Open Quotas]]</f>
        <v>21</v>
      </c>
      <c r="Y60" s="452">
        <v>0</v>
      </c>
      <c r="Z60" s="457">
        <v>19</v>
      </c>
      <c r="AA60" s="457">
        <v>1</v>
      </c>
      <c r="AB60" s="452">
        <v>0</v>
      </c>
      <c r="AC60" s="452">
        <v>0</v>
      </c>
      <c r="AD60" s="452">
        <v>0</v>
      </c>
      <c r="AE60" s="452" t="s">
        <v>428</v>
      </c>
      <c r="AF60" s="457">
        <f ca="1">Table2[[#This Row],[End Date]]+2-TODAY()</f>
        <v>-40</v>
      </c>
      <c r="AG60" s="452">
        <f>IF(ISBLANK(Table2[[#This Row],[Roster Received by]]),1,0)</f>
        <v>0</v>
      </c>
      <c r="AH60" s="452">
        <f ca="1">IF(Table2[[#This Row],[Start Date]]&gt;TODAY(),1,)</f>
        <v>0</v>
      </c>
      <c r="AI60" s="452">
        <f>IF(ISBLANK(Table2[[#This Row],[Primary Instructor]]),0,1)</f>
        <v>1</v>
      </c>
      <c r="AJ60" s="452">
        <f>IF(ISBLANK(Table2[[#This Row],[Instructor 2]]),0,1)</f>
        <v>0</v>
      </c>
      <c r="AK60" s="452">
        <f>Table2[[#This Row],[Course Length (Hours)]]/(SUM(Table2[[#This Row],[1]:[2]]))</f>
        <v>16</v>
      </c>
      <c r="AL60" s="640">
        <v>24</v>
      </c>
      <c r="AM60" s="452">
        <v>1</v>
      </c>
      <c r="AN60" s="458" t="str">
        <f>VLOOKUP(Table2[[#This Row],[Course Title]],'TSD-Data'!$A$1:$G$80,7,FALSE)</f>
        <v>N8</v>
      </c>
    </row>
    <row r="61" spans="2:54" s="459" customFormat="1" x14ac:dyDescent="0.25">
      <c r="B61" s="450"/>
      <c r="C61" s="684" t="s">
        <v>48</v>
      </c>
      <c r="D61" s="458" t="str">
        <f>VLOOKUP(Table2[[#This Row],[Course Title]],'TSD-Data'!$A$1:$E$80,2,FALSE)</f>
        <v>A-493-0103</v>
      </c>
      <c r="E61" s="458" t="str">
        <f>VLOOKUP(Table2[[#This Row],[Course Title]],'TSD-Data'!$A$1:$E$80,3,FALSE)</f>
        <v>12JY</v>
      </c>
      <c r="F61" s="675" t="s">
        <v>279</v>
      </c>
      <c r="G61" s="453">
        <v>45964</v>
      </c>
      <c r="H61" s="453">
        <v>45968</v>
      </c>
      <c r="I61" s="454" t="s">
        <v>163</v>
      </c>
      <c r="J61" s="455">
        <v>0.33333333333333331</v>
      </c>
      <c r="K61" s="420"/>
      <c r="L61" s="453"/>
      <c r="M61" s="453"/>
      <c r="N61" s="453"/>
      <c r="O61" s="453"/>
      <c r="P61" s="453"/>
      <c r="Q61" s="456" t="s">
        <v>275</v>
      </c>
      <c r="R61" s="456"/>
      <c r="S61" s="456"/>
      <c r="T61" s="452">
        <f>VLOOKUP(Table2[[#This Row],[Course Title]],'TSD-Data'!$A$1:$E$80,4,FALSE)</f>
        <v>25</v>
      </c>
      <c r="U61" s="452">
        <f>VLOOKUP(Table2[[#This Row],[Course Title]],'TSD-Data'!$A$1:$F$80,6,FALSE)</f>
        <v>40</v>
      </c>
      <c r="V61" s="457">
        <f>VLOOKUP(Table2[[#This Row],[Course Title]],'TSD-Data'!$A$1:$F$80,5,FALSE)</f>
        <v>5</v>
      </c>
      <c r="W61" s="457">
        <v>225</v>
      </c>
      <c r="X61" s="452">
        <f>Table2[[#This Row],[Quotas]]-Table2[[#This Row],[Open Quotas]]</f>
        <v>21</v>
      </c>
      <c r="Y61" s="452">
        <v>0</v>
      </c>
      <c r="Z61" s="457">
        <v>7</v>
      </c>
      <c r="AA61" s="457">
        <v>0</v>
      </c>
      <c r="AB61" s="458">
        <v>0</v>
      </c>
      <c r="AC61" s="458">
        <v>1</v>
      </c>
      <c r="AD61" s="452">
        <v>0</v>
      </c>
      <c r="AE61" s="452" t="s">
        <v>430</v>
      </c>
      <c r="AF61" s="457">
        <f ca="1">Table2[[#This Row],[End Date]]+2-TODAY()</f>
        <v>-37</v>
      </c>
      <c r="AG61" s="452">
        <f>IF(ISBLANK(Table2[[#This Row],[Roster Received by]]),1,0)</f>
        <v>0</v>
      </c>
      <c r="AH61" s="452">
        <f ca="1">IF(Table2[[#This Row],[Start Date]]&gt;TODAY(),1,)</f>
        <v>0</v>
      </c>
      <c r="AI61" s="452">
        <f>IF(ISBLANK(Table2[[#This Row],[Primary Instructor]]),0,1)</f>
        <v>1</v>
      </c>
      <c r="AJ61" s="452">
        <f>IF(ISBLANK(Table2[[#This Row],[Instructor 2]]),0,1)</f>
        <v>0</v>
      </c>
      <c r="AK61" s="452">
        <f>Table2[[#This Row],[Course Length (Hours)]]/(SUM(Table2[[#This Row],[1]:[2]]))</f>
        <v>40</v>
      </c>
      <c r="AL61" s="644">
        <v>4</v>
      </c>
      <c r="AM61" s="452">
        <v>1</v>
      </c>
      <c r="AN61" s="458" t="str">
        <f>VLOOKUP(Table2[[#This Row],[Course Title]],'TSD-Data'!$A$1:$G$80,7,FALSE)</f>
        <v>N5</v>
      </c>
    </row>
    <row r="62" spans="2:54" s="428" customFormat="1" x14ac:dyDescent="0.25">
      <c r="B62" s="450"/>
      <c r="C62" s="684" t="s">
        <v>74</v>
      </c>
      <c r="D62" s="452" t="str">
        <f>VLOOKUP(Table2[[#This Row],[Course Title]],'TSD-Data'!$A$1:$E$80,2,FALSE)</f>
        <v>A-322-2604</v>
      </c>
      <c r="E62" s="452" t="str">
        <f>VLOOKUP(Table2[[#This Row],[Course Title]],'TSD-Data'!$A$1:$E$80,3,FALSE)</f>
        <v>10ZZ</v>
      </c>
      <c r="F62" s="451" t="s">
        <v>25</v>
      </c>
      <c r="G62" s="453">
        <v>45964</v>
      </c>
      <c r="H62" s="453">
        <v>45966</v>
      </c>
      <c r="I62" s="454" t="s">
        <v>163</v>
      </c>
      <c r="J62" s="455"/>
      <c r="K62" s="643">
        <v>0.5</v>
      </c>
      <c r="L62" s="460">
        <v>0.375</v>
      </c>
      <c r="M62" s="643">
        <v>0.83333333333333337</v>
      </c>
      <c r="N62" s="643">
        <v>0.75</v>
      </c>
      <c r="O62" s="643">
        <v>0.29166666666666669</v>
      </c>
      <c r="P62" s="643">
        <v>8.3333333333333329E-2</v>
      </c>
      <c r="Q62" s="456" t="s">
        <v>431</v>
      </c>
      <c r="R62" s="456"/>
      <c r="S62" s="456"/>
      <c r="T62" s="452">
        <f>VLOOKUP(Table2[[#This Row],[Course Title]],'TSD-Data'!$A$1:$E$80,4,FALSE)</f>
        <v>45</v>
      </c>
      <c r="U62" s="452">
        <f>VLOOKUP(Table2[[#This Row],[Course Title]],'TSD-Data'!$A$1:$F$80,6,FALSE)</f>
        <v>24</v>
      </c>
      <c r="V62" s="457">
        <f>VLOOKUP(Table2[[#This Row],[Course Title]],'TSD-Data'!$A$1:$F$80,5,FALSE)</f>
        <v>3</v>
      </c>
      <c r="W62" s="457">
        <v>621</v>
      </c>
      <c r="X62" s="452">
        <f>Table2[[#This Row],[Quotas]]-Table2[[#This Row],[Open Quotas]]</f>
        <v>43</v>
      </c>
      <c r="Y62" s="452">
        <v>0</v>
      </c>
      <c r="Z62" s="457">
        <v>33</v>
      </c>
      <c r="AA62" s="457">
        <v>0</v>
      </c>
      <c r="AB62" s="452">
        <v>0</v>
      </c>
      <c r="AC62" s="452">
        <v>1</v>
      </c>
      <c r="AD62" s="452">
        <v>0</v>
      </c>
      <c r="AE62" s="452" t="s">
        <v>430</v>
      </c>
      <c r="AF62" s="457">
        <f ca="1">Table2[[#This Row],[End Date]]+2-TODAY()</f>
        <v>-39</v>
      </c>
      <c r="AG62" s="452">
        <f>IF(ISBLANK(Table2[[#This Row],[Roster Received by]]),1,0)</f>
        <v>0</v>
      </c>
      <c r="AH62" s="452">
        <f ca="1">IF(Table2[[#This Row],[Start Date]]&gt;TODAY(),1,)</f>
        <v>0</v>
      </c>
      <c r="AI62" s="452">
        <f>IF(ISBLANK(Table2[[#This Row],[Primary Instructor]]),0,1)</f>
        <v>1</v>
      </c>
      <c r="AJ62" s="452">
        <f>IF(ISBLANK(Table2[[#This Row],[Instructor 2]]),0,1)</f>
        <v>0</v>
      </c>
      <c r="AK62" s="452">
        <f>Table2[[#This Row],[Course Length (Hours)]]/(SUM(Table2[[#This Row],[1]:[2]]))</f>
        <v>24</v>
      </c>
      <c r="AL62" s="640">
        <v>2</v>
      </c>
      <c r="AM62" s="452">
        <v>1</v>
      </c>
      <c r="AN62" s="458" t="str">
        <f>VLOOKUP(Table2[[#This Row],[Course Title]],'TSD-Data'!$A$1:$G$80,7,FALSE)</f>
        <v>N8</v>
      </c>
    </row>
    <row r="63" spans="2:54" s="459" customFormat="1" x14ac:dyDescent="0.25">
      <c r="B63" s="450"/>
      <c r="C63" s="684" t="s">
        <v>100</v>
      </c>
      <c r="D63" s="452" t="str">
        <f>VLOOKUP(Table2[[#This Row],[Course Title]],'TSD-Data'!$A$1:$E$80,2,FALSE)</f>
        <v>A-493-0550</v>
      </c>
      <c r="E63" s="452" t="str">
        <f>VLOOKUP(Table2[[#This Row],[Course Title]],'TSD-Data'!$A$1:$E$80,3,FALSE)</f>
        <v>09K5</v>
      </c>
      <c r="F63" s="450" t="s">
        <v>25</v>
      </c>
      <c r="G63" s="453">
        <v>45964</v>
      </c>
      <c r="H63" s="453">
        <v>45967</v>
      </c>
      <c r="I63" s="454" t="s">
        <v>163</v>
      </c>
      <c r="J63" s="455"/>
      <c r="K63" s="455">
        <v>0.33333333333333331</v>
      </c>
      <c r="L63" s="420">
        <v>0.20833333333333334</v>
      </c>
      <c r="M63" s="650">
        <v>1600</v>
      </c>
      <c r="N63" s="650">
        <v>1400</v>
      </c>
      <c r="O63" s="455">
        <v>0.125</v>
      </c>
      <c r="P63" s="650">
        <v>2200</v>
      </c>
      <c r="Q63" s="456" t="s">
        <v>426</v>
      </c>
      <c r="R63" s="456"/>
      <c r="S63" s="456"/>
      <c r="T63" s="452">
        <f>VLOOKUP(Table2[[#This Row],[Course Title]],'TSD-Data'!$A$1:$E$80,4,FALSE)</f>
        <v>45</v>
      </c>
      <c r="U63" s="452">
        <f>VLOOKUP(Table2[[#This Row],[Course Title]],'TSD-Data'!$A$1:$F$80,6,FALSE)</f>
        <v>32</v>
      </c>
      <c r="V63" s="457">
        <f>VLOOKUP(Table2[[#This Row],[Course Title]],'TSD-Data'!$A$1:$F$80,5,FALSE)</f>
        <v>4</v>
      </c>
      <c r="W63" s="457">
        <v>455</v>
      </c>
      <c r="X63" s="452">
        <f>Table2[[#This Row],[Quotas]]-Table2[[#This Row],[Open Quotas]]</f>
        <v>40</v>
      </c>
      <c r="Y63" s="452">
        <v>2</v>
      </c>
      <c r="Z63" s="457">
        <v>32</v>
      </c>
      <c r="AA63" s="457">
        <v>1</v>
      </c>
      <c r="AB63" s="452">
        <v>0</v>
      </c>
      <c r="AC63" s="452">
        <v>1</v>
      </c>
      <c r="AD63" s="452">
        <v>0</v>
      </c>
      <c r="AE63" s="452" t="s">
        <v>430</v>
      </c>
      <c r="AF63" s="457">
        <f ca="1">Table2[[#This Row],[End Date]]+2-TODAY()</f>
        <v>-38</v>
      </c>
      <c r="AG63" s="452">
        <f>IF(ISBLANK(Table2[[#This Row],[Roster Received by]]),1,0)</f>
        <v>0</v>
      </c>
      <c r="AH63" s="452">
        <f ca="1">IF(Table2[[#This Row],[Start Date]]&gt;TODAY(),1,)</f>
        <v>0</v>
      </c>
      <c r="AI63" s="452">
        <f>IF(ISBLANK(Table2[[#This Row],[Primary Instructor]]),0,1)</f>
        <v>1</v>
      </c>
      <c r="AJ63" s="452">
        <f>IF(ISBLANK(Table2[[#This Row],[Instructor 2]]),0,1)</f>
        <v>0</v>
      </c>
      <c r="AK63" s="452">
        <f>Table2[[#This Row],[Course Length (Hours)]]/(SUM(Table2[[#This Row],[1]:[2]]))</f>
        <v>32</v>
      </c>
      <c r="AL63" s="640">
        <v>5</v>
      </c>
      <c r="AM63" s="452">
        <v>1</v>
      </c>
      <c r="AN63" s="458" t="str">
        <f>VLOOKUP(Table2[[#This Row],[Course Title]],'TSD-Data'!$A$1:$G$80,7,FALSE)</f>
        <v>N5</v>
      </c>
    </row>
    <row r="64" spans="2:54" s="459" customFormat="1" x14ac:dyDescent="0.25">
      <c r="B64" s="450"/>
      <c r="C64" s="684" t="s">
        <v>106</v>
      </c>
      <c r="D64" s="452" t="str">
        <f>VLOOKUP(Table2[[#This Row],[Course Title]],'TSD-Data'!$A$1:$E$80,2,FALSE)</f>
        <v>A-493-0078</v>
      </c>
      <c r="E64" s="452">
        <f>VLOOKUP(Table2[[#This Row],[Course Title]],'TSD-Data'!$A$1:$E$80,3,FALSE)</f>
        <v>1228</v>
      </c>
      <c r="F64" s="451" t="s">
        <v>25</v>
      </c>
      <c r="G64" s="453">
        <v>45964</v>
      </c>
      <c r="H64" s="453">
        <v>45968</v>
      </c>
      <c r="I64" s="454" t="s">
        <v>163</v>
      </c>
      <c r="J64" s="455"/>
      <c r="K64" s="460">
        <v>0.5</v>
      </c>
      <c r="L64" s="460">
        <v>0.375</v>
      </c>
      <c r="M64" s="460">
        <v>0.83333333333333337</v>
      </c>
      <c r="N64" s="460">
        <v>0.75</v>
      </c>
      <c r="O64" s="460">
        <v>0.29166666666666669</v>
      </c>
      <c r="P64" s="460">
        <v>8.3333333333333329E-2</v>
      </c>
      <c r="Q64" s="456" t="s">
        <v>172</v>
      </c>
      <c r="R64" s="456"/>
      <c r="S64" s="456"/>
      <c r="T64" s="452">
        <f>VLOOKUP(Table2[[#This Row],[Course Title]],'TSD-Data'!$A$1:$E$80,4,FALSE)</f>
        <v>45</v>
      </c>
      <c r="U64" s="452">
        <f>VLOOKUP(Table2[[#This Row],[Course Title]],'TSD-Data'!$A$1:$F$80,6,FALSE)</f>
        <v>32</v>
      </c>
      <c r="V64" s="457">
        <f>VLOOKUP(Table2[[#This Row],[Course Title]],'TSD-Data'!$A$1:$F$80,5,FALSE)</f>
        <v>4</v>
      </c>
      <c r="W64" s="457">
        <v>568</v>
      </c>
      <c r="X64" s="452">
        <f>Table2[[#This Row],[Quotas]]-Table2[[#This Row],[Open Quotas]]</f>
        <v>39</v>
      </c>
      <c r="Y64" s="452">
        <v>0</v>
      </c>
      <c r="Z64" s="457">
        <v>34</v>
      </c>
      <c r="AA64" s="457">
        <v>2</v>
      </c>
      <c r="AB64" s="452">
        <v>0</v>
      </c>
      <c r="AC64" s="452">
        <v>0</v>
      </c>
      <c r="AD64" s="452">
        <v>0</v>
      </c>
      <c r="AE64" s="452" t="s">
        <v>430</v>
      </c>
      <c r="AF64" s="457">
        <f ca="1">Table2[[#This Row],[End Date]]+2-TODAY()</f>
        <v>-37</v>
      </c>
      <c r="AG64" s="452">
        <f>IF(ISBLANK(Table2[[#This Row],[Roster Received by]]),1,0)</f>
        <v>0</v>
      </c>
      <c r="AH64" s="452">
        <f ca="1">IF(Table2[[#This Row],[Start Date]]&gt;TODAY(),1,)</f>
        <v>0</v>
      </c>
      <c r="AI64" s="452">
        <f>IF(ISBLANK(Table2[[#This Row],[Primary Instructor]]),0,1)</f>
        <v>1</v>
      </c>
      <c r="AJ64" s="452">
        <f>IF(ISBLANK(Table2[[#This Row],[Instructor 2]]),0,1)</f>
        <v>0</v>
      </c>
      <c r="AK64" s="452">
        <f>Table2[[#This Row],[Course Length (Hours)]]/(SUM(Table2[[#This Row],[1]:[2]]))</f>
        <v>32</v>
      </c>
      <c r="AL64" s="640">
        <v>6</v>
      </c>
      <c r="AM64" s="452">
        <v>1</v>
      </c>
      <c r="AN64" s="458" t="str">
        <f>VLOOKUP(Table2[[#This Row],[Course Title]],'TSD-Data'!$A$1:$G$80,7,FALSE)</f>
        <v>N5</v>
      </c>
    </row>
    <row r="65" spans="2:40" s="428" customFormat="1" x14ac:dyDescent="0.25">
      <c r="B65" s="450"/>
      <c r="C65" s="684" t="s">
        <v>393</v>
      </c>
      <c r="D65" s="452" t="str">
        <f>VLOOKUP(Table2[[#This Row],[Course Title]],'TSD-Data'!$A$1:$E$80,2,FALSE)</f>
        <v>A-493-3011</v>
      </c>
      <c r="E65" s="452" t="str">
        <f>VLOOKUP(Table2[[#This Row],[Course Title]],'TSD-Data'!$A$1:$E$80,3,FALSE)</f>
        <v>31VD</v>
      </c>
      <c r="F65" s="450" t="s">
        <v>25</v>
      </c>
      <c r="G65" s="453">
        <v>45965</v>
      </c>
      <c r="H65" s="453">
        <v>45965</v>
      </c>
      <c r="I65" s="454" t="s">
        <v>163</v>
      </c>
      <c r="J65" s="455"/>
      <c r="K65" s="455">
        <v>0.75</v>
      </c>
      <c r="L65" s="420">
        <v>0.625</v>
      </c>
      <c r="M65" s="455">
        <v>8.3333333333333329E-2</v>
      </c>
      <c r="N65" s="455">
        <v>0</v>
      </c>
      <c r="O65" s="455">
        <v>0.54166666666666663</v>
      </c>
      <c r="P65" s="455">
        <v>0.33333333333333331</v>
      </c>
      <c r="Q65" s="456" t="s">
        <v>439</v>
      </c>
      <c r="R65" s="456"/>
      <c r="S65" s="456"/>
      <c r="T65" s="452">
        <f>VLOOKUP(Table2[[#This Row],[Course Title]],'TSD-Data'!$A$1:$E$80,4,FALSE)</f>
        <v>1000</v>
      </c>
      <c r="U65" s="452">
        <f>VLOOKUP(Table2[[#This Row],[Course Title]],'TSD-Data'!$A$1:$F$80,6,FALSE)</f>
        <v>2.5</v>
      </c>
      <c r="V65" s="457">
        <f>VLOOKUP(Table2[[#This Row],[Course Title]],'TSD-Data'!$A$1:$F$80,5,FALSE)</f>
        <v>0.3</v>
      </c>
      <c r="W65" s="457">
        <v>0</v>
      </c>
      <c r="X65" s="452">
        <f>Table2[[#This Row],[Quotas]]-Table2[[#This Row],[Open Quotas]]</f>
        <v>8</v>
      </c>
      <c r="Y65" s="452">
        <v>0</v>
      </c>
      <c r="Z65" s="457">
        <v>37</v>
      </c>
      <c r="AA65" s="457">
        <v>0</v>
      </c>
      <c r="AB65" s="452">
        <v>0</v>
      </c>
      <c r="AC65" s="452">
        <v>0</v>
      </c>
      <c r="AD65" s="452">
        <v>0</v>
      </c>
      <c r="AE65" s="452" t="s">
        <v>440</v>
      </c>
      <c r="AF65" s="457">
        <f ca="1">Table2[[#This Row],[End Date]]+2-TODAY()</f>
        <v>-40</v>
      </c>
      <c r="AG65" s="452">
        <f>IF(ISBLANK(Table2[[#This Row],[Roster Received by]]),1,0)</f>
        <v>0</v>
      </c>
      <c r="AH65" s="452">
        <f ca="1">IF(Table2[[#This Row],[Start Date]]&gt;TODAY(),1,)</f>
        <v>0</v>
      </c>
      <c r="AI65" s="452">
        <f>IF(ISBLANK(Table2[[#This Row],[Primary Instructor]]),0,1)</f>
        <v>1</v>
      </c>
      <c r="AJ65" s="452">
        <f>IF(ISBLANK(Table2[[#This Row],[Instructor 2]]),0,1)</f>
        <v>0</v>
      </c>
      <c r="AK65" s="452">
        <f>Table2[[#This Row],[Course Length (Hours)]]/(SUM(Table2[[#This Row],[1]:[2]]))</f>
        <v>2.5</v>
      </c>
      <c r="AL65" s="640">
        <v>992</v>
      </c>
      <c r="AM65" s="452">
        <v>1</v>
      </c>
      <c r="AN65" s="458" t="str">
        <f>VLOOKUP(Table2[[#This Row],[Course Title]],'TSD-Data'!$A$1:$G$80,7,FALSE)</f>
        <v>N8</v>
      </c>
    </row>
    <row r="66" spans="2:40" s="459" customFormat="1" x14ac:dyDescent="0.25">
      <c r="B66" s="450"/>
      <c r="C66" s="684" t="s">
        <v>394</v>
      </c>
      <c r="D66" s="452" t="str">
        <f>VLOOKUP(Table2[[#This Row],[Course Title]],'TSD-Data'!$A$1:$E$80,2,FALSE)</f>
        <v>A-493-3010</v>
      </c>
      <c r="E66" s="452" t="str">
        <f>VLOOKUP(Table2[[#This Row],[Course Title]],'TSD-Data'!$A$1:$E$80,3,FALSE)</f>
        <v>31VC</v>
      </c>
      <c r="F66" s="451" t="s">
        <v>25</v>
      </c>
      <c r="G66" s="453">
        <v>45965</v>
      </c>
      <c r="H66" s="453">
        <v>45965</v>
      </c>
      <c r="I66" s="454" t="s">
        <v>163</v>
      </c>
      <c r="J66" s="455"/>
      <c r="K66" s="455">
        <v>0.45833333333333331</v>
      </c>
      <c r="L66" s="420">
        <v>0.33333333333333331</v>
      </c>
      <c r="M66" s="455">
        <v>0.79166666666666663</v>
      </c>
      <c r="N66" s="455">
        <v>0.70833333333333337</v>
      </c>
      <c r="O66" s="455">
        <v>0.29166666666666669</v>
      </c>
      <c r="P66" s="455">
        <v>4.1666666666666664E-2</v>
      </c>
      <c r="Q66" s="456" t="s">
        <v>439</v>
      </c>
      <c r="R66" s="456"/>
      <c r="S66" s="456"/>
      <c r="T66" s="452">
        <f>VLOOKUP(Table2[[#This Row],[Course Title]],'TSD-Data'!$A$1:$E$80,4,FALSE)</f>
        <v>1000</v>
      </c>
      <c r="U66" s="452">
        <f>VLOOKUP(Table2[[#This Row],[Course Title]],'TSD-Data'!$A$1:$F$80,6,FALSE)</f>
        <v>3.5</v>
      </c>
      <c r="V66" s="457">
        <f>VLOOKUP(Table2[[#This Row],[Course Title]],'TSD-Data'!$A$1:$F$80,5,FALSE)</f>
        <v>0.4</v>
      </c>
      <c r="W66" s="457">
        <v>0</v>
      </c>
      <c r="X66" s="452">
        <f>Table2[[#This Row],[Quotas]]-Table2[[#This Row],[Open Quotas]]</f>
        <v>20</v>
      </c>
      <c r="Y66" s="452">
        <v>0</v>
      </c>
      <c r="Z66" s="457">
        <v>51</v>
      </c>
      <c r="AA66" s="457">
        <v>0</v>
      </c>
      <c r="AB66" s="452">
        <v>0</v>
      </c>
      <c r="AC66" s="452">
        <v>0</v>
      </c>
      <c r="AD66" s="452">
        <v>0</v>
      </c>
      <c r="AE66" s="452" t="s">
        <v>440</v>
      </c>
      <c r="AF66" s="457">
        <f ca="1">Table2[[#This Row],[End Date]]+2-TODAY()</f>
        <v>-40</v>
      </c>
      <c r="AG66" s="452">
        <f>IF(ISBLANK(Table2[[#This Row],[Roster Received by]]),1,0)</f>
        <v>0</v>
      </c>
      <c r="AH66" s="452">
        <f ca="1">IF(Table2[[#This Row],[Start Date]]&gt;TODAY(),1,)</f>
        <v>0</v>
      </c>
      <c r="AI66" s="452">
        <f>IF(ISBLANK(Table2[[#This Row],[Primary Instructor]]),0,1)</f>
        <v>1</v>
      </c>
      <c r="AJ66" s="452">
        <f>IF(ISBLANK(Table2[[#This Row],[Instructor 2]]),0,1)</f>
        <v>0</v>
      </c>
      <c r="AK66" s="452">
        <f>Table2[[#This Row],[Course Length (Hours)]]/(SUM(Table2[[#This Row],[1]:[2]]))</f>
        <v>3.5</v>
      </c>
      <c r="AL66" s="640">
        <v>980</v>
      </c>
      <c r="AM66" s="452">
        <v>1</v>
      </c>
      <c r="AN66" s="458" t="str">
        <f>VLOOKUP(Table2[[#This Row],[Course Title]],'TSD-Data'!$A$1:$G$80,7,FALSE)</f>
        <v>N8</v>
      </c>
    </row>
    <row r="67" spans="2:40" s="459" customFormat="1" x14ac:dyDescent="0.25">
      <c r="B67" s="450"/>
      <c r="C67" s="684" t="s">
        <v>390</v>
      </c>
      <c r="D67" s="458" t="str">
        <f>VLOOKUP(Table2[[#This Row],[Course Title]],'TSD-Data'!$A$1:$E$80,2,FALSE)</f>
        <v>A-493-3018</v>
      </c>
      <c r="E67" s="458" t="str">
        <f>VLOOKUP(Table2[[#This Row],[Course Title]],'TSD-Data'!$A$1:$E$80,3,FALSE)</f>
        <v>31YM</v>
      </c>
      <c r="F67" s="451" t="s">
        <v>25</v>
      </c>
      <c r="G67" s="453">
        <v>45966</v>
      </c>
      <c r="H67" s="453">
        <v>45966</v>
      </c>
      <c r="I67" s="454" t="s">
        <v>163</v>
      </c>
      <c r="J67" s="455"/>
      <c r="K67" s="455">
        <v>0.72916666666666663</v>
      </c>
      <c r="L67" s="420">
        <v>0.60416666666666663</v>
      </c>
      <c r="M67" s="455">
        <v>6.25E-2</v>
      </c>
      <c r="N67" s="455">
        <v>0.97916666666666663</v>
      </c>
      <c r="O67" s="455">
        <v>0.5625</v>
      </c>
      <c r="P67" s="455">
        <v>0.3125</v>
      </c>
      <c r="Q67" s="456" t="s">
        <v>439</v>
      </c>
      <c r="R67" s="456"/>
      <c r="S67" s="456"/>
      <c r="T67" s="452">
        <f>VLOOKUP(Table2[[#This Row],[Course Title]],'TSD-Data'!$A$1:$E$80,4,FALSE)</f>
        <v>1000</v>
      </c>
      <c r="U67" s="452">
        <f>VLOOKUP(Table2[[#This Row],[Course Title]],'TSD-Data'!$A$1:$F$80,6,FALSE)</f>
        <v>2.5</v>
      </c>
      <c r="V67" s="457">
        <f>VLOOKUP(Table2[[#This Row],[Course Title]],'TSD-Data'!$A$1:$F$80,5,FALSE)</f>
        <v>0.3</v>
      </c>
      <c r="W67" s="457"/>
      <c r="X67" s="452">
        <f>Table2[[#This Row],[Quotas]]-Table2[[#This Row],[Open Quotas]]</f>
        <v>1</v>
      </c>
      <c r="Y67" s="452">
        <v>0</v>
      </c>
      <c r="Z67" s="457">
        <v>29</v>
      </c>
      <c r="AA67" s="457">
        <v>0</v>
      </c>
      <c r="AB67" s="458">
        <v>0</v>
      </c>
      <c r="AC67" s="458">
        <v>0</v>
      </c>
      <c r="AD67" s="452">
        <v>0</v>
      </c>
      <c r="AE67" s="452" t="s">
        <v>440</v>
      </c>
      <c r="AF67" s="457">
        <f ca="1">Table2[[#This Row],[End Date]]+2-TODAY()</f>
        <v>-39</v>
      </c>
      <c r="AG67" s="452">
        <f>IF(ISBLANK(Table2[[#This Row],[Roster Received by]]),1,0)</f>
        <v>0</v>
      </c>
      <c r="AH67" s="452">
        <f ca="1">IF(Table2[[#This Row],[Start Date]]&gt;TODAY(),1,)</f>
        <v>0</v>
      </c>
      <c r="AI67" s="452">
        <f>IF(ISBLANK(Table2[[#This Row],[Primary Instructor]]),0,1)</f>
        <v>1</v>
      </c>
      <c r="AJ67" s="452">
        <f>IF(ISBLANK(Table2[[#This Row],[Instructor 2]]),0,1)</f>
        <v>0</v>
      </c>
      <c r="AK67" s="452">
        <f>Table2[[#This Row],[Course Length (Hours)]]/(SUM(Table2[[#This Row],[1]:[2]]))</f>
        <v>2.5</v>
      </c>
      <c r="AL67" s="644">
        <v>999</v>
      </c>
      <c r="AM67" s="452">
        <v>1</v>
      </c>
      <c r="AN67" s="458" t="str">
        <f>VLOOKUP(Table2[[#This Row],[Course Title]],'TSD-Data'!$A$1:$G$80,7,FALSE)</f>
        <v>N8</v>
      </c>
    </row>
    <row r="68" spans="2:40" s="459" customFormat="1" x14ac:dyDescent="0.25">
      <c r="B68" s="450"/>
      <c r="C68" s="684" t="s">
        <v>392</v>
      </c>
      <c r="D68" s="452" t="str">
        <f>VLOOKUP(Table2[[#This Row],[Course Title]],'TSD-Data'!$A$1:$E$80,2,FALSE)</f>
        <v>A-493-3004</v>
      </c>
      <c r="E68" s="452" t="str">
        <f>VLOOKUP(Table2[[#This Row],[Course Title]],'TSD-Data'!$A$1:$E$80,3,FALSE)</f>
        <v>31V6</v>
      </c>
      <c r="F68" s="451" t="s">
        <v>25</v>
      </c>
      <c r="G68" s="453">
        <v>45966</v>
      </c>
      <c r="H68" s="453">
        <v>45966</v>
      </c>
      <c r="I68" s="454" t="s">
        <v>163</v>
      </c>
      <c r="J68" s="455"/>
      <c r="K68" s="460">
        <v>0.64583333333333337</v>
      </c>
      <c r="L68" s="688">
        <v>0.52083333333333337</v>
      </c>
      <c r="M68" s="420">
        <v>0.97916666666666663</v>
      </c>
      <c r="N68" s="420">
        <v>0.89583333333333337</v>
      </c>
      <c r="O68" s="420">
        <v>0.4375</v>
      </c>
      <c r="P68" s="420">
        <v>0.22916666666666666</v>
      </c>
      <c r="Q68" s="456" t="s">
        <v>439</v>
      </c>
      <c r="R68" s="456"/>
      <c r="S68" s="456"/>
      <c r="T68" s="452">
        <f>VLOOKUP(Table2[[#This Row],[Course Title]],'TSD-Data'!$A$1:$E$80,4,FALSE)</f>
        <v>1000</v>
      </c>
      <c r="U68" s="452">
        <f>VLOOKUP(Table2[[#This Row],[Course Title]],'TSD-Data'!$A$1:$F$80,6,FALSE)</f>
        <v>1.5</v>
      </c>
      <c r="V68" s="457">
        <f>VLOOKUP(Table2[[#This Row],[Course Title]],'TSD-Data'!$A$1:$F$80,5,FALSE)</f>
        <v>0.2</v>
      </c>
      <c r="W68" s="457">
        <v>0</v>
      </c>
      <c r="X68" s="452">
        <f>Table2[[#This Row],[Quotas]]-Table2[[#This Row],[Open Quotas]]</f>
        <v>6</v>
      </c>
      <c r="Y68" s="452">
        <v>0</v>
      </c>
      <c r="Z68" s="457">
        <v>36</v>
      </c>
      <c r="AA68" s="457">
        <v>0</v>
      </c>
      <c r="AB68" s="452">
        <v>0</v>
      </c>
      <c r="AC68" s="452">
        <v>0</v>
      </c>
      <c r="AD68" s="452">
        <v>0</v>
      </c>
      <c r="AE68" s="452" t="s">
        <v>440</v>
      </c>
      <c r="AF68" s="457">
        <f ca="1">Table2[[#This Row],[End Date]]+2-TODAY()</f>
        <v>-39</v>
      </c>
      <c r="AG68" s="452">
        <f>IF(ISBLANK(Table2[[#This Row],[Roster Received by]]),1,0)</f>
        <v>0</v>
      </c>
      <c r="AH68" s="452">
        <f ca="1">IF(Table2[[#This Row],[Start Date]]&gt;TODAY(),1,)</f>
        <v>0</v>
      </c>
      <c r="AI68" s="452">
        <f>IF(ISBLANK(Table2[[#This Row],[Primary Instructor]]),0,1)</f>
        <v>1</v>
      </c>
      <c r="AJ68" s="452">
        <f>IF(ISBLANK(Table2[[#This Row],[Instructor 2]]),0,1)</f>
        <v>0</v>
      </c>
      <c r="AK68" s="452">
        <f>Table2[[#This Row],[Course Length (Hours)]]/(SUM(Table2[[#This Row],[1]:[2]]))</f>
        <v>1.5</v>
      </c>
      <c r="AL68" s="640">
        <v>994</v>
      </c>
      <c r="AM68" s="452">
        <v>1</v>
      </c>
      <c r="AN68" s="458" t="str">
        <f>VLOOKUP(Table2[[#This Row],[Course Title]],'TSD-Data'!$A$1:$G$80,7,FALSE)</f>
        <v>N8</v>
      </c>
    </row>
    <row r="69" spans="2:40" s="459" customFormat="1" x14ac:dyDescent="0.25">
      <c r="B69" s="451"/>
      <c r="C69" s="684" t="s">
        <v>403</v>
      </c>
      <c r="D69" s="458" t="str">
        <f>VLOOKUP(Table2[[#This Row],[Course Title]],'TSD-Data'!$A$1:$E$80,2,FALSE)</f>
        <v>A-493-3001</v>
      </c>
      <c r="E69" s="458" t="str">
        <f>VLOOKUP(Table2[[#This Row],[Course Title]],'TSD-Data'!$A$1:$E$80,3,FALSE)</f>
        <v>31V3</v>
      </c>
      <c r="F69" s="450" t="s">
        <v>25</v>
      </c>
      <c r="G69" s="453">
        <v>45966</v>
      </c>
      <c r="H69" s="453">
        <v>45966</v>
      </c>
      <c r="I69" s="454" t="s">
        <v>163</v>
      </c>
      <c r="J69" s="455"/>
      <c r="K69" s="455">
        <v>0.45833333333333331</v>
      </c>
      <c r="L69" s="420">
        <v>0.33333333333333331</v>
      </c>
      <c r="M69" s="455">
        <v>0.79166666666666663</v>
      </c>
      <c r="N69" s="455">
        <v>0.70833333333333337</v>
      </c>
      <c r="O69" s="455">
        <v>0.29166666666666669</v>
      </c>
      <c r="P69" s="455">
        <v>4.1666666666666664E-2</v>
      </c>
      <c r="Q69" s="456" t="s">
        <v>439</v>
      </c>
      <c r="R69" s="456"/>
      <c r="S69" s="456"/>
      <c r="T69" s="452">
        <f>VLOOKUP(Table2[[#This Row],[Course Title]],'TSD-Data'!$A$1:$E$80,4,FALSE)</f>
        <v>1000</v>
      </c>
      <c r="U69" s="452">
        <f>VLOOKUP(Table2[[#This Row],[Course Title]],'TSD-Data'!$A$1:$F$80,6,FALSE)</f>
        <v>2</v>
      </c>
      <c r="V69" s="457">
        <f>VLOOKUP(Table2[[#This Row],[Course Title]],'TSD-Data'!$A$1:$F$80,5,FALSE)</f>
        <v>0.25</v>
      </c>
      <c r="W69" s="457"/>
      <c r="X69" s="452">
        <f>Table2[[#This Row],[Quotas]]-Table2[[#This Row],[Open Quotas]]</f>
        <v>12</v>
      </c>
      <c r="Y69" s="452">
        <v>0</v>
      </c>
      <c r="Z69" s="457">
        <v>35</v>
      </c>
      <c r="AA69" s="457">
        <v>0</v>
      </c>
      <c r="AB69" s="458">
        <v>0</v>
      </c>
      <c r="AC69" s="458">
        <v>0</v>
      </c>
      <c r="AD69" s="452">
        <v>0</v>
      </c>
      <c r="AE69" s="452" t="s">
        <v>440</v>
      </c>
      <c r="AF69" s="457">
        <f ca="1">Table2[[#This Row],[End Date]]+2-TODAY()</f>
        <v>-39</v>
      </c>
      <c r="AG69" s="452">
        <f>IF(ISBLANK(Table2[[#This Row],[Roster Received by]]),1,0)</f>
        <v>0</v>
      </c>
      <c r="AH69" s="452">
        <f ca="1">IF(Table2[[#This Row],[Start Date]]&gt;TODAY(),1,)</f>
        <v>0</v>
      </c>
      <c r="AI69" s="452">
        <f>IF(ISBLANK(Table2[[#This Row],[Primary Instructor]]),0,1)</f>
        <v>1</v>
      </c>
      <c r="AJ69" s="452">
        <f>IF(ISBLANK(Table2[[#This Row],[Instructor 2]]),0,1)</f>
        <v>0</v>
      </c>
      <c r="AK69" s="452">
        <f>Table2[[#This Row],[Course Length (Hours)]]/(SUM(Table2[[#This Row],[1]:[2]]))</f>
        <v>2</v>
      </c>
      <c r="AL69" s="644">
        <v>988</v>
      </c>
      <c r="AM69" s="452">
        <v>1</v>
      </c>
      <c r="AN69" s="458" t="str">
        <f>VLOOKUP(Table2[[#This Row],[Course Title]],'TSD-Data'!$A$1:$G$80,7,FALSE)</f>
        <v>N8</v>
      </c>
    </row>
    <row r="70" spans="2:40" s="459" customFormat="1" x14ac:dyDescent="0.25">
      <c r="B70" s="451"/>
      <c r="C70" s="684" t="s">
        <v>397</v>
      </c>
      <c r="D70" s="458" t="str">
        <f>VLOOKUP(Table2[[#This Row],[Course Title]],'TSD-Data'!$A$1:$E$80,2,FALSE)</f>
        <v>A-493-3013</v>
      </c>
      <c r="E70" s="458" t="str">
        <f>VLOOKUP(Table2[[#This Row],[Course Title]],'TSD-Data'!$A$1:$E$80,3,FALSE)</f>
        <v>31YG</v>
      </c>
      <c r="F70" s="450" t="s">
        <v>25</v>
      </c>
      <c r="G70" s="453">
        <v>45967</v>
      </c>
      <c r="H70" s="453">
        <v>45967</v>
      </c>
      <c r="I70" s="454" t="s">
        <v>163</v>
      </c>
      <c r="J70" s="455"/>
      <c r="K70" s="455">
        <v>0.5625</v>
      </c>
      <c r="L70" s="420">
        <v>0.4375</v>
      </c>
      <c r="M70" s="455">
        <v>0.89583333333333337</v>
      </c>
      <c r="N70" s="455">
        <v>0.8125</v>
      </c>
      <c r="O70" s="455">
        <v>0.35416666666666669</v>
      </c>
      <c r="P70" s="455">
        <v>0.14583333333333334</v>
      </c>
      <c r="Q70" s="456" t="s">
        <v>439</v>
      </c>
      <c r="R70" s="456"/>
      <c r="S70" s="456"/>
      <c r="T70" s="452">
        <f>VLOOKUP(Table2[[#This Row],[Course Title]],'TSD-Data'!$A$1:$E$80,4,FALSE)</f>
        <v>1000</v>
      </c>
      <c r="U70" s="452">
        <f>VLOOKUP(Table2[[#This Row],[Course Title]],'TSD-Data'!$A$1:$F$80,6,FALSE)</f>
        <v>1</v>
      </c>
      <c r="V70" s="457">
        <f>VLOOKUP(Table2[[#This Row],[Course Title]],'TSD-Data'!$A$1:$F$80,5,FALSE)</f>
        <v>0.1</v>
      </c>
      <c r="W70" s="457"/>
      <c r="X70" s="452">
        <f>Table2[[#This Row],[Quotas]]-Table2[[#This Row],[Open Quotas]]</f>
        <v>1</v>
      </c>
      <c r="Y70" s="452">
        <v>0</v>
      </c>
      <c r="Z70" s="457">
        <v>39</v>
      </c>
      <c r="AA70" s="457">
        <v>0</v>
      </c>
      <c r="AB70" s="458">
        <v>0</v>
      </c>
      <c r="AC70" s="458">
        <v>0</v>
      </c>
      <c r="AD70" s="452">
        <v>0</v>
      </c>
      <c r="AE70" s="452" t="s">
        <v>440</v>
      </c>
      <c r="AF70" s="457">
        <f ca="1">Table2[[#This Row],[End Date]]+2-TODAY()</f>
        <v>-38</v>
      </c>
      <c r="AG70" s="452">
        <f>IF(ISBLANK(Table2[[#This Row],[Roster Received by]]),1,0)</f>
        <v>0</v>
      </c>
      <c r="AH70" s="452">
        <f ca="1">IF(Table2[[#This Row],[Start Date]]&gt;TODAY(),1,)</f>
        <v>0</v>
      </c>
      <c r="AI70" s="452">
        <f>IF(ISBLANK(Table2[[#This Row],[Primary Instructor]]),0,1)</f>
        <v>1</v>
      </c>
      <c r="AJ70" s="452">
        <f>IF(ISBLANK(Table2[[#This Row],[Instructor 2]]),0,1)</f>
        <v>0</v>
      </c>
      <c r="AK70" s="452">
        <f>Table2[[#This Row],[Course Length (Hours)]]/(SUM(Table2[[#This Row],[1]:[2]]))</f>
        <v>1</v>
      </c>
      <c r="AL70" s="644">
        <v>999</v>
      </c>
      <c r="AM70" s="452">
        <v>1</v>
      </c>
      <c r="AN70" s="458" t="str">
        <f>VLOOKUP(Table2[[#This Row],[Course Title]],'TSD-Data'!$A$1:$G$80,7,FALSE)</f>
        <v>N8</v>
      </c>
    </row>
    <row r="71" spans="2:40" s="459" customFormat="1" x14ac:dyDescent="0.25">
      <c r="B71" s="450"/>
      <c r="C71" s="684" t="s">
        <v>398</v>
      </c>
      <c r="D71" s="458" t="str">
        <f>VLOOKUP(Table2[[#This Row],[Course Title]],'TSD-Data'!$A$1:$E$80,2,FALSE)</f>
        <v>A-493-3014</v>
      </c>
      <c r="E71" s="458" t="str">
        <f>VLOOKUP(Table2[[#This Row],[Course Title]],'TSD-Data'!$A$1:$E$80,3,FALSE)</f>
        <v>31Yh</v>
      </c>
      <c r="F71" s="450" t="s">
        <v>25</v>
      </c>
      <c r="G71" s="453">
        <v>45967</v>
      </c>
      <c r="H71" s="453">
        <v>45967</v>
      </c>
      <c r="I71" s="454" t="s">
        <v>163</v>
      </c>
      <c r="J71" s="455"/>
      <c r="K71" s="460">
        <v>0.64583333333333337</v>
      </c>
      <c r="L71" s="420">
        <v>0.52083333333333337</v>
      </c>
      <c r="M71" s="420">
        <v>0.97916666666666663</v>
      </c>
      <c r="N71" s="420">
        <v>0.89583333333333337</v>
      </c>
      <c r="O71" s="420">
        <v>0.4375</v>
      </c>
      <c r="P71" s="420">
        <v>0.22916666666666666</v>
      </c>
      <c r="Q71" s="456" t="s">
        <v>439</v>
      </c>
      <c r="R71" s="456"/>
      <c r="S71" s="456"/>
      <c r="T71" s="452">
        <f>VLOOKUP(Table2[[#This Row],[Course Title]],'TSD-Data'!$A$1:$E$80,4,FALSE)</f>
        <v>1000</v>
      </c>
      <c r="U71" s="452">
        <f>VLOOKUP(Table2[[#This Row],[Course Title]],'TSD-Data'!$A$1:$F$80,6,FALSE)</f>
        <v>0.75</v>
      </c>
      <c r="V71" s="457">
        <f>VLOOKUP(Table2[[#This Row],[Course Title]],'TSD-Data'!$A$1:$F$80,5,FALSE)</f>
        <v>0.1</v>
      </c>
      <c r="W71" s="457"/>
      <c r="X71" s="452">
        <f>Table2[[#This Row],[Quotas]]-Table2[[#This Row],[Open Quotas]]</f>
        <v>1</v>
      </c>
      <c r="Y71" s="452">
        <v>0</v>
      </c>
      <c r="Z71" s="457">
        <v>33</v>
      </c>
      <c r="AA71" s="457">
        <v>0</v>
      </c>
      <c r="AB71" s="458">
        <v>0</v>
      </c>
      <c r="AC71" s="458">
        <v>0</v>
      </c>
      <c r="AD71" s="452">
        <v>0</v>
      </c>
      <c r="AE71" s="452" t="s">
        <v>440</v>
      </c>
      <c r="AF71" s="457">
        <f ca="1">Table2[[#This Row],[End Date]]+2-TODAY()</f>
        <v>-38</v>
      </c>
      <c r="AG71" s="452">
        <f>IF(ISBLANK(Table2[[#This Row],[Roster Received by]]),1,0)</f>
        <v>0</v>
      </c>
      <c r="AH71" s="452">
        <f ca="1">IF(Table2[[#This Row],[Start Date]]&gt;TODAY(),1,)</f>
        <v>0</v>
      </c>
      <c r="AI71" s="452">
        <f>IF(ISBLANK(Table2[[#This Row],[Primary Instructor]]),0,1)</f>
        <v>1</v>
      </c>
      <c r="AJ71" s="452">
        <f>IF(ISBLANK(Table2[[#This Row],[Instructor 2]]),0,1)</f>
        <v>0</v>
      </c>
      <c r="AK71" s="452">
        <f>Table2[[#This Row],[Course Length (Hours)]]/(SUM(Table2[[#This Row],[1]:[2]]))</f>
        <v>0.75</v>
      </c>
      <c r="AL71" s="644">
        <v>999</v>
      </c>
      <c r="AM71" s="452">
        <v>1</v>
      </c>
      <c r="AN71" s="458" t="str">
        <f>VLOOKUP(Table2[[#This Row],[Course Title]],'TSD-Data'!$A$1:$G$80,7,FALSE)</f>
        <v>N8</v>
      </c>
    </row>
    <row r="72" spans="2:40" s="459" customFormat="1" x14ac:dyDescent="0.25">
      <c r="B72" s="450"/>
      <c r="C72" s="684" t="s">
        <v>399</v>
      </c>
      <c r="D72" s="458" t="str">
        <f>VLOOKUP(Table2[[#This Row],[Course Title]],'TSD-Data'!$A$1:$E$80,2,FALSE)</f>
        <v>A-493-3015</v>
      </c>
      <c r="E72" s="458" t="str">
        <f>VLOOKUP(Table2[[#This Row],[Course Title]],'TSD-Data'!$A$1:$E$80,3,FALSE)</f>
        <v>31YJ</v>
      </c>
      <c r="F72" s="450" t="s">
        <v>25</v>
      </c>
      <c r="G72" s="453">
        <v>45967</v>
      </c>
      <c r="H72" s="453">
        <v>45967</v>
      </c>
      <c r="I72" s="454" t="s">
        <v>163</v>
      </c>
      <c r="J72" s="455"/>
      <c r="K72" s="455">
        <v>0.45833333333333331</v>
      </c>
      <c r="L72" s="420">
        <v>0.33333333333333331</v>
      </c>
      <c r="M72" s="455">
        <v>0.79166666666666663</v>
      </c>
      <c r="N72" s="455">
        <v>0.70833333333333337</v>
      </c>
      <c r="O72" s="455">
        <v>0.25</v>
      </c>
      <c r="P72" s="455">
        <v>4.1666666666666664E-2</v>
      </c>
      <c r="Q72" s="456" t="s">
        <v>439</v>
      </c>
      <c r="R72" s="456"/>
      <c r="S72" s="456"/>
      <c r="T72" s="452">
        <f>VLOOKUP(Table2[[#This Row],[Course Title]],'TSD-Data'!$A$1:$E$80,4,FALSE)</f>
        <v>1000</v>
      </c>
      <c r="U72" s="452">
        <f>VLOOKUP(Table2[[#This Row],[Course Title]],'TSD-Data'!$A$1:$F$80,6,FALSE)</f>
        <v>1</v>
      </c>
      <c r="V72" s="457">
        <f>VLOOKUP(Table2[[#This Row],[Course Title]],'TSD-Data'!$A$1:$F$80,5,FALSE)</f>
        <v>0.1</v>
      </c>
      <c r="W72" s="457"/>
      <c r="X72" s="452">
        <f>Table2[[#This Row],[Quotas]]-Table2[[#This Row],[Open Quotas]]</f>
        <v>1</v>
      </c>
      <c r="Y72" s="452">
        <v>0</v>
      </c>
      <c r="Z72" s="457">
        <v>38</v>
      </c>
      <c r="AA72" s="457">
        <v>0</v>
      </c>
      <c r="AB72" s="458">
        <v>0</v>
      </c>
      <c r="AC72" s="458">
        <v>0</v>
      </c>
      <c r="AD72" s="452">
        <v>0</v>
      </c>
      <c r="AE72" s="452" t="s">
        <v>440</v>
      </c>
      <c r="AF72" s="457">
        <f ca="1">Table2[[#This Row],[End Date]]+2-TODAY()</f>
        <v>-38</v>
      </c>
      <c r="AG72" s="452">
        <f>IF(ISBLANK(Table2[[#This Row],[Roster Received by]]),1,0)</f>
        <v>0</v>
      </c>
      <c r="AH72" s="452">
        <f ca="1">IF(Table2[[#This Row],[Start Date]]&gt;TODAY(),1,)</f>
        <v>0</v>
      </c>
      <c r="AI72" s="452">
        <f>IF(ISBLANK(Table2[[#This Row],[Primary Instructor]]),0,1)</f>
        <v>1</v>
      </c>
      <c r="AJ72" s="452">
        <f>IF(ISBLANK(Table2[[#This Row],[Instructor 2]]),0,1)</f>
        <v>0</v>
      </c>
      <c r="AK72" s="452">
        <f>Table2[[#This Row],[Course Length (Hours)]]/(SUM(Table2[[#This Row],[1]:[2]]))</f>
        <v>1</v>
      </c>
      <c r="AL72" s="644">
        <v>999</v>
      </c>
      <c r="AM72" s="452">
        <v>1</v>
      </c>
      <c r="AN72" s="458" t="str">
        <f>VLOOKUP(Table2[[#This Row],[Course Title]],'TSD-Data'!$A$1:$G$80,7,FALSE)</f>
        <v>N8</v>
      </c>
    </row>
    <row r="73" spans="2:40" s="459" customFormat="1" x14ac:dyDescent="0.25">
      <c r="B73" s="450"/>
      <c r="C73" s="684" t="s">
        <v>400</v>
      </c>
      <c r="D73" s="458" t="str">
        <f>VLOOKUP(Table2[[#This Row],[Course Title]],'TSD-Data'!$A$1:$E$80,2,FALSE)</f>
        <v>A-493-3016</v>
      </c>
      <c r="E73" s="458" t="str">
        <f>VLOOKUP(Table2[[#This Row],[Course Title]],'TSD-Data'!$A$1:$E$80,3,FALSE)</f>
        <v>31Yk</v>
      </c>
      <c r="F73" s="450" t="s">
        <v>25</v>
      </c>
      <c r="G73" s="453">
        <v>45967</v>
      </c>
      <c r="H73" s="453">
        <v>45967</v>
      </c>
      <c r="I73" s="454" t="s">
        <v>163</v>
      </c>
      <c r="J73" s="455"/>
      <c r="K73" s="460">
        <v>0.6875</v>
      </c>
      <c r="L73" s="420">
        <v>0.5625</v>
      </c>
      <c r="M73" s="420">
        <v>2.0833333333333332E-2</v>
      </c>
      <c r="N73" s="420">
        <v>0.9375</v>
      </c>
      <c r="O73" s="420">
        <v>0.47916666666666669</v>
      </c>
      <c r="P73" s="420">
        <v>0.27083333333333331</v>
      </c>
      <c r="Q73" s="456" t="s">
        <v>439</v>
      </c>
      <c r="R73" s="456"/>
      <c r="S73" s="456"/>
      <c r="T73" s="452">
        <f>VLOOKUP(Table2[[#This Row],[Course Title]],'TSD-Data'!$A$1:$E$80,4,FALSE)</f>
        <v>1000</v>
      </c>
      <c r="U73" s="452">
        <f>VLOOKUP(Table2[[#This Row],[Course Title]],'TSD-Data'!$A$1:$F$80,6,FALSE)</f>
        <v>1</v>
      </c>
      <c r="V73" s="457">
        <f>VLOOKUP(Table2[[#This Row],[Course Title]],'TSD-Data'!$A$1:$F$80,5,FALSE)</f>
        <v>0.1</v>
      </c>
      <c r="W73" s="457"/>
      <c r="X73" s="452">
        <f>Table2[[#This Row],[Quotas]]-Table2[[#This Row],[Open Quotas]]</f>
        <v>1</v>
      </c>
      <c r="Y73" s="452">
        <v>0</v>
      </c>
      <c r="Z73" s="457">
        <v>45</v>
      </c>
      <c r="AA73" s="457">
        <v>0</v>
      </c>
      <c r="AB73" s="458">
        <v>0</v>
      </c>
      <c r="AC73" s="458">
        <v>0</v>
      </c>
      <c r="AD73" s="452">
        <v>0</v>
      </c>
      <c r="AE73" s="452" t="s">
        <v>440</v>
      </c>
      <c r="AF73" s="457">
        <f ca="1">Table2[[#This Row],[End Date]]+2-TODAY()</f>
        <v>-38</v>
      </c>
      <c r="AG73" s="452">
        <f>IF(ISBLANK(Table2[[#This Row],[Roster Received by]]),1,0)</f>
        <v>0</v>
      </c>
      <c r="AH73" s="452">
        <f ca="1">IF(Table2[[#This Row],[Start Date]]&gt;TODAY(),1,)</f>
        <v>0</v>
      </c>
      <c r="AI73" s="452">
        <f>IF(ISBLANK(Table2[[#This Row],[Primary Instructor]]),0,1)</f>
        <v>1</v>
      </c>
      <c r="AJ73" s="452">
        <f>IF(ISBLANK(Table2[[#This Row],[Instructor 2]]),0,1)</f>
        <v>0</v>
      </c>
      <c r="AK73" s="452">
        <f>Table2[[#This Row],[Course Length (Hours)]]/(SUM(Table2[[#This Row],[1]:[2]]))</f>
        <v>1</v>
      </c>
      <c r="AL73" s="644">
        <v>999</v>
      </c>
      <c r="AM73" s="452">
        <v>1</v>
      </c>
      <c r="AN73" s="458" t="str">
        <f>VLOOKUP(Table2[[#This Row],[Course Title]],'TSD-Data'!$A$1:$G$80,7,FALSE)</f>
        <v>N8</v>
      </c>
    </row>
    <row r="74" spans="2:40" s="459" customFormat="1" x14ac:dyDescent="0.25">
      <c r="B74" s="450"/>
      <c r="C74" s="684" t="s">
        <v>405</v>
      </c>
      <c r="D74" s="458" t="str">
        <f>VLOOKUP(Table2[[#This Row],[Course Title]],'TSD-Data'!$A$1:$E$80,2,FALSE)</f>
        <v>A-493-3012</v>
      </c>
      <c r="E74" s="458" t="str">
        <f>VLOOKUP(Table2[[#This Row],[Course Title]],'TSD-Data'!$A$1:$E$80,3,FALSE)</f>
        <v>31YF</v>
      </c>
      <c r="F74" s="451" t="s">
        <v>25</v>
      </c>
      <c r="G74" s="453">
        <v>45967</v>
      </c>
      <c r="H74" s="453">
        <v>45967</v>
      </c>
      <c r="I74" s="454" t="s">
        <v>163</v>
      </c>
      <c r="J74" s="455"/>
      <c r="K74" s="455">
        <v>0.75</v>
      </c>
      <c r="L74" s="688">
        <v>0.625</v>
      </c>
      <c r="M74" s="455">
        <v>8.3333333333333329E-2</v>
      </c>
      <c r="N74" s="455">
        <v>0</v>
      </c>
      <c r="O74" s="455">
        <v>0.54166666666666663</v>
      </c>
      <c r="P74" s="455">
        <v>0.33333333333333331</v>
      </c>
      <c r="Q74" s="456" t="s">
        <v>439</v>
      </c>
      <c r="R74" s="456"/>
      <c r="S74" s="456"/>
      <c r="T74" s="452">
        <f>VLOOKUP(Table2[[#This Row],[Course Title]],'TSD-Data'!$A$1:$E$80,4,FALSE)</f>
        <v>1000</v>
      </c>
      <c r="U74" s="452">
        <f>VLOOKUP(Table2[[#This Row],[Course Title]],'TSD-Data'!$A$1:$F$80,6,FALSE)</f>
        <v>1</v>
      </c>
      <c r="V74" s="457">
        <f>VLOOKUP(Table2[[#This Row],[Course Title]],'TSD-Data'!$A$1:$F$80,5,FALSE)</f>
        <v>0.1</v>
      </c>
      <c r="W74" s="457"/>
      <c r="X74" s="452">
        <f>Table2[[#This Row],[Quotas]]-Table2[[#This Row],[Open Quotas]]</f>
        <v>1</v>
      </c>
      <c r="Y74" s="452">
        <v>0</v>
      </c>
      <c r="Z74" s="457">
        <v>26</v>
      </c>
      <c r="AA74" s="457">
        <v>0</v>
      </c>
      <c r="AB74" s="458">
        <v>0</v>
      </c>
      <c r="AC74" s="458">
        <v>0</v>
      </c>
      <c r="AD74" s="452">
        <v>0</v>
      </c>
      <c r="AE74" s="452" t="s">
        <v>440</v>
      </c>
      <c r="AF74" s="457">
        <f ca="1">Table2[[#This Row],[End Date]]+2-TODAY()</f>
        <v>-38</v>
      </c>
      <c r="AG74" s="452">
        <f>IF(ISBLANK(Table2[[#This Row],[Roster Received by]]),1,0)</f>
        <v>0</v>
      </c>
      <c r="AH74" s="452">
        <f ca="1">IF(Table2[[#This Row],[Start Date]]&gt;TODAY(),1,)</f>
        <v>0</v>
      </c>
      <c r="AI74" s="452">
        <f>IF(ISBLANK(Table2[[#This Row],[Primary Instructor]]),0,1)</f>
        <v>1</v>
      </c>
      <c r="AJ74" s="452">
        <f>IF(ISBLANK(Table2[[#This Row],[Instructor 2]]),0,1)</f>
        <v>0</v>
      </c>
      <c r="AK74" s="452">
        <f>Table2[[#This Row],[Course Length (Hours)]]/(SUM(Table2[[#This Row],[1]:[2]]))</f>
        <v>1</v>
      </c>
      <c r="AL74" s="644">
        <v>999</v>
      </c>
      <c r="AM74" s="452">
        <v>1</v>
      </c>
      <c r="AN74" s="458" t="str">
        <f>VLOOKUP(Table2[[#This Row],[Course Title]],'TSD-Data'!$A$1:$G$80,7,FALSE)</f>
        <v>N8</v>
      </c>
    </row>
    <row r="75" spans="2:40" s="459" customFormat="1" x14ac:dyDescent="0.25">
      <c r="B75" s="451"/>
      <c r="C75" s="684" t="s">
        <v>391</v>
      </c>
      <c r="D75" s="452" t="str">
        <f>VLOOKUP(Table2[[#This Row],[Course Title]],'TSD-Data'!$A$1:$E$80,2,FALSE)</f>
        <v>A-493-3005</v>
      </c>
      <c r="E75" s="452" t="str">
        <f>VLOOKUP(Table2[[#This Row],[Course Title]],'TSD-Data'!$A$1:$E$80,3,FALSE)</f>
        <v>31V7</v>
      </c>
      <c r="F75" s="450" t="s">
        <v>25</v>
      </c>
      <c r="G75" s="453">
        <v>45968</v>
      </c>
      <c r="H75" s="453">
        <v>45968</v>
      </c>
      <c r="I75" s="454" t="s">
        <v>163</v>
      </c>
      <c r="J75" s="455"/>
      <c r="K75" s="455">
        <v>0.57291666666666663</v>
      </c>
      <c r="L75" s="420">
        <v>0.44791666666666669</v>
      </c>
      <c r="M75" s="455">
        <v>0.90625</v>
      </c>
      <c r="N75" s="455">
        <v>0.82291666666666663</v>
      </c>
      <c r="O75" s="455">
        <v>0.36458333333333331</v>
      </c>
      <c r="P75" s="455">
        <v>0.15625</v>
      </c>
      <c r="Q75" s="456" t="s">
        <v>439</v>
      </c>
      <c r="R75" s="456"/>
      <c r="S75" s="456"/>
      <c r="T75" s="452">
        <f>VLOOKUP(Table2[[#This Row],[Course Title]],'TSD-Data'!$A$1:$E$80,4,FALSE)</f>
        <v>1000</v>
      </c>
      <c r="U75" s="452">
        <f>VLOOKUP(Table2[[#This Row],[Course Title]],'TSD-Data'!$A$1:$F$80,6,FALSE)</f>
        <v>2</v>
      </c>
      <c r="V75" s="457">
        <f>VLOOKUP(Table2[[#This Row],[Course Title]],'TSD-Data'!$A$1:$F$80,5,FALSE)</f>
        <v>0.25</v>
      </c>
      <c r="W75" s="457">
        <v>0</v>
      </c>
      <c r="X75" s="452">
        <f>Table2[[#This Row],[Quotas]]-Table2[[#This Row],[Open Quotas]]</f>
        <v>6</v>
      </c>
      <c r="Y75" s="452">
        <v>0</v>
      </c>
      <c r="Z75" s="457">
        <v>26</v>
      </c>
      <c r="AA75" s="457">
        <v>0</v>
      </c>
      <c r="AB75" s="452">
        <v>0</v>
      </c>
      <c r="AC75" s="452">
        <v>0</v>
      </c>
      <c r="AD75" s="452">
        <v>0</v>
      </c>
      <c r="AE75" s="452" t="s">
        <v>440</v>
      </c>
      <c r="AF75" s="457">
        <f ca="1">Table2[[#This Row],[End Date]]+2-TODAY()</f>
        <v>-37</v>
      </c>
      <c r="AG75" s="452">
        <f>IF(ISBLANK(Table2[[#This Row],[Roster Received by]]),1,0)</f>
        <v>0</v>
      </c>
      <c r="AH75" s="452">
        <f ca="1">IF(Table2[[#This Row],[Start Date]]&gt;TODAY(),1,)</f>
        <v>0</v>
      </c>
      <c r="AI75" s="452">
        <f>IF(ISBLANK(Table2[[#This Row],[Primary Instructor]]),0,1)</f>
        <v>1</v>
      </c>
      <c r="AJ75" s="452">
        <f>IF(ISBLANK(Table2[[#This Row],[Instructor 2]]),0,1)</f>
        <v>0</v>
      </c>
      <c r="AK75" s="452">
        <f>Table2[[#This Row],[Course Length (Hours)]]/(SUM(Table2[[#This Row],[1]:[2]]))</f>
        <v>2</v>
      </c>
      <c r="AL75" s="640">
        <v>994</v>
      </c>
      <c r="AM75" s="452">
        <v>1</v>
      </c>
      <c r="AN75" s="458" t="str">
        <f>VLOOKUP(Table2[[#This Row],[Course Title]],'TSD-Data'!$A$1:$G$80,7,FALSE)</f>
        <v>N8</v>
      </c>
    </row>
    <row r="76" spans="2:40" s="459" customFormat="1" x14ac:dyDescent="0.25">
      <c r="B76" s="450"/>
      <c r="C76" s="684" t="s">
        <v>396</v>
      </c>
      <c r="D76" s="458" t="str">
        <f>VLOOKUP(Table2[[#This Row],[Course Title]],'TSD-Data'!$A$1:$E$80,2,FALSE)</f>
        <v>A-493-3017</v>
      </c>
      <c r="E76" s="458" t="str">
        <f>VLOOKUP(Table2[[#This Row],[Course Title]],'TSD-Data'!$A$1:$E$80,3,FALSE)</f>
        <v>31YL</v>
      </c>
      <c r="F76" s="450" t="s">
        <v>25</v>
      </c>
      <c r="G76" s="453">
        <v>45968</v>
      </c>
      <c r="H76" s="453">
        <v>45968</v>
      </c>
      <c r="I76" s="454" t="s">
        <v>163</v>
      </c>
      <c r="J76" s="455"/>
      <c r="K76" s="460">
        <v>0.64583333333333337</v>
      </c>
      <c r="L76" s="420">
        <v>0.52083333333333337</v>
      </c>
      <c r="M76" s="420">
        <v>0.97916666666666663</v>
      </c>
      <c r="N76" s="420">
        <v>0.89583333333333337</v>
      </c>
      <c r="O76" s="420">
        <v>0.4375</v>
      </c>
      <c r="P76" s="420">
        <v>0.22916666666666666</v>
      </c>
      <c r="Q76" s="456" t="s">
        <v>439</v>
      </c>
      <c r="R76" s="456"/>
      <c r="S76" s="456"/>
      <c r="T76" s="452">
        <f>VLOOKUP(Table2[[#This Row],[Course Title]],'TSD-Data'!$A$1:$E$80,4,FALSE)</f>
        <v>1000</v>
      </c>
      <c r="U76" s="458">
        <f>VLOOKUP(Table2[[#This Row],[Course Title]],'TSD-Data'!$A$1:$F$80,6,FALSE)</f>
        <v>2.5</v>
      </c>
      <c r="V76" s="457">
        <f>VLOOKUP(Table2[[#This Row],[Course Title]],'TSD-Data'!$A$1:$F$80,5,FALSE)</f>
        <v>0.3</v>
      </c>
      <c r="W76" s="457"/>
      <c r="X76" s="452">
        <f>Table2[[#This Row],[Quotas]]-Table2[[#This Row],[Open Quotas]]</f>
        <v>1</v>
      </c>
      <c r="Y76" s="452">
        <v>0</v>
      </c>
      <c r="Z76" s="457">
        <v>25</v>
      </c>
      <c r="AA76" s="457">
        <v>0</v>
      </c>
      <c r="AB76" s="458">
        <v>0</v>
      </c>
      <c r="AC76" s="458">
        <v>0</v>
      </c>
      <c r="AD76" s="452">
        <v>0</v>
      </c>
      <c r="AE76" s="452" t="s">
        <v>440</v>
      </c>
      <c r="AF76" s="457">
        <f ca="1">Table2[[#This Row],[End Date]]+2-TODAY()</f>
        <v>-37</v>
      </c>
      <c r="AG76" s="452">
        <f>IF(ISBLANK(Table2[[#This Row],[Roster Received by]]),1,0)</f>
        <v>0</v>
      </c>
      <c r="AH76" s="452">
        <f ca="1">IF(Table2[[#This Row],[Start Date]]&gt;TODAY(),1,)</f>
        <v>0</v>
      </c>
      <c r="AI76" s="452">
        <f>IF(ISBLANK(Table2[[#This Row],[Primary Instructor]]),0,1)</f>
        <v>1</v>
      </c>
      <c r="AJ76" s="452">
        <f>IF(ISBLANK(Table2[[#This Row],[Instructor 2]]),0,1)</f>
        <v>0</v>
      </c>
      <c r="AK76" s="452">
        <f>Table2[[#This Row],[Course Length (Hours)]]/(SUM(Table2[[#This Row],[1]:[2]]))</f>
        <v>2.5</v>
      </c>
      <c r="AL76" s="644">
        <v>999</v>
      </c>
      <c r="AM76" s="452">
        <v>1</v>
      </c>
      <c r="AN76" s="458" t="str">
        <f>VLOOKUP(Table2[[#This Row],[Course Title]],'TSD-Data'!$A$1:$G$80,7,FALSE)</f>
        <v>N8</v>
      </c>
    </row>
    <row r="77" spans="2:40" s="459" customFormat="1" x14ac:dyDescent="0.25">
      <c r="B77" s="450"/>
      <c r="C77" s="684" t="s">
        <v>402</v>
      </c>
      <c r="D77" s="458" t="str">
        <f>VLOOKUP(Table2[[#This Row],[Course Title]],'TSD-Data'!$A$1:$E$80,2,FALSE)</f>
        <v>A-493-3008</v>
      </c>
      <c r="E77" s="458" t="str">
        <f>VLOOKUP(Table2[[#This Row],[Course Title]],'TSD-Data'!$A$1:$E$80,3,FALSE)</f>
        <v>31VA</v>
      </c>
      <c r="F77" s="450" t="s">
        <v>25</v>
      </c>
      <c r="G77" s="453">
        <v>45968</v>
      </c>
      <c r="H77" s="453">
        <v>45968</v>
      </c>
      <c r="I77" s="454" t="s">
        <v>163</v>
      </c>
      <c r="J77" s="455"/>
      <c r="K77" s="455">
        <v>0.45833333333333331</v>
      </c>
      <c r="L77" s="420">
        <v>0.33333333333333331</v>
      </c>
      <c r="M77" s="455">
        <v>0.79166666666666663</v>
      </c>
      <c r="N77" s="455">
        <v>0.70833333333333337</v>
      </c>
      <c r="O77" s="455">
        <v>0.25</v>
      </c>
      <c r="P77" s="455">
        <v>4.1666666666666664E-2</v>
      </c>
      <c r="Q77" s="456" t="s">
        <v>439</v>
      </c>
      <c r="R77" s="456"/>
      <c r="S77" s="456"/>
      <c r="T77" s="452">
        <f>VLOOKUP(Table2[[#This Row],[Course Title]],'TSD-Data'!$A$1:$E$80,4,FALSE)</f>
        <v>1000</v>
      </c>
      <c r="U77" s="458">
        <f>VLOOKUP(Table2[[#This Row],[Course Title]],'TSD-Data'!$A$1:$F$80,6,FALSE)</f>
        <v>1</v>
      </c>
      <c r="V77" s="457">
        <f>VLOOKUP(Table2[[#This Row],[Course Title]],'TSD-Data'!$A$1:$F$80,5,FALSE)</f>
        <v>0.1</v>
      </c>
      <c r="W77" s="457"/>
      <c r="X77" s="452">
        <f>Table2[[#This Row],[Quotas]]-Table2[[#This Row],[Open Quotas]]</f>
        <v>6</v>
      </c>
      <c r="Y77" s="452">
        <v>0</v>
      </c>
      <c r="Z77" s="457">
        <v>35</v>
      </c>
      <c r="AA77" s="457">
        <v>0</v>
      </c>
      <c r="AB77" s="458">
        <v>0</v>
      </c>
      <c r="AC77" s="458">
        <v>0</v>
      </c>
      <c r="AD77" s="452">
        <v>0</v>
      </c>
      <c r="AE77" s="452" t="s">
        <v>440</v>
      </c>
      <c r="AF77" s="457">
        <f ca="1">Table2[[#This Row],[End Date]]+2-TODAY()</f>
        <v>-37</v>
      </c>
      <c r="AG77" s="452">
        <f>IF(ISBLANK(Table2[[#This Row],[Roster Received by]]),1,0)</f>
        <v>0</v>
      </c>
      <c r="AH77" s="452">
        <f ca="1">IF(Table2[[#This Row],[Start Date]]&gt;TODAY(),1,)</f>
        <v>0</v>
      </c>
      <c r="AI77" s="452">
        <f>IF(ISBLANK(Table2[[#This Row],[Primary Instructor]]),0,1)</f>
        <v>1</v>
      </c>
      <c r="AJ77" s="452">
        <f>IF(ISBLANK(Table2[[#This Row],[Instructor 2]]),0,1)</f>
        <v>0</v>
      </c>
      <c r="AK77" s="452">
        <f>Table2[[#This Row],[Course Length (Hours)]]/(SUM(Table2[[#This Row],[1]:[2]]))</f>
        <v>1</v>
      </c>
      <c r="AL77" s="644">
        <v>994</v>
      </c>
      <c r="AM77" s="452">
        <v>1</v>
      </c>
      <c r="AN77" s="458" t="str">
        <f>VLOOKUP(Table2[[#This Row],[Course Title]],'TSD-Data'!$A$1:$G$80,7,FALSE)</f>
        <v>N8</v>
      </c>
    </row>
    <row r="78" spans="2:40" s="459" customFormat="1" x14ac:dyDescent="0.25">
      <c r="B78" s="450"/>
      <c r="C78" s="684" t="s">
        <v>406</v>
      </c>
      <c r="D78" s="452" t="str">
        <f>VLOOKUP(Table2[[#This Row],[Course Title]],'TSD-Data'!$A$1:$E$80,2,FALSE)</f>
        <v>A-493-3009</v>
      </c>
      <c r="E78" s="452" t="str">
        <f>VLOOKUP(Table2[[#This Row],[Course Title]],'TSD-Data'!$A$1:$E$80,3,FALSE)</f>
        <v>31VB</v>
      </c>
      <c r="F78" s="451" t="s">
        <v>25</v>
      </c>
      <c r="G78" s="453">
        <v>45968</v>
      </c>
      <c r="H78" s="453">
        <v>45968</v>
      </c>
      <c r="I78" s="454" t="s">
        <v>163</v>
      </c>
      <c r="J78" s="455"/>
      <c r="K78" s="455">
        <v>0.52083333333333337</v>
      </c>
      <c r="L78" s="420">
        <v>0.39583333333333331</v>
      </c>
      <c r="M78" s="455">
        <v>0.85416666666666663</v>
      </c>
      <c r="N78" s="455">
        <v>0.77083333333333337</v>
      </c>
      <c r="O78" s="455">
        <v>0.3125</v>
      </c>
      <c r="P78" s="455">
        <v>0.10416666666666667</v>
      </c>
      <c r="Q78" s="456" t="s">
        <v>439</v>
      </c>
      <c r="R78" s="456"/>
      <c r="S78" s="456"/>
      <c r="T78" s="452">
        <f>VLOOKUP(Table2[[#This Row],[Course Title]],'TSD-Data'!$A$1:$E$80,4,FALSE)</f>
        <v>1000</v>
      </c>
      <c r="U78" s="452">
        <f>VLOOKUP(Table2[[#This Row],[Course Title]],'TSD-Data'!$A$1:$F$80,6,FALSE)</f>
        <v>1</v>
      </c>
      <c r="V78" s="457">
        <f>VLOOKUP(Table2[[#This Row],[Course Title]],'TSD-Data'!$A$1:$F$80,5,FALSE)</f>
        <v>0.1</v>
      </c>
      <c r="W78" s="457">
        <v>0</v>
      </c>
      <c r="X78" s="452">
        <f>Table2[[#This Row],[Quotas]]-Table2[[#This Row],[Open Quotas]]</f>
        <v>43</v>
      </c>
      <c r="Y78" s="452">
        <v>0</v>
      </c>
      <c r="Z78" s="457">
        <v>35</v>
      </c>
      <c r="AA78" s="457">
        <v>0</v>
      </c>
      <c r="AB78" s="452">
        <v>0</v>
      </c>
      <c r="AC78" s="452">
        <v>0</v>
      </c>
      <c r="AD78" s="452">
        <v>0</v>
      </c>
      <c r="AE78" s="452" t="s">
        <v>440</v>
      </c>
      <c r="AF78" s="457">
        <f ca="1">Table2[[#This Row],[End Date]]+2-TODAY()</f>
        <v>-37</v>
      </c>
      <c r="AG78" s="452">
        <f>IF(ISBLANK(Table2[[#This Row],[Roster Received by]]),1,0)</f>
        <v>0</v>
      </c>
      <c r="AH78" s="452">
        <f ca="1">IF(Table2[[#This Row],[Start Date]]&gt;TODAY(),1,)</f>
        <v>0</v>
      </c>
      <c r="AI78" s="452">
        <f>IF(ISBLANK(Table2[[#This Row],[Primary Instructor]]),0,1)</f>
        <v>1</v>
      </c>
      <c r="AJ78" s="452">
        <f>IF(ISBLANK(Table2[[#This Row],[Instructor 2]]),0,1)</f>
        <v>0</v>
      </c>
      <c r="AK78" s="452">
        <f>Table2[[#This Row],[Course Length (Hours)]]/(SUM(Table2[[#This Row],[1]:[2]]))</f>
        <v>1</v>
      </c>
      <c r="AL78" s="644">
        <v>957</v>
      </c>
      <c r="AM78" s="452">
        <v>1</v>
      </c>
      <c r="AN78" s="458" t="str">
        <f>VLOOKUP(Table2[[#This Row],[Course Title]],'TSD-Data'!$A$1:$G$80,7,FALSE)</f>
        <v>N8</v>
      </c>
    </row>
    <row r="79" spans="2:40" s="459" customFormat="1" x14ac:dyDescent="0.25">
      <c r="B79" s="649" t="s">
        <v>239</v>
      </c>
      <c r="C79" s="680" t="s">
        <v>238</v>
      </c>
      <c r="D79" s="452" t="str">
        <f>VLOOKUP(Table2[[#This Row],[Course Title]],'TSD-Data'!$A$1:$E$80,2,FALSE)</f>
        <v>Holiday</v>
      </c>
      <c r="E79" s="452" t="str">
        <f>VLOOKUP(Table2[[#This Row],[Course Title]],'TSD-Data'!$A$1:$E$80,3,FALSE)</f>
        <v>Holiday</v>
      </c>
      <c r="F79" s="445" t="s">
        <v>238</v>
      </c>
      <c r="G79" s="453">
        <v>45972</v>
      </c>
      <c r="H79" s="453">
        <v>45972</v>
      </c>
      <c r="I79" s="454" t="s">
        <v>433</v>
      </c>
      <c r="J79" s="650"/>
      <c r="K79" s="651"/>
      <c r="L79" s="651"/>
      <c r="M79" s="651"/>
      <c r="N79" s="651"/>
      <c r="O79" s="651"/>
      <c r="P79" s="651"/>
      <c r="Q79" s="445" t="s">
        <v>434</v>
      </c>
      <c r="R79" s="445"/>
      <c r="S79" s="445"/>
      <c r="T79" s="452">
        <f>VLOOKUP(Table2[[#This Row],[Course Title]],'TSD-Data'!$A$1:$E$80,4,FALSE)</f>
        <v>0</v>
      </c>
      <c r="U79" s="452">
        <f>VLOOKUP(Table2[[#This Row],[Course Title]],'TSD-Data'!$A$1:$F$80,6,FALSE)</f>
        <v>0</v>
      </c>
      <c r="V79" s="457">
        <f>VLOOKUP(Table2[[#This Row],[Course Title]],'TSD-Data'!$A$1:$F$80,5,FALSE)</f>
        <v>0</v>
      </c>
      <c r="W79" s="652">
        <v>0</v>
      </c>
      <c r="X79" s="452">
        <f>Table2[[#This Row],[Quotas]]-Table2[[#This Row],[Open Quotas]]</f>
        <v>0</v>
      </c>
      <c r="Y79" s="650">
        <v>0</v>
      </c>
      <c r="Z79" s="650">
        <v>0</v>
      </c>
      <c r="AA79" s="650">
        <v>0</v>
      </c>
      <c r="AB79" s="650">
        <v>0</v>
      </c>
      <c r="AC79" s="650">
        <v>0</v>
      </c>
      <c r="AD79" s="650">
        <v>0</v>
      </c>
      <c r="AE79" s="650" t="s">
        <v>435</v>
      </c>
      <c r="AF79" s="457">
        <f ca="1">Table2[[#This Row],[End Date]]+2-TODAY()</f>
        <v>-33</v>
      </c>
      <c r="AG79" s="452">
        <f>IF(ISBLANK(Table2[[#This Row],[Roster Received by]]),1,0)</f>
        <v>0</v>
      </c>
      <c r="AH79" s="452">
        <f ca="1">IF(Table2[[#This Row],[Start Date]]&gt;TODAY(),1,)</f>
        <v>0</v>
      </c>
      <c r="AI79" s="452">
        <f>IF(ISBLANK(Table2[[#This Row],[Primary Instructor]]),0,1)</f>
        <v>1</v>
      </c>
      <c r="AJ79" s="452">
        <f>IF(ISBLANK(Table2[[#This Row],[Instructor 2]]),0,1)</f>
        <v>0</v>
      </c>
      <c r="AK79" s="452">
        <f>Table2[[#This Row],[Course Length (Hours)]]/(SUM(Table2[[#This Row],[1]:[2]]))</f>
        <v>0</v>
      </c>
      <c r="AL79" s="653">
        <v>0</v>
      </c>
      <c r="AM79" s="452">
        <v>1</v>
      </c>
      <c r="AN79" s="458" t="str">
        <f>VLOOKUP(Table2[[#This Row],[Course Title]],'TSD-Data'!$A$1:$G$80,7,FALSE)</f>
        <v>TSD</v>
      </c>
    </row>
    <row r="80" spans="2:40" s="428" customFormat="1" x14ac:dyDescent="0.25">
      <c r="B80" s="450"/>
      <c r="C80" s="680" t="s">
        <v>94</v>
      </c>
      <c r="D80" s="645" t="str">
        <f>VLOOKUP(Table2[[#This Row],[Course Title]],'TSD-Data'!$A$1:$E$80,2,FALSE)</f>
        <v>A-493-0331</v>
      </c>
      <c r="E80" s="645" t="str">
        <f>VLOOKUP(Table2[[#This Row],[Course Title]],'TSD-Data'!$A$1:$E$80,3,FALSE)</f>
        <v>10UG</v>
      </c>
      <c r="F80" s="451" t="s">
        <v>25</v>
      </c>
      <c r="G80" s="453">
        <v>45973</v>
      </c>
      <c r="H80" s="453">
        <v>45975</v>
      </c>
      <c r="I80" s="454" t="s">
        <v>163</v>
      </c>
      <c r="J80" s="455"/>
      <c r="K80" s="643">
        <v>0.5</v>
      </c>
      <c r="L80" s="460">
        <v>0.375</v>
      </c>
      <c r="M80" s="643">
        <v>0.83333333333333337</v>
      </c>
      <c r="N80" s="643">
        <v>0.75</v>
      </c>
      <c r="O80" s="643">
        <v>0.29166666666666669</v>
      </c>
      <c r="P80" s="643">
        <v>8.3333333333333329E-2</v>
      </c>
      <c r="Q80" s="456" t="s">
        <v>436</v>
      </c>
      <c r="R80" s="456"/>
      <c r="S80" s="456"/>
      <c r="T80" s="657">
        <f>VLOOKUP(Table2[[#This Row],[Course Title]],'TSD-Data'!$A$1:$E$80,4,FALSE)</f>
        <v>45</v>
      </c>
      <c r="U80" s="452">
        <f>VLOOKUP(Table2[[#This Row],[Course Title]],'TSD-Data'!$A$1:$F$80,6,FALSE)</f>
        <v>24</v>
      </c>
      <c r="V80" s="457">
        <f>VLOOKUP(Table2[[#This Row],[Course Title]],'TSD-Data'!$A$1:$F$80,5,FALSE)</f>
        <v>3</v>
      </c>
      <c r="W80" s="457">
        <v>844</v>
      </c>
      <c r="X80" s="452">
        <f>Table2[[#This Row],[Quotas]]-Table2[[#This Row],[Open Quotas]]</f>
        <v>44</v>
      </c>
      <c r="Y80" s="452">
        <v>5</v>
      </c>
      <c r="Z80" s="457">
        <v>39</v>
      </c>
      <c r="AA80" s="457">
        <v>3</v>
      </c>
      <c r="AB80" s="452">
        <v>0</v>
      </c>
      <c r="AC80" s="452">
        <v>0</v>
      </c>
      <c r="AD80" s="452">
        <v>0</v>
      </c>
      <c r="AE80" s="452" t="s">
        <v>428</v>
      </c>
      <c r="AF80" s="457">
        <f ca="1">Table2[[#This Row],[End Date]]+2-TODAY()</f>
        <v>-30</v>
      </c>
      <c r="AG80" s="452">
        <f>IF(ISBLANK(Table2[[#This Row],[Roster Received by]]),1,0)</f>
        <v>0</v>
      </c>
      <c r="AH80" s="452">
        <f ca="1">IF(Table2[[#This Row],[Start Date]]&gt;TODAY(),1,)</f>
        <v>0</v>
      </c>
      <c r="AI80" s="452">
        <f>IF(ISBLANK(Table2[[#This Row],[Primary Instructor]]),0,1)</f>
        <v>1</v>
      </c>
      <c r="AJ80" s="452">
        <f>IF(ISBLANK(Table2[[#This Row],[Instructor 2]]),0,1)</f>
        <v>0</v>
      </c>
      <c r="AK80" s="452">
        <f>Table2[[#This Row],[Course Length (Hours)]]/(SUM(Table2[[#This Row],[1]:[2]]))</f>
        <v>24</v>
      </c>
      <c r="AL80" s="640">
        <v>1</v>
      </c>
      <c r="AM80" s="452">
        <v>1</v>
      </c>
      <c r="AN80" s="458" t="str">
        <f>VLOOKUP(Table2[[#This Row],[Course Title]],'TSD-Data'!$A$1:$G$80,7,FALSE)</f>
        <v>N3</v>
      </c>
    </row>
    <row r="81" spans="2:40" s="459" customFormat="1" ht="15" customHeight="1" x14ac:dyDescent="0.25">
      <c r="B81" s="450"/>
      <c r="C81" s="684" t="s">
        <v>44</v>
      </c>
      <c r="D81" s="452" t="str">
        <f>VLOOKUP(Table2[[#This Row],[Course Title]],'TSD-Data'!$A$1:$E$80,2,FALSE)</f>
        <v>A-493-0665</v>
      </c>
      <c r="E81" s="452" t="str">
        <f>VLOOKUP(Table2[[#This Row],[Course Title]],'TSD-Data'!$A$1:$E$80,3,FALSE)</f>
        <v>10KW</v>
      </c>
      <c r="F81" s="451" t="s">
        <v>25</v>
      </c>
      <c r="G81" s="453">
        <v>45978</v>
      </c>
      <c r="H81" s="453">
        <v>45980</v>
      </c>
      <c r="I81" s="454" t="s">
        <v>163</v>
      </c>
      <c r="J81" s="455"/>
      <c r="K81" s="420">
        <v>0.79166666666666663</v>
      </c>
      <c r="L81" s="460">
        <v>0.66666666666666663</v>
      </c>
      <c r="M81" s="460">
        <v>0.125</v>
      </c>
      <c r="N81" s="460">
        <v>4.1666666666666664E-2</v>
      </c>
      <c r="O81" s="460">
        <v>0.58333333333333337</v>
      </c>
      <c r="P81" s="460">
        <v>0.375</v>
      </c>
      <c r="Q81" s="456" t="s">
        <v>444</v>
      </c>
      <c r="R81" s="456"/>
      <c r="S81" s="456"/>
      <c r="T81" s="452">
        <f>VLOOKUP(Table2[[#This Row],[Course Title]],'TSD-Data'!$A$1:$E$80,4,FALSE)</f>
        <v>45</v>
      </c>
      <c r="U81" s="452">
        <f>VLOOKUP(Table2[[#This Row],[Course Title]],'TSD-Data'!$A$1:$F$80,6,FALSE)</f>
        <v>24</v>
      </c>
      <c r="V81" s="457">
        <f>VLOOKUP(Table2[[#This Row],[Course Title]],'TSD-Data'!$A$1:$F$80,5,FALSE)</f>
        <v>3</v>
      </c>
      <c r="W81" s="457">
        <v>82</v>
      </c>
      <c r="X81" s="452">
        <f>Table2[[#This Row],[Quotas]]-Table2[[#This Row],[Open Quotas]]</f>
        <v>20</v>
      </c>
      <c r="Y81" s="452">
        <v>0</v>
      </c>
      <c r="Z81" s="457">
        <v>20</v>
      </c>
      <c r="AA81" s="457">
        <v>0</v>
      </c>
      <c r="AB81" s="452">
        <v>1</v>
      </c>
      <c r="AC81" s="452">
        <v>0</v>
      </c>
      <c r="AD81" s="452">
        <v>0</v>
      </c>
      <c r="AE81" s="452" t="s">
        <v>440</v>
      </c>
      <c r="AF81" s="457">
        <f ca="1">Table2[[#This Row],[End Date]]+2-TODAY()</f>
        <v>-25</v>
      </c>
      <c r="AG81" s="452">
        <f>IF(ISBLANK(Table2[[#This Row],[Roster Received by]]),1,0)</f>
        <v>0</v>
      </c>
      <c r="AH81" s="452">
        <f ca="1">IF(Table2[[#This Row],[Start Date]]&gt;TODAY(),1,)</f>
        <v>0</v>
      </c>
      <c r="AI81" s="452">
        <f>IF(ISBLANK(Table2[[#This Row],[Primary Instructor]]),0,1)</f>
        <v>1</v>
      </c>
      <c r="AJ81" s="452">
        <f>IF(ISBLANK(Table2[[#This Row],[Instructor 2]]),0,1)</f>
        <v>0</v>
      </c>
      <c r="AK81" s="452">
        <f>Table2[[#This Row],[Course Length (Hours)]]/(SUM(Table2[[#This Row],[1]:[2]]))</f>
        <v>24</v>
      </c>
      <c r="AL81" s="640">
        <v>25</v>
      </c>
      <c r="AM81" s="452">
        <v>1</v>
      </c>
      <c r="AN81" s="458" t="str">
        <f>VLOOKUP(Table2[[#This Row],[Course Title]],'TSD-Data'!$A$1:$G$80,7,FALSE)</f>
        <v>N8</v>
      </c>
    </row>
    <row r="82" spans="2:40" s="459" customFormat="1" ht="15" customHeight="1" x14ac:dyDescent="0.25">
      <c r="B82" s="663"/>
      <c r="C82" s="702" t="s">
        <v>61</v>
      </c>
      <c r="D82" s="452" t="str">
        <f>VLOOKUP(Table2[[#This Row],[Course Title]],'TSD-Data'!$A$1:$E$80,2,FALSE)</f>
        <v>A-493-0012</v>
      </c>
      <c r="E82" s="452">
        <f>VLOOKUP(Table2[[#This Row],[Course Title]],'TSD-Data'!$A$1:$E$80,3,FALSE)</f>
        <v>3682</v>
      </c>
      <c r="F82" s="656" t="s">
        <v>291</v>
      </c>
      <c r="G82" s="453">
        <v>45978</v>
      </c>
      <c r="H82" s="453">
        <v>45982</v>
      </c>
      <c r="I82" s="454" t="s">
        <v>163</v>
      </c>
      <c r="J82" s="455">
        <v>0.33333333333333331</v>
      </c>
      <c r="K82" s="420"/>
      <c r="L82" s="453"/>
      <c r="M82" s="453"/>
      <c r="N82" s="453"/>
      <c r="O82" s="453"/>
      <c r="P82" s="453"/>
      <c r="Q82" s="456" t="s">
        <v>447</v>
      </c>
      <c r="R82" s="456"/>
      <c r="S82" s="456"/>
      <c r="T82" s="452">
        <f>VLOOKUP(Table2[[#This Row],[Course Title]],'TSD-Data'!$A$1:$E$80,4,FALSE)</f>
        <v>40</v>
      </c>
      <c r="U82" s="452">
        <f>VLOOKUP(Table2[[#This Row],[Course Title]],'TSD-Data'!$A$1:$F$80,6,FALSE)</f>
        <v>40</v>
      </c>
      <c r="V82" s="457">
        <f>VLOOKUP(Table2[[#This Row],[Course Title]],'TSD-Data'!$A$1:$F$80,5,FALSE)</f>
        <v>5</v>
      </c>
      <c r="W82" s="452">
        <v>30</v>
      </c>
      <c r="X82" s="452">
        <f>Table2[[#This Row],[Quotas]]-Table2[[#This Row],[Open Quotas]]</f>
        <v>30</v>
      </c>
      <c r="Y82" s="452">
        <v>0</v>
      </c>
      <c r="Z82" s="457">
        <v>33</v>
      </c>
      <c r="AA82" s="457">
        <v>0</v>
      </c>
      <c r="AB82" s="452">
        <v>1</v>
      </c>
      <c r="AC82" s="452">
        <v>2</v>
      </c>
      <c r="AD82" s="452">
        <v>0</v>
      </c>
      <c r="AE82" s="452" t="s">
        <v>427</v>
      </c>
      <c r="AF82" s="457">
        <f ca="1">Table2[[#This Row],[End Date]]+2-TODAY()</f>
        <v>-23</v>
      </c>
      <c r="AG82" s="452">
        <f>IF(ISBLANK(Table2[[#This Row],[Roster Received by]]),1,0)</f>
        <v>0</v>
      </c>
      <c r="AH82" s="452">
        <f ca="1">IF(Table2[[#This Row],[Start Date]]&gt;TODAY(),1,)</f>
        <v>0</v>
      </c>
      <c r="AI82" s="452">
        <f>IF(ISBLANK(Table2[[#This Row],[Primary Instructor]]),0,1)</f>
        <v>1</v>
      </c>
      <c r="AJ82" s="452">
        <f>IF(ISBLANK(Table2[[#This Row],[Instructor 2]]),0,1)</f>
        <v>0</v>
      </c>
      <c r="AK82" s="452">
        <f>Table2[[#This Row],[Course Length (Hours)]]/(SUM(Table2[[#This Row],[1]:[2]]))</f>
        <v>40</v>
      </c>
      <c r="AL82" s="640">
        <v>10</v>
      </c>
      <c r="AM82" s="452">
        <v>1</v>
      </c>
      <c r="AN82" s="458" t="str">
        <f>VLOOKUP(Table2[[#This Row],[Course Title]],'TSD-Data'!$A$1:$G$80,7,FALSE)</f>
        <v>N4</v>
      </c>
    </row>
    <row r="83" spans="2:40" s="459" customFormat="1" ht="15" customHeight="1" x14ac:dyDescent="0.25">
      <c r="B83" s="663" t="s">
        <v>448</v>
      </c>
      <c r="C83" s="702" t="s">
        <v>61</v>
      </c>
      <c r="D83" s="452" t="str">
        <f>VLOOKUP(Table2[[#This Row],[Course Title]],'TSD-Data'!$A$1:$E$80,2,FALSE)</f>
        <v>A-493-0012</v>
      </c>
      <c r="E83" s="452">
        <f>VLOOKUP(Table2[[#This Row],[Course Title]],'TSD-Data'!$A$1:$E$80,3,FALSE)</f>
        <v>3682</v>
      </c>
      <c r="F83" s="656" t="s">
        <v>264</v>
      </c>
      <c r="G83" s="453">
        <v>45978</v>
      </c>
      <c r="H83" s="453">
        <v>45982</v>
      </c>
      <c r="I83" s="454" t="s">
        <v>163</v>
      </c>
      <c r="J83" s="455">
        <v>0.33333333333333331</v>
      </c>
      <c r="K83" s="420"/>
      <c r="L83" s="453"/>
      <c r="M83" s="453"/>
      <c r="N83" s="453"/>
      <c r="O83" s="453"/>
      <c r="P83" s="453"/>
      <c r="Q83" s="456" t="s">
        <v>438</v>
      </c>
      <c r="R83" s="456"/>
      <c r="S83" s="456"/>
      <c r="T83" s="452">
        <f>VLOOKUP(Table2[[#This Row],[Course Title]],'TSD-Data'!$A$1:$E$80,4,FALSE)</f>
        <v>40</v>
      </c>
      <c r="U83" s="452">
        <f>VLOOKUP(Table2[[#This Row],[Course Title]],'TSD-Data'!$A$1:$F$80,6,FALSE)</f>
        <v>40</v>
      </c>
      <c r="V83" s="457">
        <f>VLOOKUP(Table2[[#This Row],[Course Title]],'TSD-Data'!$A$1:$F$80,5,FALSE)</f>
        <v>5</v>
      </c>
      <c r="W83" s="452">
        <v>63</v>
      </c>
      <c r="X83" s="452">
        <f>Table2[[#This Row],[Quotas]]-Table2[[#This Row],[Open Quotas]]</f>
        <v>37</v>
      </c>
      <c r="Y83" s="452">
        <v>0</v>
      </c>
      <c r="Z83" s="457">
        <v>36</v>
      </c>
      <c r="AA83" s="457">
        <v>0</v>
      </c>
      <c r="AB83" s="452">
        <v>7</v>
      </c>
      <c r="AC83" s="452">
        <v>6</v>
      </c>
      <c r="AD83" s="452">
        <v>0</v>
      </c>
      <c r="AE83" s="452" t="s">
        <v>427</v>
      </c>
      <c r="AF83" s="457">
        <f ca="1">Table2[[#This Row],[End Date]]+2-TODAY()</f>
        <v>-23</v>
      </c>
      <c r="AG83" s="452">
        <f>IF(ISBLANK(Table2[[#This Row],[Roster Received by]]),1,0)</f>
        <v>0</v>
      </c>
      <c r="AH83" s="452">
        <f ca="1">IF(Table2[[#This Row],[Start Date]]&gt;TODAY(),1,)</f>
        <v>0</v>
      </c>
      <c r="AI83" s="452">
        <f>IF(ISBLANK(Table2[[#This Row],[Primary Instructor]]),0,1)</f>
        <v>1</v>
      </c>
      <c r="AJ83" s="452">
        <f>IF(ISBLANK(Table2[[#This Row],[Instructor 2]]),0,1)</f>
        <v>0</v>
      </c>
      <c r="AK83" s="452">
        <f>Table2[[#This Row],[Course Length (Hours)]]/(SUM(Table2[[#This Row],[1]:[2]]))</f>
        <v>40</v>
      </c>
      <c r="AL83" s="640">
        <v>3</v>
      </c>
      <c r="AM83" s="452">
        <v>1</v>
      </c>
      <c r="AN83" s="458" t="str">
        <f>VLOOKUP(Table2[[#This Row],[Course Title]],'TSD-Data'!$A$1:$G$80,7,FALSE)</f>
        <v>N4</v>
      </c>
    </row>
    <row r="84" spans="2:40" s="459" customFormat="1" ht="15" customHeight="1" x14ac:dyDescent="0.25">
      <c r="B84" s="450"/>
      <c r="C84" s="684" t="s">
        <v>97</v>
      </c>
      <c r="D84" s="452" t="str">
        <f>VLOOKUP(Table2[[#This Row],[Course Title]],'TSD-Data'!$A$1:$E$80,2,FALSE)</f>
        <v>A-493-0335</v>
      </c>
      <c r="E84" s="452" t="str">
        <f>VLOOKUP(Table2[[#This Row],[Course Title]],'TSD-Data'!$A$1:$E$80,3,FALSE)</f>
        <v>09ND</v>
      </c>
      <c r="F84" s="450" t="s">
        <v>25</v>
      </c>
      <c r="G84" s="453">
        <v>45978</v>
      </c>
      <c r="H84" s="453">
        <v>45981</v>
      </c>
      <c r="I84" s="454" t="s">
        <v>163</v>
      </c>
      <c r="J84" s="455"/>
      <c r="K84" s="420">
        <v>0.79166666666666663</v>
      </c>
      <c r="L84" s="687">
        <v>0.66666666666666663</v>
      </c>
      <c r="M84" s="460">
        <v>0.125</v>
      </c>
      <c r="N84" s="460">
        <v>4.1666666666666664E-2</v>
      </c>
      <c r="O84" s="460">
        <v>0.58333333333333337</v>
      </c>
      <c r="P84" s="460">
        <v>0.375</v>
      </c>
      <c r="Q84" s="456" t="s">
        <v>175</v>
      </c>
      <c r="R84" s="456"/>
      <c r="S84" s="456"/>
      <c r="T84" s="452">
        <f>VLOOKUP(Table2[[#This Row],[Course Title]],'TSD-Data'!$A$1:$E$80,4,FALSE)</f>
        <v>45</v>
      </c>
      <c r="U84" s="452">
        <f>VLOOKUP(Table2[[#This Row],[Course Title]],'TSD-Data'!$A$1:$F$80,6,FALSE)</f>
        <v>32</v>
      </c>
      <c r="V84" s="457">
        <f>VLOOKUP(Table2[[#This Row],[Course Title]],'TSD-Data'!$A$1:$F$80,5,FALSE)</f>
        <v>4</v>
      </c>
      <c r="W84" s="457">
        <v>119</v>
      </c>
      <c r="X84" s="452">
        <f>Table2[[#This Row],[Quotas]]-Table2[[#This Row],[Open Quotas]]</f>
        <v>9</v>
      </c>
      <c r="Y84" s="452">
        <v>0</v>
      </c>
      <c r="Z84" s="457">
        <v>10</v>
      </c>
      <c r="AA84" s="457">
        <v>0</v>
      </c>
      <c r="AB84" s="452">
        <v>1</v>
      </c>
      <c r="AC84" s="452">
        <v>1</v>
      </c>
      <c r="AD84" s="452">
        <v>0</v>
      </c>
      <c r="AE84" s="452" t="s">
        <v>428</v>
      </c>
      <c r="AF84" s="457">
        <f ca="1">Table2[[#This Row],[End Date]]+2-TODAY()</f>
        <v>-24</v>
      </c>
      <c r="AG84" s="452">
        <f>IF(ISBLANK(Table2[[#This Row],[Roster Received by]]),1,0)</f>
        <v>0</v>
      </c>
      <c r="AH84" s="452">
        <f ca="1">IF(Table2[[#This Row],[Start Date]]&gt;TODAY(),1,)</f>
        <v>0</v>
      </c>
      <c r="AI84" s="452">
        <f>IF(ISBLANK(Table2[[#This Row],[Primary Instructor]]),0,1)</f>
        <v>1</v>
      </c>
      <c r="AJ84" s="452">
        <f>IF(ISBLANK(Table2[[#This Row],[Instructor 2]]),0,1)</f>
        <v>0</v>
      </c>
      <c r="AK84" s="452">
        <f>Table2[[#This Row],[Course Length (Hours)]]/(SUM(Table2[[#This Row],[1]:[2]]))</f>
        <v>32</v>
      </c>
      <c r="AL84" s="640">
        <v>36</v>
      </c>
      <c r="AM84" s="452">
        <v>1</v>
      </c>
      <c r="AN84" s="458" t="str">
        <f>VLOOKUP(Table2[[#This Row],[Course Title]],'TSD-Data'!$A$1:$G$80,7,FALSE)</f>
        <v>N3</v>
      </c>
    </row>
    <row r="85" spans="2:40" s="459" customFormat="1" ht="15" customHeight="1" x14ac:dyDescent="0.25">
      <c r="B85" s="450"/>
      <c r="C85" s="684" t="s">
        <v>108</v>
      </c>
      <c r="D85" s="452" t="str">
        <f>VLOOKUP(Table2[[#This Row],[Course Title]],'TSD-Data'!$A$1:$E$80,2,FALSE)</f>
        <v>A-493-0085</v>
      </c>
      <c r="E85" s="452">
        <f>VLOOKUP(Table2[[#This Row],[Course Title]],'TSD-Data'!$A$1:$E$80,3,FALSE)</f>
        <v>3555</v>
      </c>
      <c r="F85" s="451" t="s">
        <v>25</v>
      </c>
      <c r="G85" s="453">
        <v>45978</v>
      </c>
      <c r="H85" s="453">
        <v>45981</v>
      </c>
      <c r="I85" s="454" t="s">
        <v>163</v>
      </c>
      <c r="J85" s="455"/>
      <c r="K85" s="460">
        <v>0.5</v>
      </c>
      <c r="L85" s="460">
        <v>0.375</v>
      </c>
      <c r="M85" s="460">
        <v>0.83333333333333337</v>
      </c>
      <c r="N85" s="460">
        <v>0.75</v>
      </c>
      <c r="O85" s="460">
        <v>0.29166666666666669</v>
      </c>
      <c r="P85" s="460">
        <v>8.3333333333333329E-2</v>
      </c>
      <c r="Q85" s="456" t="s">
        <v>175</v>
      </c>
      <c r="R85" s="456"/>
      <c r="S85" s="456"/>
      <c r="T85" s="452">
        <f>VLOOKUP(Table2[[#This Row],[Course Title]],'TSD-Data'!$A$1:$E$80,4,FALSE)</f>
        <v>45</v>
      </c>
      <c r="U85" s="452">
        <f>VLOOKUP(Table2[[#This Row],[Course Title]],'TSD-Data'!$A$1:$F$80,6,FALSE)</f>
        <v>32</v>
      </c>
      <c r="V85" s="457">
        <f>VLOOKUP(Table2[[#This Row],[Course Title]],'TSD-Data'!$A$1:$F$80,5,FALSE)</f>
        <v>4</v>
      </c>
      <c r="W85" s="457">
        <v>688</v>
      </c>
      <c r="X85" s="452">
        <f>Table2[[#This Row],[Quotas]]-Table2[[#This Row],[Open Quotas]]</f>
        <v>25</v>
      </c>
      <c r="Y85" s="452">
        <v>0</v>
      </c>
      <c r="Z85" s="457">
        <v>17</v>
      </c>
      <c r="AA85" s="457">
        <v>1</v>
      </c>
      <c r="AB85" s="452">
        <v>9</v>
      </c>
      <c r="AC85" s="452">
        <v>0</v>
      </c>
      <c r="AD85" s="452">
        <v>0</v>
      </c>
      <c r="AE85" s="452" t="s">
        <v>428</v>
      </c>
      <c r="AF85" s="457">
        <f ca="1">Table2[[#This Row],[End Date]]+2-TODAY()</f>
        <v>-24</v>
      </c>
      <c r="AG85" s="452">
        <f>IF(ISBLANK(Table2[[#This Row],[Roster Received by]]),1,0)</f>
        <v>0</v>
      </c>
      <c r="AH85" s="452">
        <f ca="1">IF(Table2[[#This Row],[Start Date]]&gt;TODAY(),1,)</f>
        <v>0</v>
      </c>
      <c r="AI85" s="452">
        <f>IF(ISBLANK(Table2[[#This Row],[Primary Instructor]]),0,1)</f>
        <v>1</v>
      </c>
      <c r="AJ85" s="452">
        <f>IF(ISBLANK(Table2[[#This Row],[Instructor 2]]),0,1)</f>
        <v>0</v>
      </c>
      <c r="AK85" s="452">
        <f>Table2[[#This Row],[Course Length (Hours)]]/(SUM(Table2[[#This Row],[1]:[2]]))</f>
        <v>32</v>
      </c>
      <c r="AL85" s="640">
        <v>20</v>
      </c>
      <c r="AM85" s="452">
        <v>1</v>
      </c>
      <c r="AN85" s="458" t="str">
        <f>VLOOKUP(Table2[[#This Row],[Course Title]],'TSD-Data'!$A$1:$G$80,7,FALSE)</f>
        <v>N3</v>
      </c>
    </row>
    <row r="86" spans="2:40" s="459" customFormat="1" x14ac:dyDescent="0.25">
      <c r="B86" s="450"/>
      <c r="C86" s="684" t="s">
        <v>113</v>
      </c>
      <c r="D86" s="452" t="str">
        <f>VLOOKUP(Table2[[#This Row],[Course Title]],'TSD-Data'!$A$1:$E$80,2,FALSE)</f>
        <v>A-570-0100</v>
      </c>
      <c r="E86" s="452" t="str">
        <f>VLOOKUP(Table2[[#This Row],[Course Title]],'TSD-Data'!$A$1:$E$80,3,FALSE)</f>
        <v>18B7</v>
      </c>
      <c r="F86" s="450" t="s">
        <v>25</v>
      </c>
      <c r="G86" s="453">
        <v>45978</v>
      </c>
      <c r="H86" s="453">
        <v>45979</v>
      </c>
      <c r="I86" s="454" t="s">
        <v>163</v>
      </c>
      <c r="J86" s="455"/>
      <c r="K86" s="420">
        <v>0.79166666666666663</v>
      </c>
      <c r="L86" s="460">
        <v>0.66666666666666663</v>
      </c>
      <c r="M86" s="460">
        <v>0.125</v>
      </c>
      <c r="N86" s="460">
        <v>4.1666666666666664E-2</v>
      </c>
      <c r="O86" s="460">
        <v>0.58333333333333337</v>
      </c>
      <c r="P86" s="460">
        <v>0.375</v>
      </c>
      <c r="Q86" s="456" t="s">
        <v>432</v>
      </c>
      <c r="R86" s="456"/>
      <c r="S86" s="456"/>
      <c r="T86" s="452">
        <f>VLOOKUP(Table2[[#This Row],[Course Title]],'TSD-Data'!$A$1:$E$80,4,FALSE)</f>
        <v>45</v>
      </c>
      <c r="U86" s="452">
        <f>VLOOKUP(Table2[[#This Row],[Course Title]],'TSD-Data'!$A$1:$F$80,6,FALSE)</f>
        <v>16</v>
      </c>
      <c r="V86" s="457">
        <f>VLOOKUP(Table2[[#This Row],[Course Title]],'TSD-Data'!$A$1:$F$80,5,FALSE)</f>
        <v>2</v>
      </c>
      <c r="W86" s="457">
        <v>126</v>
      </c>
      <c r="X86" s="452">
        <f>Table2[[#This Row],[Quotas]]-Table2[[#This Row],[Open Quotas]]</f>
        <v>22</v>
      </c>
      <c r="Y86" s="452">
        <v>0</v>
      </c>
      <c r="Z86" s="457">
        <v>16</v>
      </c>
      <c r="AA86" s="457">
        <v>0</v>
      </c>
      <c r="AB86" s="452">
        <v>5</v>
      </c>
      <c r="AC86" s="452">
        <v>0</v>
      </c>
      <c r="AD86" s="452">
        <v>0</v>
      </c>
      <c r="AE86" s="452" t="s">
        <v>428</v>
      </c>
      <c r="AF86" s="457">
        <f ca="1">Table2[[#This Row],[End Date]]+2-TODAY()</f>
        <v>-26</v>
      </c>
      <c r="AG86" s="452">
        <f>IF(ISBLANK(Table2[[#This Row],[Roster Received by]]),1,0)</f>
        <v>0</v>
      </c>
      <c r="AH86" s="452">
        <f ca="1">IF(Table2[[#This Row],[Start Date]]&gt;TODAY(),1,)</f>
        <v>0</v>
      </c>
      <c r="AI86" s="452">
        <f>IF(ISBLANK(Table2[[#This Row],[Primary Instructor]]),0,1)</f>
        <v>1</v>
      </c>
      <c r="AJ86" s="452">
        <f>IF(ISBLANK(Table2[[#This Row],[Instructor 2]]),0,1)</f>
        <v>0</v>
      </c>
      <c r="AK86" s="452">
        <f>Table2[[#This Row],[Course Length (Hours)]]/(SUM(Table2[[#This Row],[1]:[2]]))</f>
        <v>16</v>
      </c>
      <c r="AL86" s="640">
        <v>23</v>
      </c>
      <c r="AM86" s="452">
        <v>1</v>
      </c>
      <c r="AN86" s="458" t="str">
        <f>VLOOKUP(Table2[[#This Row],[Course Title]],'TSD-Data'!$A$1:$G$80,7,FALSE)</f>
        <v>N8</v>
      </c>
    </row>
    <row r="87" spans="2:40" s="459" customFormat="1" ht="15" customHeight="1" x14ac:dyDescent="0.25">
      <c r="B87" s="450"/>
      <c r="C87" s="684" t="s">
        <v>119</v>
      </c>
      <c r="D87" s="452" t="str">
        <f>VLOOKUP(Table2[[#This Row],[Course Title]],'TSD-Data'!$A$1:$E$80,2,FALSE)</f>
        <v>A-493-2098</v>
      </c>
      <c r="E87" s="452" t="str">
        <f>VLOOKUP(Table2[[#This Row],[Course Title]],'TSD-Data'!$A$1:$E$80,3,FALSE)</f>
        <v>09WW</v>
      </c>
      <c r="F87" s="451" t="s">
        <v>25</v>
      </c>
      <c r="G87" s="453">
        <v>45978</v>
      </c>
      <c r="H87" s="453">
        <v>45980</v>
      </c>
      <c r="I87" s="454" t="s">
        <v>163</v>
      </c>
      <c r="J87" s="455"/>
      <c r="K87" s="643">
        <v>0.5</v>
      </c>
      <c r="L87" s="687">
        <v>0.375</v>
      </c>
      <c r="M87" s="643">
        <v>0.83333333333333337</v>
      </c>
      <c r="N87" s="643">
        <v>0.75</v>
      </c>
      <c r="O87" s="643">
        <v>0.29166666666666669</v>
      </c>
      <c r="P87" s="643">
        <v>8.3333333333333329E-2</v>
      </c>
      <c r="Q87" s="456" t="s">
        <v>432</v>
      </c>
      <c r="R87" s="456"/>
      <c r="S87" s="456"/>
      <c r="T87" s="452">
        <f>VLOOKUP(Table2[[#This Row],[Course Title]],'TSD-Data'!$A$1:$E$80,4,FALSE)</f>
        <v>100</v>
      </c>
      <c r="U87" s="452">
        <f>VLOOKUP(Table2[[#This Row],[Course Title]],'TSD-Data'!$A$1:$F$80,6,FALSE)</f>
        <v>16</v>
      </c>
      <c r="V87" s="457">
        <f>VLOOKUP(Table2[[#This Row],[Course Title]],'TSD-Data'!$A$1:$F$80,5,FALSE)</f>
        <v>3</v>
      </c>
      <c r="W87" s="457"/>
      <c r="X87" s="452">
        <f>Table2[[#This Row],[Quotas]]-Table2[[#This Row],[Open Quotas]]</f>
        <v>100</v>
      </c>
      <c r="Y87" s="452">
        <v>1</v>
      </c>
      <c r="Z87" s="457">
        <v>81</v>
      </c>
      <c r="AA87" s="457">
        <v>1</v>
      </c>
      <c r="AB87" s="458">
        <v>16</v>
      </c>
      <c r="AC87" s="458">
        <v>0</v>
      </c>
      <c r="AD87" s="452">
        <v>0</v>
      </c>
      <c r="AE87" s="452" t="s">
        <v>427</v>
      </c>
      <c r="AF87" s="457">
        <f ca="1">Table2[[#This Row],[End Date]]+2-TODAY()</f>
        <v>-25</v>
      </c>
      <c r="AG87" s="452">
        <f>IF(ISBLANK(Table2[[#This Row],[Roster Received by]]),1,0)</f>
        <v>0</v>
      </c>
      <c r="AH87" s="452">
        <f ca="1">IF(Table2[[#This Row],[Start Date]]&gt;TODAY(),1,)</f>
        <v>0</v>
      </c>
      <c r="AI87" s="452">
        <f>IF(ISBLANK(Table2[[#This Row],[Primary Instructor]]),0,1)</f>
        <v>1</v>
      </c>
      <c r="AJ87" s="452">
        <f>IF(ISBLANK(Table2[[#This Row],[Instructor 2]]),0,1)</f>
        <v>0</v>
      </c>
      <c r="AK87" s="452">
        <f>Table2[[#This Row],[Course Length (Hours)]]/(SUM(Table2[[#This Row],[1]:[2]]))</f>
        <v>16</v>
      </c>
      <c r="AL87" s="644">
        <v>0</v>
      </c>
      <c r="AM87" s="452">
        <v>1</v>
      </c>
      <c r="AN87" s="458" t="str">
        <f>VLOOKUP(Table2[[#This Row],[Course Title]],'TSD-Data'!$A$1:$G$80,7,FALSE)</f>
        <v>N8</v>
      </c>
    </row>
    <row r="88" spans="2:40" s="459" customFormat="1" ht="15" customHeight="1" x14ac:dyDescent="0.25">
      <c r="B88" s="450"/>
      <c r="C88" s="684" t="s">
        <v>71</v>
      </c>
      <c r="D88" s="452" t="str">
        <f>VLOOKUP(Table2[[#This Row],[Course Title]],'TSD-Data'!$A$1:$E$80,2,FALSE)</f>
        <v>A-493-0061</v>
      </c>
      <c r="E88" s="452" t="str">
        <f>VLOOKUP(Table2[[#This Row],[Course Title]],'TSD-Data'!$A$1:$E$80,3,FALSE)</f>
        <v>288E</v>
      </c>
      <c r="F88" s="451" t="s">
        <v>25</v>
      </c>
      <c r="G88" s="453">
        <v>45978</v>
      </c>
      <c r="H88" s="453">
        <v>45981</v>
      </c>
      <c r="I88" s="454" t="s">
        <v>163</v>
      </c>
      <c r="J88" s="455"/>
      <c r="K88" s="420">
        <v>0.33333333333333331</v>
      </c>
      <c r="L88" s="420">
        <v>0.20833333333333334</v>
      </c>
      <c r="M88" s="651">
        <v>1600</v>
      </c>
      <c r="N88" s="651">
        <v>1400</v>
      </c>
      <c r="O88" s="420">
        <v>0.125</v>
      </c>
      <c r="P88" s="651">
        <v>2200</v>
      </c>
      <c r="Q88" s="456" t="s">
        <v>272</v>
      </c>
      <c r="R88" s="456"/>
      <c r="S88" s="456"/>
      <c r="T88" s="452">
        <f>VLOOKUP(Table2[[#This Row],[Course Title]],'TSD-Data'!$A$1:$E$80,4,FALSE)</f>
        <v>45</v>
      </c>
      <c r="U88" s="452">
        <f>VLOOKUP(Table2[[#This Row],[Course Title]],'TSD-Data'!$A$1:$F$80,6,FALSE)</f>
        <v>30</v>
      </c>
      <c r="V88" s="457">
        <f>VLOOKUP(Table2[[#This Row],[Course Title]],'TSD-Data'!$A$1:$F$80,5,FALSE)</f>
        <v>4</v>
      </c>
      <c r="W88" s="457">
        <v>366</v>
      </c>
      <c r="X88" s="452">
        <f>Table2[[#This Row],[Quotas]]-Table2[[#This Row],[Open Quotas]]</f>
        <v>12</v>
      </c>
      <c r="Y88" s="452">
        <v>0</v>
      </c>
      <c r="Z88" s="457">
        <v>12</v>
      </c>
      <c r="AA88" s="457">
        <v>0</v>
      </c>
      <c r="AB88" s="452">
        <v>1</v>
      </c>
      <c r="AC88" s="452">
        <v>0</v>
      </c>
      <c r="AD88" s="452">
        <v>0</v>
      </c>
      <c r="AE88" s="452" t="s">
        <v>430</v>
      </c>
      <c r="AF88" s="457">
        <f ca="1">Table2[[#This Row],[End Date]]+2-TODAY()</f>
        <v>-24</v>
      </c>
      <c r="AG88" s="452">
        <f>IF(ISBLANK(Table2[[#This Row],[Roster Received by]]),1,0)</f>
        <v>0</v>
      </c>
      <c r="AH88" s="452">
        <f ca="1">IF(Table2[[#This Row],[Start Date]]&gt;TODAY(),1,)</f>
        <v>0</v>
      </c>
      <c r="AI88" s="452">
        <f>IF(ISBLANK(Table2[[#This Row],[Primary Instructor]]),0,1)</f>
        <v>1</v>
      </c>
      <c r="AJ88" s="452">
        <f>IF(ISBLANK(Table2[[#This Row],[Instructor 2]]),0,1)</f>
        <v>0</v>
      </c>
      <c r="AK88" s="452">
        <f>Table2[[#This Row],[Course Length (Hours)]]/(SUM(Table2[[#This Row],[1]:[2]]))</f>
        <v>30</v>
      </c>
      <c r="AL88" s="640">
        <v>33</v>
      </c>
      <c r="AM88" s="452">
        <v>1</v>
      </c>
      <c r="AN88" s="458" t="str">
        <f>VLOOKUP(Table2[[#This Row],[Course Title]],'TSD-Data'!$A$1:$G$80,7,FALSE)</f>
        <v>N5</v>
      </c>
    </row>
    <row r="89" spans="2:40" s="459" customFormat="1" ht="15" customHeight="1" x14ac:dyDescent="0.25">
      <c r="B89" s="450"/>
      <c r="C89" s="684" t="s">
        <v>74</v>
      </c>
      <c r="D89" s="452" t="str">
        <f>VLOOKUP(Table2[[#This Row],[Course Title]],'TSD-Data'!$A$1:$E$80,2,FALSE)</f>
        <v>A-322-2604</v>
      </c>
      <c r="E89" s="452" t="str">
        <f>VLOOKUP(Table2[[#This Row],[Course Title]],'TSD-Data'!$A$1:$E$80,3,FALSE)</f>
        <v>10ZZ</v>
      </c>
      <c r="F89" s="451" t="s">
        <v>25</v>
      </c>
      <c r="G89" s="453">
        <v>45978</v>
      </c>
      <c r="H89" s="453">
        <v>45980</v>
      </c>
      <c r="I89" s="454" t="s">
        <v>163</v>
      </c>
      <c r="J89" s="455"/>
      <c r="K89" s="643">
        <v>0.5</v>
      </c>
      <c r="L89" s="460">
        <v>0.375</v>
      </c>
      <c r="M89" s="643">
        <v>0.83333333333333337</v>
      </c>
      <c r="N89" s="643">
        <v>0.75</v>
      </c>
      <c r="O89" s="643">
        <v>0.29166666666666669</v>
      </c>
      <c r="P89" s="643">
        <v>8.3333333333333329E-2</v>
      </c>
      <c r="Q89" s="456" t="s">
        <v>431</v>
      </c>
      <c r="R89" s="456"/>
      <c r="S89" s="456"/>
      <c r="T89" s="452">
        <f>VLOOKUP(Table2[[#This Row],[Course Title]],'TSD-Data'!$A$1:$E$80,4,FALSE)</f>
        <v>45</v>
      </c>
      <c r="U89" s="452">
        <f>VLOOKUP(Table2[[#This Row],[Course Title]],'TSD-Data'!$A$1:$F$80,6,FALSE)</f>
        <v>24</v>
      </c>
      <c r="V89" s="457">
        <f>VLOOKUP(Table2[[#This Row],[Course Title]],'TSD-Data'!$A$1:$F$80,5,FALSE)</f>
        <v>3</v>
      </c>
      <c r="W89" s="457">
        <v>621</v>
      </c>
      <c r="X89" s="452">
        <f>Table2[[#This Row],[Quotas]]-Table2[[#This Row],[Open Quotas]]</f>
        <v>42</v>
      </c>
      <c r="Y89" s="452">
        <v>0</v>
      </c>
      <c r="Z89" s="457">
        <v>35</v>
      </c>
      <c r="AA89" s="457">
        <v>0</v>
      </c>
      <c r="AB89" s="452">
        <v>8</v>
      </c>
      <c r="AC89" s="452">
        <v>0</v>
      </c>
      <c r="AD89" s="452">
        <v>0</v>
      </c>
      <c r="AE89" s="452" t="s">
        <v>430</v>
      </c>
      <c r="AF89" s="457">
        <f ca="1">Table2[[#This Row],[End Date]]+2-TODAY()</f>
        <v>-25</v>
      </c>
      <c r="AG89" s="452">
        <f>IF(ISBLANK(Table2[[#This Row],[Roster Received by]]),1,0)</f>
        <v>0</v>
      </c>
      <c r="AH89" s="452">
        <f ca="1">IF(Table2[[#This Row],[Start Date]]&gt;TODAY(),1,)</f>
        <v>0</v>
      </c>
      <c r="AI89" s="452">
        <f>IF(ISBLANK(Table2[[#This Row],[Primary Instructor]]),0,1)</f>
        <v>1</v>
      </c>
      <c r="AJ89" s="452">
        <f>IF(ISBLANK(Table2[[#This Row],[Instructor 2]]),0,1)</f>
        <v>0</v>
      </c>
      <c r="AK89" s="452">
        <f>Table2[[#This Row],[Course Length (Hours)]]/(SUM(Table2[[#This Row],[1]:[2]]))</f>
        <v>24</v>
      </c>
      <c r="AL89" s="640">
        <v>3</v>
      </c>
      <c r="AM89" s="452">
        <v>1</v>
      </c>
      <c r="AN89" s="458" t="str">
        <f>VLOOKUP(Table2[[#This Row],[Course Title]],'TSD-Data'!$A$1:$G$80,7,FALSE)</f>
        <v>N8</v>
      </c>
    </row>
    <row r="90" spans="2:40" s="428" customFormat="1" x14ac:dyDescent="0.25">
      <c r="B90" s="450"/>
      <c r="C90" s="684" t="s">
        <v>100</v>
      </c>
      <c r="D90" s="452" t="str">
        <f>VLOOKUP(Table2[[#This Row],[Course Title]],'TSD-Data'!$A$1:$E$80,2,FALSE)</f>
        <v>A-493-0550</v>
      </c>
      <c r="E90" s="452" t="str">
        <f>VLOOKUP(Table2[[#This Row],[Course Title]],'TSD-Data'!$A$1:$E$80,3,FALSE)</f>
        <v>09K5</v>
      </c>
      <c r="F90" s="451" t="s">
        <v>25</v>
      </c>
      <c r="G90" s="453">
        <v>45978</v>
      </c>
      <c r="H90" s="453">
        <v>45981</v>
      </c>
      <c r="I90" s="454" t="s">
        <v>163</v>
      </c>
      <c r="J90" s="455"/>
      <c r="K90" s="460">
        <v>0.5</v>
      </c>
      <c r="L90" s="460">
        <v>0.375</v>
      </c>
      <c r="M90" s="460">
        <v>0.83333333333333337</v>
      </c>
      <c r="N90" s="460">
        <v>0.75</v>
      </c>
      <c r="O90" s="460">
        <v>0.29166666666666669</v>
      </c>
      <c r="P90" s="460">
        <v>8.3333333333333329E-2</v>
      </c>
      <c r="Q90" s="456" t="s">
        <v>426</v>
      </c>
      <c r="R90" s="456"/>
      <c r="S90" s="456"/>
      <c r="T90" s="452">
        <f>VLOOKUP(Table2[[#This Row],[Course Title]],'TSD-Data'!$A$1:$E$80,4,FALSE)</f>
        <v>45</v>
      </c>
      <c r="U90" s="452">
        <f>VLOOKUP(Table2[[#This Row],[Course Title]],'TSD-Data'!$A$1:$F$80,6,FALSE)</f>
        <v>32</v>
      </c>
      <c r="V90" s="457">
        <f>VLOOKUP(Table2[[#This Row],[Course Title]],'TSD-Data'!$A$1:$F$80,5,FALSE)</f>
        <v>4</v>
      </c>
      <c r="W90" s="457">
        <v>864</v>
      </c>
      <c r="X90" s="452">
        <f>Table2[[#This Row],[Quotas]]-Table2[[#This Row],[Open Quotas]]</f>
        <v>45</v>
      </c>
      <c r="Y90" s="452">
        <v>0</v>
      </c>
      <c r="Z90" s="457">
        <v>31</v>
      </c>
      <c r="AA90" s="457">
        <v>0</v>
      </c>
      <c r="AB90" s="452">
        <v>14</v>
      </c>
      <c r="AC90" s="452">
        <v>0</v>
      </c>
      <c r="AD90" s="452">
        <v>0</v>
      </c>
      <c r="AE90" s="452" t="s">
        <v>430</v>
      </c>
      <c r="AF90" s="457">
        <f ca="1">Table2[[#This Row],[End Date]]+2-TODAY()</f>
        <v>-24</v>
      </c>
      <c r="AG90" s="452">
        <f>IF(ISBLANK(Table2[[#This Row],[Roster Received by]]),1,0)</f>
        <v>0</v>
      </c>
      <c r="AH90" s="452">
        <f ca="1">IF(Table2[[#This Row],[Start Date]]&gt;TODAY(),1,)</f>
        <v>0</v>
      </c>
      <c r="AI90" s="452">
        <f>IF(ISBLANK(Table2[[#This Row],[Primary Instructor]]),0,1)</f>
        <v>1</v>
      </c>
      <c r="AJ90" s="452">
        <f>IF(ISBLANK(Table2[[#This Row],[Instructor 2]]),0,1)</f>
        <v>0</v>
      </c>
      <c r="AK90" s="452">
        <f>Table2[[#This Row],[Course Length (Hours)]]/(SUM(Table2[[#This Row],[1]:[2]]))</f>
        <v>32</v>
      </c>
      <c r="AL90" s="640">
        <v>0</v>
      </c>
      <c r="AM90" s="452">
        <v>1</v>
      </c>
      <c r="AN90" s="458" t="str">
        <f>VLOOKUP(Table2[[#This Row],[Course Title]],'TSD-Data'!$A$1:$G$80,7,FALSE)</f>
        <v>N5</v>
      </c>
    </row>
    <row r="91" spans="2:40" s="459" customFormat="1" ht="15" customHeight="1" x14ac:dyDescent="0.25">
      <c r="B91" s="450"/>
      <c r="C91" s="684" t="s">
        <v>106</v>
      </c>
      <c r="D91" s="452" t="str">
        <f>VLOOKUP(Table2[[#This Row],[Course Title]],'TSD-Data'!$A$1:$E$80,2,FALSE)</f>
        <v>A-493-0078</v>
      </c>
      <c r="E91" s="452">
        <f>VLOOKUP(Table2[[#This Row],[Course Title]],'TSD-Data'!$A$1:$E$80,3,FALSE)</f>
        <v>1228</v>
      </c>
      <c r="F91" s="451" t="s">
        <v>25</v>
      </c>
      <c r="G91" s="453">
        <v>45978</v>
      </c>
      <c r="H91" s="453">
        <v>45981</v>
      </c>
      <c r="I91" s="454" t="s">
        <v>163</v>
      </c>
      <c r="J91" s="455"/>
      <c r="K91" s="455">
        <v>0.33333333333333331</v>
      </c>
      <c r="L91" s="420">
        <v>0.20833333333333334</v>
      </c>
      <c r="M91" s="650">
        <v>1600</v>
      </c>
      <c r="N91" s="650">
        <v>1400</v>
      </c>
      <c r="O91" s="455">
        <v>0.125</v>
      </c>
      <c r="P91" s="650">
        <v>2200</v>
      </c>
      <c r="Q91" s="456" t="s">
        <v>172</v>
      </c>
      <c r="R91" s="456"/>
      <c r="S91" s="456"/>
      <c r="T91" s="452">
        <f>VLOOKUP(Table2[[#This Row],[Course Title]],'TSD-Data'!$A$1:$E$80,4,FALSE)</f>
        <v>45</v>
      </c>
      <c r="U91" s="452">
        <f>VLOOKUP(Table2[[#This Row],[Course Title]],'TSD-Data'!$A$1:$F$80,6,FALSE)</f>
        <v>32</v>
      </c>
      <c r="V91" s="457">
        <f>VLOOKUP(Table2[[#This Row],[Course Title]],'TSD-Data'!$A$1:$F$80,5,FALSE)</f>
        <v>4</v>
      </c>
      <c r="W91" s="457">
        <v>454</v>
      </c>
      <c r="X91" s="452">
        <f>Table2[[#This Row],[Quotas]]-Table2[[#This Row],[Open Quotas]]</f>
        <v>43</v>
      </c>
      <c r="Y91" s="452">
        <v>0</v>
      </c>
      <c r="Z91" s="457">
        <v>39</v>
      </c>
      <c r="AA91" s="457">
        <v>0</v>
      </c>
      <c r="AB91" s="452">
        <v>7</v>
      </c>
      <c r="AC91" s="452">
        <v>1</v>
      </c>
      <c r="AD91" s="452">
        <v>0</v>
      </c>
      <c r="AE91" s="452" t="s">
        <v>430</v>
      </c>
      <c r="AF91" s="457">
        <f ca="1">Table2[[#This Row],[End Date]]+2-TODAY()</f>
        <v>-24</v>
      </c>
      <c r="AG91" s="452">
        <f>IF(ISBLANK(Table2[[#This Row],[Roster Received by]]),1,0)</f>
        <v>0</v>
      </c>
      <c r="AH91" s="452">
        <f ca="1">IF(Table2[[#This Row],[Start Date]]&gt;TODAY(),1,)</f>
        <v>0</v>
      </c>
      <c r="AI91" s="452">
        <f>IF(ISBLANK(Table2[[#This Row],[Primary Instructor]]),0,1)</f>
        <v>1</v>
      </c>
      <c r="AJ91" s="452">
        <f>IF(ISBLANK(Table2[[#This Row],[Instructor 2]]),0,1)</f>
        <v>0</v>
      </c>
      <c r="AK91" s="452">
        <f>Table2[[#This Row],[Course Length (Hours)]]/(SUM(Table2[[#This Row],[1]:[2]]))</f>
        <v>32</v>
      </c>
      <c r="AL91" s="640">
        <v>2</v>
      </c>
      <c r="AM91" s="452">
        <v>1</v>
      </c>
      <c r="AN91" s="458" t="str">
        <f>VLOOKUP(Table2[[#This Row],[Course Title]],'TSD-Data'!$A$1:$G$80,7,FALSE)</f>
        <v>N5</v>
      </c>
    </row>
    <row r="92" spans="2:40" s="459" customFormat="1" x14ac:dyDescent="0.25">
      <c r="B92" s="450"/>
      <c r="C92" s="684" t="s">
        <v>23</v>
      </c>
      <c r="D92" s="452" t="str">
        <f>VLOOKUP(Table2[[#This Row],[Course Title]],'TSD-Data'!$A$1:$E$80,2,FALSE)</f>
        <v>A-4J-0022</v>
      </c>
      <c r="E92" s="452" t="str">
        <f>VLOOKUP(Table2[[#This Row],[Course Title]],'TSD-Data'!$A$1:$E$80,3,FALSE)</f>
        <v>09ER</v>
      </c>
      <c r="F92" s="451" t="s">
        <v>25</v>
      </c>
      <c r="G92" s="453">
        <v>45979</v>
      </c>
      <c r="H92" s="453">
        <v>45980</v>
      </c>
      <c r="I92" s="454" t="s">
        <v>163</v>
      </c>
      <c r="J92" s="455"/>
      <c r="K92" s="420">
        <v>0.33333333333333331</v>
      </c>
      <c r="L92" s="420">
        <v>0.20833333333333334</v>
      </c>
      <c r="M92" s="651">
        <v>1600</v>
      </c>
      <c r="N92" s="651">
        <v>1400</v>
      </c>
      <c r="O92" s="420">
        <v>0.125</v>
      </c>
      <c r="P92" s="651">
        <v>2200</v>
      </c>
      <c r="Q92" s="456" t="s">
        <v>436</v>
      </c>
      <c r="R92" s="456"/>
      <c r="S92" s="456"/>
      <c r="T92" s="452">
        <f>VLOOKUP(Table2[[#This Row],[Course Title]],'TSD-Data'!$A$1:$E$80,4,FALSE)</f>
        <v>45</v>
      </c>
      <c r="U92" s="452">
        <f>VLOOKUP(Table2[[#This Row],[Course Title]],'TSD-Data'!$A$1:$F$80,6,FALSE)</f>
        <v>16</v>
      </c>
      <c r="V92" s="457">
        <f>VLOOKUP(Table2[[#This Row],[Course Title]],'TSD-Data'!$A$1:$F$80,5,FALSE)</f>
        <v>2</v>
      </c>
      <c r="W92" s="457">
        <v>141</v>
      </c>
      <c r="X92" s="452">
        <f>Table2[[#This Row],[Quotas]]-Table2[[#This Row],[Open Quotas]]</f>
        <v>45</v>
      </c>
      <c r="Y92" s="452">
        <v>0</v>
      </c>
      <c r="Z92" s="457">
        <v>36</v>
      </c>
      <c r="AA92" s="457">
        <v>0</v>
      </c>
      <c r="AB92" s="452">
        <v>12</v>
      </c>
      <c r="AC92" s="452">
        <v>2</v>
      </c>
      <c r="AD92" s="452">
        <v>0</v>
      </c>
      <c r="AE92" s="452" t="s">
        <v>427</v>
      </c>
      <c r="AF92" s="457">
        <f ca="1">Table2[[#This Row],[End Date]]+2-TODAY()</f>
        <v>-25</v>
      </c>
      <c r="AG92" s="452">
        <f>IF(ISBLANK(Table2[[#This Row],[Roster Received by]]),1,0)</f>
        <v>0</v>
      </c>
      <c r="AH92" s="452">
        <f ca="1">IF(Table2[[#This Row],[Start Date]]&gt;TODAY(),1,)</f>
        <v>0</v>
      </c>
      <c r="AI92" s="452">
        <f>IF(ISBLANK(Table2[[#This Row],[Primary Instructor]]),0,1)</f>
        <v>1</v>
      </c>
      <c r="AJ92" s="452">
        <f>IF(ISBLANK(Table2[[#This Row],[Instructor 2]]),0,1)</f>
        <v>0</v>
      </c>
      <c r="AK92" s="452">
        <f>Table2[[#This Row],[Course Length (Hours)]]/(SUM(Table2[[#This Row],[1]:[2]]))</f>
        <v>16</v>
      </c>
      <c r="AL92" s="640">
        <v>0</v>
      </c>
      <c r="AM92" s="452">
        <v>1</v>
      </c>
      <c r="AN92" s="458" t="str">
        <f>VLOOKUP(Table2[[#This Row],[Course Title]],'TSD-Data'!$A$1:$G$80,7,FALSE)</f>
        <v>N4</v>
      </c>
    </row>
    <row r="93" spans="2:40" s="459" customFormat="1" ht="15" customHeight="1" x14ac:dyDescent="0.25">
      <c r="B93" s="450"/>
      <c r="C93" s="684" t="s">
        <v>65</v>
      </c>
      <c r="D93" s="452" t="str">
        <f>VLOOKUP(Table2[[#This Row],[Course Title]],'TSD-Data'!$A$1:$E$80,2,FALSE)</f>
        <v>A-493-0099</v>
      </c>
      <c r="E93" s="452" t="str">
        <f>VLOOKUP(Table2[[#This Row],[Course Title]],'TSD-Data'!$A$1:$E$80,3,FALSE)</f>
        <v>12JW</v>
      </c>
      <c r="F93" s="450" t="s">
        <v>25</v>
      </c>
      <c r="G93" s="453">
        <v>45980</v>
      </c>
      <c r="H93" s="453">
        <v>45982</v>
      </c>
      <c r="I93" s="454" t="s">
        <v>163</v>
      </c>
      <c r="J93" s="455"/>
      <c r="K93" s="420">
        <v>0.33333333333333331</v>
      </c>
      <c r="L93" s="420">
        <v>0.20833333333333334</v>
      </c>
      <c r="M93" s="651">
        <v>1600</v>
      </c>
      <c r="N93" s="651">
        <v>1400</v>
      </c>
      <c r="O93" s="420">
        <v>0.125</v>
      </c>
      <c r="P93" s="651">
        <v>2200</v>
      </c>
      <c r="Q93" s="456" t="s">
        <v>273</v>
      </c>
      <c r="R93" s="456"/>
      <c r="S93" s="456"/>
      <c r="T93" s="452">
        <f>VLOOKUP(Table2[[#This Row],[Course Title]],'TSD-Data'!$A$1:$E$80,4,FALSE)</f>
        <v>45</v>
      </c>
      <c r="U93" s="452">
        <f>VLOOKUP(Table2[[#This Row],[Course Title]],'TSD-Data'!$A$1:$F$80,6,FALSE)</f>
        <v>24</v>
      </c>
      <c r="V93" s="457">
        <f>VLOOKUP(Table2[[#This Row],[Course Title]],'TSD-Data'!$A$1:$F$80,5,FALSE)</f>
        <v>3</v>
      </c>
      <c r="W93" s="457">
        <v>334</v>
      </c>
      <c r="X93" s="452">
        <f>Table2[[#This Row],[Quotas]]-Table2[[#This Row],[Open Quotas]]</f>
        <v>45</v>
      </c>
      <c r="Y93" s="452">
        <v>1</v>
      </c>
      <c r="Z93" s="457">
        <v>42</v>
      </c>
      <c r="AA93" s="457">
        <v>0</v>
      </c>
      <c r="AB93" s="452">
        <v>5</v>
      </c>
      <c r="AC93" s="452">
        <v>1</v>
      </c>
      <c r="AD93" s="452">
        <v>0</v>
      </c>
      <c r="AE93" s="452" t="s">
        <v>430</v>
      </c>
      <c r="AF93" s="457">
        <f ca="1">Table2[[#This Row],[End Date]]+2-TODAY()</f>
        <v>-23</v>
      </c>
      <c r="AG93" s="452">
        <f>IF(ISBLANK(Table2[[#This Row],[Roster Received by]]),1,0)</f>
        <v>0</v>
      </c>
      <c r="AH93" s="452">
        <f ca="1">IF(Table2[[#This Row],[Start Date]]&gt;TODAY(),1,)</f>
        <v>0</v>
      </c>
      <c r="AI93" s="452">
        <f>IF(ISBLANK(Table2[[#This Row],[Primary Instructor]]),0,1)</f>
        <v>1</v>
      </c>
      <c r="AJ93" s="452">
        <f>IF(ISBLANK(Table2[[#This Row],[Instructor 2]]),0,1)</f>
        <v>0</v>
      </c>
      <c r="AK93" s="452">
        <f>Table2[[#This Row],[Course Length (Hours)]]/(SUM(Table2[[#This Row],[1]:[2]]))</f>
        <v>24</v>
      </c>
      <c r="AL93" s="640">
        <v>0</v>
      </c>
      <c r="AM93" s="452">
        <v>1</v>
      </c>
      <c r="AN93" s="458" t="str">
        <f>VLOOKUP(Table2[[#This Row],[Course Title]],'TSD-Data'!$A$1:$G$80,7,FALSE)</f>
        <v>N5</v>
      </c>
    </row>
    <row r="94" spans="2:40" s="428" customFormat="1" x14ac:dyDescent="0.25">
      <c r="B94" s="432" t="s">
        <v>230</v>
      </c>
      <c r="C94" s="690" t="s">
        <v>227</v>
      </c>
      <c r="D94" s="316" t="str">
        <f>VLOOKUP(Table2[[#This Row],[Course Title]],'TSD-Data'!$A$1:$E$80,2,FALSE)</f>
        <v>Function</v>
      </c>
      <c r="E94" s="316" t="str">
        <f>VLOOKUP(Table2[[#This Row],[Course Title]],'TSD-Data'!$A$1:$E$80,3,FALSE)</f>
        <v>Function</v>
      </c>
      <c r="F94" s="439" t="s">
        <v>229</v>
      </c>
      <c r="G94" s="344">
        <v>45986</v>
      </c>
      <c r="H94" s="344">
        <v>45986</v>
      </c>
      <c r="I94" s="317" t="s">
        <v>433</v>
      </c>
      <c r="J94" s="433"/>
      <c r="K94" s="434"/>
      <c r="L94" s="434"/>
      <c r="M94" s="434"/>
      <c r="N94" s="434"/>
      <c r="O94" s="434"/>
      <c r="P94" s="434"/>
      <c r="Q94" s="435" t="s">
        <v>434</v>
      </c>
      <c r="R94" s="435"/>
      <c r="S94" s="435"/>
      <c r="T94" s="316">
        <f>VLOOKUP(Table2[[#This Row],[Course Title]],'TSD-Data'!$A$1:$E$80,4,FALSE)</f>
        <v>0</v>
      </c>
      <c r="U94" s="316">
        <f>VLOOKUP(Table2[[#This Row],[Course Title]],'TSD-Data'!$A$1:$F$80,6,FALSE)</f>
        <v>0</v>
      </c>
      <c r="V94" s="323">
        <f>VLOOKUP(Table2[[#This Row],[Course Title]],'TSD-Data'!$A$1:$F$80,5,FALSE)</f>
        <v>0</v>
      </c>
      <c r="W94" s="436">
        <v>0</v>
      </c>
      <c r="X94" s="452">
        <f>Table2[[#This Row],[Quotas]]-Table2[[#This Row],[Open Quotas]]</f>
        <v>0</v>
      </c>
      <c r="Y94" s="433">
        <v>0</v>
      </c>
      <c r="Z94" s="433">
        <v>0</v>
      </c>
      <c r="AA94" s="433">
        <v>0</v>
      </c>
      <c r="AB94" s="433">
        <v>0</v>
      </c>
      <c r="AC94" s="433">
        <v>0</v>
      </c>
      <c r="AD94" s="433">
        <v>0</v>
      </c>
      <c r="AE94" s="433" t="s">
        <v>435</v>
      </c>
      <c r="AF94" s="323">
        <f ca="1">Table2[[#This Row],[End Date]]+2-TODAY()</f>
        <v>-19</v>
      </c>
      <c r="AG94" s="316">
        <f>IF(ISBLANK(Table2[[#This Row],[Roster Received by]]),1,0)</f>
        <v>0</v>
      </c>
      <c r="AH94" s="316">
        <f ca="1">IF(Table2[[#This Row],[Start Date]]&gt;TODAY(),1,)</f>
        <v>0</v>
      </c>
      <c r="AI94" s="316">
        <f>IF(ISBLANK(Table2[[#This Row],[Primary Instructor]]),0,1)</f>
        <v>1</v>
      </c>
      <c r="AJ94" s="316">
        <f>IF(ISBLANK(Table2[[#This Row],[Instructor 2]]),0,1)</f>
        <v>0</v>
      </c>
      <c r="AK94" s="316">
        <f>Table2[[#This Row],[Course Length (Hours)]]/(SUM(Table2[[#This Row],[1]:[2]]))</f>
        <v>0</v>
      </c>
      <c r="AL94" s="639">
        <v>0</v>
      </c>
      <c r="AM94" s="316">
        <v>1</v>
      </c>
      <c r="AN94" s="363" t="str">
        <f>VLOOKUP(Table2[[#This Row],[Course Title]],'TSD-Data'!$A$1:$G$80,7,FALSE)</f>
        <v>TSD</v>
      </c>
    </row>
    <row r="95" spans="2:40" s="428" customFormat="1" x14ac:dyDescent="0.25">
      <c r="B95" s="432" t="s">
        <v>240</v>
      </c>
      <c r="C95" s="690" t="s">
        <v>238</v>
      </c>
      <c r="D95" s="421" t="str">
        <f>VLOOKUP(Table2[[#This Row],[Course Title]],'TSD-Data'!$A$1:$E$80,2,FALSE)</f>
        <v>Holiday</v>
      </c>
      <c r="E95" s="421" t="str">
        <f>VLOOKUP(Table2[[#This Row],[Course Title]],'TSD-Data'!$A$1:$E$80,3,FALSE)</f>
        <v>Holiday</v>
      </c>
      <c r="F95" s="439" t="s">
        <v>238</v>
      </c>
      <c r="G95" s="344">
        <v>45988</v>
      </c>
      <c r="H95" s="344">
        <v>45988</v>
      </c>
      <c r="I95" s="317" t="s">
        <v>433</v>
      </c>
      <c r="J95" s="433"/>
      <c r="K95" s="433"/>
      <c r="L95" s="434"/>
      <c r="M95" s="433"/>
      <c r="N95" s="433"/>
      <c r="O95" s="433"/>
      <c r="P95" s="433"/>
      <c r="Q95" s="435" t="s">
        <v>434</v>
      </c>
      <c r="R95" s="435"/>
      <c r="S95" s="435"/>
      <c r="T95" s="316">
        <f>VLOOKUP(Table2[[#This Row],[Course Title]],'TSD-Data'!$A$1:$E$80,4,FALSE)</f>
        <v>0</v>
      </c>
      <c r="U95" s="316">
        <f>VLOOKUP(Table2[[#This Row],[Course Title]],'TSD-Data'!$A$1:$F$80,6,FALSE)</f>
        <v>0</v>
      </c>
      <c r="V95" s="323">
        <f>VLOOKUP(Table2[[#This Row],[Course Title]],'TSD-Data'!$A$1:$F$80,5,FALSE)</f>
        <v>0</v>
      </c>
      <c r="W95" s="436">
        <v>0</v>
      </c>
      <c r="X95" s="452">
        <f>Table2[[#This Row],[Quotas]]-Table2[[#This Row],[Open Quotas]]</f>
        <v>0</v>
      </c>
      <c r="Y95" s="433">
        <v>0</v>
      </c>
      <c r="Z95" s="433">
        <v>0</v>
      </c>
      <c r="AA95" s="433">
        <v>0</v>
      </c>
      <c r="AB95" s="433">
        <v>0</v>
      </c>
      <c r="AC95" s="433">
        <v>0</v>
      </c>
      <c r="AD95" s="433">
        <v>0</v>
      </c>
      <c r="AE95" s="433" t="s">
        <v>435</v>
      </c>
      <c r="AF95" s="323">
        <f ca="1">Table2[[#This Row],[End Date]]+2-TODAY()</f>
        <v>-17</v>
      </c>
      <c r="AG95" s="316">
        <f>IF(ISBLANK(Table2[[#This Row],[Roster Received by]]),1,0)</f>
        <v>0</v>
      </c>
      <c r="AH95" s="316">
        <f ca="1">IF(Table2[[#This Row],[Start Date]]&gt;TODAY(),1,)</f>
        <v>0</v>
      </c>
      <c r="AI95" s="316">
        <f>IF(ISBLANK(Table2[[#This Row],[Primary Instructor]]),0,1)</f>
        <v>1</v>
      </c>
      <c r="AJ95" s="316">
        <f>IF(ISBLANK(Table2[[#This Row],[Instructor 2]]),0,1)</f>
        <v>0</v>
      </c>
      <c r="AK95" s="316">
        <f>Table2[[#This Row],[Course Length (Hours)]]/(SUM(Table2[[#This Row],[1]:[2]]))</f>
        <v>0</v>
      </c>
      <c r="AL95" s="639">
        <v>0</v>
      </c>
      <c r="AM95" s="316">
        <v>1</v>
      </c>
      <c r="AN95" s="363" t="str">
        <f>VLOOKUP(Table2[[#This Row],[Course Title]],'TSD-Data'!$A$1:$G$80,7,FALSE)</f>
        <v>TSD</v>
      </c>
    </row>
    <row r="96" spans="2:40" s="459" customFormat="1" ht="15" customHeight="1" x14ac:dyDescent="0.25">
      <c r="B96" s="315"/>
      <c r="C96" s="440" t="s">
        <v>119</v>
      </c>
      <c r="D96" s="316" t="str">
        <f>VLOOKUP(Table2[[#This Row],[Course Title]],'TSD-Data'!$A$1:$E$80,2,FALSE)</f>
        <v>A-493-2098</v>
      </c>
      <c r="E96" s="316" t="str">
        <f>VLOOKUP(Table2[[#This Row],[Course Title]],'TSD-Data'!$A$1:$E$80,3,FALSE)</f>
        <v>09WW</v>
      </c>
      <c r="F96" s="364" t="s">
        <v>25</v>
      </c>
      <c r="G96" s="344">
        <v>45992</v>
      </c>
      <c r="H96" s="344">
        <v>45994</v>
      </c>
      <c r="I96" s="317" t="s">
        <v>163</v>
      </c>
      <c r="J96" s="318"/>
      <c r="K96" s="660">
        <v>0.5</v>
      </c>
      <c r="L96" s="429">
        <v>0.375</v>
      </c>
      <c r="M96" s="660">
        <v>0.83333333333333337</v>
      </c>
      <c r="N96" s="660">
        <v>0.75</v>
      </c>
      <c r="O96" s="660">
        <v>0.29166666666666669</v>
      </c>
      <c r="P96" s="660">
        <v>8.3333333333333329E-2</v>
      </c>
      <c r="Q96" s="321" t="s">
        <v>164</v>
      </c>
      <c r="R96" s="321"/>
      <c r="S96" s="321"/>
      <c r="T96" s="316">
        <f>VLOOKUP(Table2[[#This Row],[Course Title]],'TSD-Data'!$A$1:$E$80,4,FALSE)</f>
        <v>100</v>
      </c>
      <c r="U96" s="316">
        <f>VLOOKUP(Table2[[#This Row],[Course Title]],'TSD-Data'!$A$1:$F$80,6,FALSE)</f>
        <v>16</v>
      </c>
      <c r="V96" s="323">
        <f>VLOOKUP(Table2[[#This Row],[Course Title]],'TSD-Data'!$A$1:$F$80,5,FALSE)</f>
        <v>3</v>
      </c>
      <c r="W96" s="323">
        <v>356</v>
      </c>
      <c r="X96" s="452">
        <f>Table2[[#This Row],[Quotas]]-Table2[[#This Row],[Open Quotas]]</f>
        <v>99</v>
      </c>
      <c r="Y96" s="316">
        <v>3</v>
      </c>
      <c r="Z96" s="323"/>
      <c r="AA96" s="323"/>
      <c r="AB96" s="316"/>
      <c r="AC96" s="316"/>
      <c r="AD96" s="316"/>
      <c r="AE96" s="316"/>
      <c r="AF96" s="323">
        <f ca="1">Table2[[#This Row],[End Date]]+2-TODAY()</f>
        <v>-11</v>
      </c>
      <c r="AG96" s="316">
        <f>IF(ISBLANK(Table2[[#This Row],[Roster Received by]]),1,0)</f>
        <v>1</v>
      </c>
      <c r="AH96" s="316">
        <f ca="1">IF(Table2[[#This Row],[Start Date]]&gt;TODAY(),1,)</f>
        <v>0</v>
      </c>
      <c r="AI96" s="316">
        <f>IF(ISBLANK(Table2[[#This Row],[Primary Instructor]]),0,1)</f>
        <v>1</v>
      </c>
      <c r="AJ96" s="316">
        <f>IF(ISBLANK(Table2[[#This Row],[Instructor 2]]),0,1)</f>
        <v>0</v>
      </c>
      <c r="AK96" s="316">
        <f>Table2[[#This Row],[Course Length (Hours)]]/(SUM(Table2[[#This Row],[1]:[2]]))</f>
        <v>16</v>
      </c>
      <c r="AL96" s="124">
        <v>1</v>
      </c>
      <c r="AM96" s="316">
        <v>1</v>
      </c>
      <c r="AN96" s="363" t="str">
        <f>VLOOKUP(Table2[[#This Row],[Course Title]],'TSD-Data'!$A$1:$G$80,7,FALSE)</f>
        <v>N8</v>
      </c>
    </row>
    <row r="97" spans="2:40" s="428" customFormat="1" ht="15" customHeight="1" x14ac:dyDescent="0.25">
      <c r="B97" s="450"/>
      <c r="C97" s="684" t="s">
        <v>48</v>
      </c>
      <c r="D97" s="458" t="str">
        <f>VLOOKUP(Table2[[#This Row],[Course Title]],'TSD-Data'!$A$1:$E$80,2,FALSE)</f>
        <v>A-493-0103</v>
      </c>
      <c r="E97" s="458" t="str">
        <f>VLOOKUP(Table2[[#This Row],[Course Title]],'TSD-Data'!$A$1:$E$80,3,FALSE)</f>
        <v>12JY</v>
      </c>
      <c r="F97" s="451" t="s">
        <v>256</v>
      </c>
      <c r="G97" s="453">
        <v>45992</v>
      </c>
      <c r="H97" s="453">
        <v>45996</v>
      </c>
      <c r="I97" s="454" t="s">
        <v>163</v>
      </c>
      <c r="J97" s="455">
        <v>0.33333333333333331</v>
      </c>
      <c r="K97" s="420"/>
      <c r="L97" s="681"/>
      <c r="M97" s="453"/>
      <c r="N97" s="453"/>
      <c r="O97" s="453"/>
      <c r="P97" s="453"/>
      <c r="Q97" s="456" t="s">
        <v>275</v>
      </c>
      <c r="R97" s="456"/>
      <c r="S97" s="456"/>
      <c r="T97" s="452">
        <f>VLOOKUP(Table2[[#This Row],[Course Title]],'TSD-Data'!$A$1:$E$80,4,FALSE)</f>
        <v>25</v>
      </c>
      <c r="U97" s="452">
        <f>VLOOKUP(Table2[[#This Row],[Course Title]],'TSD-Data'!$A$1:$F$80,6,FALSE)</f>
        <v>40</v>
      </c>
      <c r="V97" s="457">
        <f>VLOOKUP(Table2[[#This Row],[Course Title]],'TSD-Data'!$A$1:$F$80,5,FALSE)</f>
        <v>5</v>
      </c>
      <c r="W97" s="457">
        <v>75</v>
      </c>
      <c r="X97" s="452">
        <f>Table2[[#This Row],[Quotas]]-Table2[[#This Row],[Open Quotas]]</f>
        <v>24</v>
      </c>
      <c r="Y97" s="452">
        <v>5</v>
      </c>
      <c r="Z97" s="457">
        <v>25</v>
      </c>
      <c r="AA97" s="457">
        <v>0</v>
      </c>
      <c r="AB97" s="458">
        <v>2</v>
      </c>
      <c r="AC97" s="458">
        <v>2</v>
      </c>
      <c r="AD97" s="452">
        <v>0</v>
      </c>
      <c r="AE97" s="452" t="s">
        <v>430</v>
      </c>
      <c r="AF97" s="457">
        <f ca="1">Table2[[#This Row],[End Date]]+2-TODAY()</f>
        <v>-9</v>
      </c>
      <c r="AG97" s="452">
        <f>IF(ISBLANK(Table2[[#This Row],[Roster Received by]]),1,0)</f>
        <v>0</v>
      </c>
      <c r="AH97" s="452">
        <f ca="1">IF(Table2[[#This Row],[Start Date]]&gt;TODAY(),1,)</f>
        <v>0</v>
      </c>
      <c r="AI97" s="452">
        <f>IF(ISBLANK(Table2[[#This Row],[Primary Instructor]]),0,1)</f>
        <v>1</v>
      </c>
      <c r="AJ97" s="452">
        <f>IF(ISBLANK(Table2[[#This Row],[Instructor 2]]),0,1)</f>
        <v>0</v>
      </c>
      <c r="AK97" s="452">
        <f>Table2[[#This Row],[Course Length (Hours)]]/(SUM(Table2[[#This Row],[1]:[2]]))</f>
        <v>40</v>
      </c>
      <c r="AL97" s="644">
        <v>1</v>
      </c>
      <c r="AM97" s="452">
        <v>1</v>
      </c>
      <c r="AN97" s="458" t="str">
        <f>VLOOKUP(Table2[[#This Row],[Course Title]],'TSD-Data'!$A$1:$G$80,7,FALSE)</f>
        <v>N5</v>
      </c>
    </row>
    <row r="98" spans="2:40" s="459" customFormat="1" ht="15" customHeight="1" x14ac:dyDescent="0.25">
      <c r="B98" s="450"/>
      <c r="C98" s="684" t="s">
        <v>71</v>
      </c>
      <c r="D98" s="452" t="str">
        <f>VLOOKUP(Table2[[#This Row],[Course Title]],'TSD-Data'!$A$1:$E$80,2,FALSE)</f>
        <v>A-493-0061</v>
      </c>
      <c r="E98" s="452" t="str">
        <f>VLOOKUP(Table2[[#This Row],[Course Title]],'TSD-Data'!$A$1:$E$80,3,FALSE)</f>
        <v>288E</v>
      </c>
      <c r="F98" s="451" t="s">
        <v>25</v>
      </c>
      <c r="G98" s="453">
        <v>45992</v>
      </c>
      <c r="H98" s="453">
        <v>45995</v>
      </c>
      <c r="I98" s="454" t="s">
        <v>163</v>
      </c>
      <c r="J98" s="455"/>
      <c r="K98" s="460">
        <v>0.5</v>
      </c>
      <c r="L98" s="460">
        <v>0.375</v>
      </c>
      <c r="M98" s="460">
        <v>0.83333333333333337</v>
      </c>
      <c r="N98" s="460">
        <v>0.75</v>
      </c>
      <c r="O98" s="460">
        <v>0.29166666666666669</v>
      </c>
      <c r="P98" s="460">
        <v>8.3333333333333329E-2</v>
      </c>
      <c r="Q98" s="456" t="s">
        <v>272</v>
      </c>
      <c r="R98" s="456"/>
      <c r="S98" s="456"/>
      <c r="T98" s="452">
        <f>VLOOKUP(Table2[[#This Row],[Course Title]],'TSD-Data'!$A$1:$E$80,4,FALSE)</f>
        <v>45</v>
      </c>
      <c r="U98" s="452">
        <f>VLOOKUP(Table2[[#This Row],[Course Title]],'TSD-Data'!$A$1:$F$80,6,FALSE)</f>
        <v>30</v>
      </c>
      <c r="V98" s="457">
        <f>VLOOKUP(Table2[[#This Row],[Course Title]],'TSD-Data'!$A$1:$F$80,5,FALSE)</f>
        <v>4</v>
      </c>
      <c r="W98" s="457">
        <v>620</v>
      </c>
      <c r="X98" s="452">
        <f>Table2[[#This Row],[Quotas]]-Table2[[#This Row],[Open Quotas]]</f>
        <v>25</v>
      </c>
      <c r="Y98" s="452">
        <v>0</v>
      </c>
      <c r="Z98" s="457">
        <v>20</v>
      </c>
      <c r="AA98" s="457">
        <v>0</v>
      </c>
      <c r="AB98" s="452">
        <v>6</v>
      </c>
      <c r="AC98" s="452">
        <v>1</v>
      </c>
      <c r="AD98" s="452">
        <v>0</v>
      </c>
      <c r="AE98" s="452" t="s">
        <v>430</v>
      </c>
      <c r="AF98" s="457">
        <f ca="1">Table2[[#This Row],[End Date]]+2-TODAY()</f>
        <v>-10</v>
      </c>
      <c r="AG98" s="452">
        <f>IF(ISBLANK(Table2[[#This Row],[Roster Received by]]),1,0)</f>
        <v>0</v>
      </c>
      <c r="AH98" s="452">
        <f ca="1">IF(Table2[[#This Row],[Start Date]]&gt;TODAY(),1,)</f>
        <v>0</v>
      </c>
      <c r="AI98" s="452">
        <f>IF(ISBLANK(Table2[[#This Row],[Primary Instructor]]),0,1)</f>
        <v>1</v>
      </c>
      <c r="AJ98" s="452">
        <f>IF(ISBLANK(Table2[[#This Row],[Instructor 2]]),0,1)</f>
        <v>0</v>
      </c>
      <c r="AK98" s="452">
        <f>Table2[[#This Row],[Course Length (Hours)]]/(SUM(Table2[[#This Row],[1]:[2]]))</f>
        <v>30</v>
      </c>
      <c r="AL98" s="640">
        <v>20</v>
      </c>
      <c r="AM98" s="452">
        <v>1</v>
      </c>
      <c r="AN98" s="458" t="str">
        <f>VLOOKUP(Table2[[#This Row],[Course Title]],'TSD-Data'!$A$1:$G$80,7,FALSE)</f>
        <v>N5</v>
      </c>
    </row>
    <row r="99" spans="2:40" s="459" customFormat="1" ht="15" customHeight="1" x14ac:dyDescent="0.25">
      <c r="B99" s="450"/>
      <c r="C99" s="684" t="s">
        <v>74</v>
      </c>
      <c r="D99" s="452" t="str">
        <f>VLOOKUP(Table2[[#This Row],[Course Title]],'TSD-Data'!$A$1:$E$80,2,FALSE)</f>
        <v>A-322-2604</v>
      </c>
      <c r="E99" s="452" t="str">
        <f>VLOOKUP(Table2[[#This Row],[Course Title]],'TSD-Data'!$A$1:$E$80,3,FALSE)</f>
        <v>10ZZ</v>
      </c>
      <c r="F99" s="451" t="s">
        <v>25</v>
      </c>
      <c r="G99" s="453">
        <v>45992</v>
      </c>
      <c r="H99" s="453">
        <v>45994</v>
      </c>
      <c r="I99" s="454" t="s">
        <v>163</v>
      </c>
      <c r="J99" s="455"/>
      <c r="K99" s="643">
        <v>0.5</v>
      </c>
      <c r="L99" s="460">
        <v>0.375</v>
      </c>
      <c r="M99" s="643">
        <v>0.83333333333333337</v>
      </c>
      <c r="N99" s="643">
        <v>0.75</v>
      </c>
      <c r="O99" s="643">
        <v>0.29166666666666669</v>
      </c>
      <c r="P99" s="643">
        <v>8.3333333333333329E-2</v>
      </c>
      <c r="Q99" s="456" t="s">
        <v>431</v>
      </c>
      <c r="R99" s="456"/>
      <c r="S99" s="456"/>
      <c r="T99" s="452">
        <f>VLOOKUP(Table2[[#This Row],[Course Title]],'TSD-Data'!$A$1:$E$80,4,FALSE)</f>
        <v>45</v>
      </c>
      <c r="U99" s="452">
        <f>VLOOKUP(Table2[[#This Row],[Course Title]],'TSD-Data'!$A$1:$F$80,6,FALSE)</f>
        <v>24</v>
      </c>
      <c r="V99" s="457">
        <f>VLOOKUP(Table2[[#This Row],[Course Title]],'TSD-Data'!$A$1:$F$80,5,FALSE)</f>
        <v>3</v>
      </c>
      <c r="W99" s="457">
        <v>621</v>
      </c>
      <c r="X99" s="452">
        <f>Table2[[#This Row],[Quotas]]-Table2[[#This Row],[Open Quotas]]</f>
        <v>39</v>
      </c>
      <c r="Y99" s="452">
        <v>0</v>
      </c>
      <c r="Z99" s="457">
        <v>35</v>
      </c>
      <c r="AA99" s="457">
        <v>0</v>
      </c>
      <c r="AB99" s="452">
        <v>5</v>
      </c>
      <c r="AC99" s="452">
        <v>0</v>
      </c>
      <c r="AD99" s="452">
        <v>0</v>
      </c>
      <c r="AE99" s="452" t="s">
        <v>430</v>
      </c>
      <c r="AF99" s="457">
        <f ca="1">Table2[[#This Row],[End Date]]+2-TODAY()</f>
        <v>-11</v>
      </c>
      <c r="AG99" s="452">
        <f>IF(ISBLANK(Table2[[#This Row],[Roster Received by]]),1,0)</f>
        <v>0</v>
      </c>
      <c r="AH99" s="452">
        <f ca="1">IF(Table2[[#This Row],[Start Date]]&gt;TODAY(),1,)</f>
        <v>0</v>
      </c>
      <c r="AI99" s="452">
        <f>IF(ISBLANK(Table2[[#This Row],[Primary Instructor]]),0,1)</f>
        <v>1</v>
      </c>
      <c r="AJ99" s="452">
        <f>IF(ISBLANK(Table2[[#This Row],[Instructor 2]]),0,1)</f>
        <v>0</v>
      </c>
      <c r="AK99" s="452">
        <f>Table2[[#This Row],[Course Length (Hours)]]/(SUM(Table2[[#This Row],[1]:[2]]))</f>
        <v>24</v>
      </c>
      <c r="AL99" s="640">
        <v>6</v>
      </c>
      <c r="AM99" s="452">
        <v>1</v>
      </c>
      <c r="AN99" s="458" t="str">
        <f>VLOOKUP(Table2[[#This Row],[Course Title]],'TSD-Data'!$A$1:$G$80,7,FALSE)</f>
        <v>N8</v>
      </c>
    </row>
    <row r="100" spans="2:40" s="459" customFormat="1" ht="15" customHeight="1" x14ac:dyDescent="0.25">
      <c r="B100" s="450"/>
      <c r="C100" s="684" t="s">
        <v>100</v>
      </c>
      <c r="D100" s="452" t="str">
        <f>VLOOKUP(Table2[[#This Row],[Course Title]],'TSD-Data'!$A$1:$E$80,2,FALSE)</f>
        <v>A-493-0550</v>
      </c>
      <c r="E100" s="452" t="str">
        <f>VLOOKUP(Table2[[#This Row],[Course Title]],'TSD-Data'!$A$1:$E$80,3,FALSE)</f>
        <v>09K5</v>
      </c>
      <c r="F100" s="451" t="s">
        <v>25</v>
      </c>
      <c r="G100" s="453">
        <v>45992</v>
      </c>
      <c r="H100" s="453">
        <v>45995</v>
      </c>
      <c r="I100" s="454" t="s">
        <v>163</v>
      </c>
      <c r="J100" s="455"/>
      <c r="K100" s="420">
        <v>0.33333333333333331</v>
      </c>
      <c r="L100" s="420">
        <v>0.20833333333333334</v>
      </c>
      <c r="M100" s="651">
        <v>1600</v>
      </c>
      <c r="N100" s="651">
        <v>1400</v>
      </c>
      <c r="O100" s="420">
        <v>0.125</v>
      </c>
      <c r="P100" s="651">
        <v>2200</v>
      </c>
      <c r="Q100" s="456" t="s">
        <v>426</v>
      </c>
      <c r="R100" s="456"/>
      <c r="S100" s="456"/>
      <c r="T100" s="452">
        <f>VLOOKUP(Table2[[#This Row],[Course Title]],'TSD-Data'!$A$1:$E$80,4,FALSE)</f>
        <v>45</v>
      </c>
      <c r="U100" s="452">
        <f>VLOOKUP(Table2[[#This Row],[Course Title]],'TSD-Data'!$A$1:$F$80,6,FALSE)</f>
        <v>32</v>
      </c>
      <c r="V100" s="457">
        <f>VLOOKUP(Table2[[#This Row],[Course Title]],'TSD-Data'!$A$1:$F$80,5,FALSE)</f>
        <v>4</v>
      </c>
      <c r="W100" s="457">
        <v>455</v>
      </c>
      <c r="X100" s="452">
        <f>Table2[[#This Row],[Quotas]]-Table2[[#This Row],[Open Quotas]]</f>
        <v>42</v>
      </c>
      <c r="Y100" s="452">
        <v>0</v>
      </c>
      <c r="Z100" s="457">
        <v>40</v>
      </c>
      <c r="AA100" s="457">
        <v>0</v>
      </c>
      <c r="AB100" s="452">
        <v>6</v>
      </c>
      <c r="AC100" s="452">
        <v>1</v>
      </c>
      <c r="AD100" s="452">
        <v>0</v>
      </c>
      <c r="AE100" s="452" t="s">
        <v>430</v>
      </c>
      <c r="AF100" s="457">
        <f ca="1">Table2[[#This Row],[End Date]]+2-TODAY()</f>
        <v>-10</v>
      </c>
      <c r="AG100" s="452">
        <f>IF(ISBLANK(Table2[[#This Row],[Roster Received by]]),1,0)</f>
        <v>0</v>
      </c>
      <c r="AH100" s="452">
        <f ca="1">IF(Table2[[#This Row],[Start Date]]&gt;TODAY(),1,)</f>
        <v>0</v>
      </c>
      <c r="AI100" s="452">
        <f>IF(ISBLANK(Table2[[#This Row],[Primary Instructor]]),0,1)</f>
        <v>1</v>
      </c>
      <c r="AJ100" s="452">
        <f>IF(ISBLANK(Table2[[#This Row],[Instructor 2]]),0,1)</f>
        <v>0</v>
      </c>
      <c r="AK100" s="452">
        <f>Table2[[#This Row],[Course Length (Hours)]]/(SUM(Table2[[#This Row],[1]:[2]]))</f>
        <v>32</v>
      </c>
      <c r="AL100" s="640">
        <v>3</v>
      </c>
      <c r="AM100" s="452">
        <v>1</v>
      </c>
      <c r="AN100" s="458" t="str">
        <f>VLOOKUP(Table2[[#This Row],[Course Title]],'TSD-Data'!$A$1:$G$80,7,FALSE)</f>
        <v>N5</v>
      </c>
    </row>
    <row r="101" spans="2:40" s="459" customFormat="1" ht="15" customHeight="1" x14ac:dyDescent="0.25">
      <c r="B101" s="450"/>
      <c r="C101" s="684" t="s">
        <v>65</v>
      </c>
      <c r="D101" s="452" t="str">
        <f>VLOOKUP(Table2[[#This Row],[Course Title]],'TSD-Data'!$A$1:$E$80,2,FALSE)</f>
        <v>A-493-0099</v>
      </c>
      <c r="E101" s="452" t="str">
        <f>VLOOKUP(Table2[[#This Row],[Course Title]],'TSD-Data'!$A$1:$E$80,3,FALSE)</f>
        <v>12JW</v>
      </c>
      <c r="F101" s="450" t="s">
        <v>25</v>
      </c>
      <c r="G101" s="453">
        <v>45994</v>
      </c>
      <c r="H101" s="454">
        <v>45996</v>
      </c>
      <c r="I101" s="454" t="s">
        <v>163</v>
      </c>
      <c r="J101" s="455"/>
      <c r="K101" s="420">
        <v>0.33333333333333331</v>
      </c>
      <c r="L101" s="420">
        <v>0.20833333333333334</v>
      </c>
      <c r="M101" s="651">
        <v>1600</v>
      </c>
      <c r="N101" s="651">
        <v>1400</v>
      </c>
      <c r="O101" s="420">
        <v>0.125</v>
      </c>
      <c r="P101" s="651">
        <v>2200</v>
      </c>
      <c r="Q101" s="456" t="s">
        <v>273</v>
      </c>
      <c r="R101" s="456"/>
      <c r="S101" s="456"/>
      <c r="T101" s="452">
        <f>VLOOKUP(Table2[[#This Row],[Course Title]],'TSD-Data'!$A$1:$E$80,4,FALSE)</f>
        <v>45</v>
      </c>
      <c r="U101" s="452">
        <f>VLOOKUP(Table2[[#This Row],[Course Title]],'TSD-Data'!$A$1:$F$80,6,FALSE)</f>
        <v>24</v>
      </c>
      <c r="V101" s="457">
        <f>VLOOKUP(Table2[[#This Row],[Course Title]],'TSD-Data'!$A$1:$F$80,5,FALSE)</f>
        <v>3</v>
      </c>
      <c r="W101" s="457">
        <v>334</v>
      </c>
      <c r="X101" s="452">
        <f>Table2[[#This Row],[Quotas]]-Table2[[#This Row],[Open Quotas]]</f>
        <v>44</v>
      </c>
      <c r="Y101" s="452">
        <v>0</v>
      </c>
      <c r="Z101" s="457">
        <v>34</v>
      </c>
      <c r="AA101" s="457">
        <v>0</v>
      </c>
      <c r="AB101" s="452">
        <v>11</v>
      </c>
      <c r="AC101" s="452">
        <v>0</v>
      </c>
      <c r="AD101" s="452">
        <v>0</v>
      </c>
      <c r="AE101" s="452" t="s">
        <v>430</v>
      </c>
      <c r="AF101" s="457">
        <f ca="1">Table2[[#This Row],[End Date]]+2-TODAY()</f>
        <v>-9</v>
      </c>
      <c r="AG101" s="452">
        <f>IF(ISBLANK(Table2[[#This Row],[Roster Received by]]),1,0)</f>
        <v>0</v>
      </c>
      <c r="AH101" s="452">
        <f ca="1">IF(Table2[[#This Row],[Start Date]]&gt;TODAY(),1,)</f>
        <v>0</v>
      </c>
      <c r="AI101" s="452">
        <f>IF(ISBLANK(Table2[[#This Row],[Primary Instructor]]),0,1)</f>
        <v>1</v>
      </c>
      <c r="AJ101" s="452">
        <f>IF(ISBLANK(Table2[[#This Row],[Instructor 2]]),0,1)</f>
        <v>0</v>
      </c>
      <c r="AK101" s="452">
        <f>Table2[[#This Row],[Course Length (Hours)]]/(SUM(Table2[[#This Row],[1]:[2]]))</f>
        <v>24</v>
      </c>
      <c r="AL101" s="640">
        <v>1</v>
      </c>
      <c r="AM101" s="452">
        <v>1</v>
      </c>
      <c r="AN101" s="458" t="str">
        <f>VLOOKUP(Table2[[#This Row],[Course Title]],'TSD-Data'!$A$1:$G$80,7,FALSE)</f>
        <v>N5</v>
      </c>
    </row>
    <row r="102" spans="2:40" s="428" customFormat="1" ht="15" customHeight="1" x14ac:dyDescent="0.25">
      <c r="B102" s="450"/>
      <c r="C102" s="707" t="s">
        <v>41</v>
      </c>
      <c r="D102" s="458" t="str">
        <f>VLOOKUP(Table2[[#This Row],[Course Title]],'TSD-Data'!$A$1:$E$80,2,FALSE)</f>
        <v>A-493-0070</v>
      </c>
      <c r="E102" s="458" t="str">
        <f>VLOOKUP(Table2[[#This Row],[Course Title]],'TSD-Data'!$A$1:$E$80,3,FALSE)</f>
        <v>450V</v>
      </c>
      <c r="F102" s="450" t="s">
        <v>173</v>
      </c>
      <c r="G102" s="453">
        <v>45999</v>
      </c>
      <c r="H102" s="453">
        <v>45999</v>
      </c>
      <c r="I102" s="454" t="s">
        <v>163</v>
      </c>
      <c r="J102" s="706" t="s">
        <v>449</v>
      </c>
      <c r="K102" s="420"/>
      <c r="L102" s="453"/>
      <c r="M102" s="453"/>
      <c r="N102" s="453"/>
      <c r="O102" s="453"/>
      <c r="P102" s="453"/>
      <c r="Q102" s="456" t="s">
        <v>175</v>
      </c>
      <c r="R102" s="456"/>
      <c r="S102" s="456"/>
      <c r="T102" s="458">
        <f>VLOOKUP(Table2[[#This Row],[Course Title]],'TSD-Data'!$A$1:$E$80,4,FALSE)</f>
        <v>30</v>
      </c>
      <c r="U102" s="458">
        <f>VLOOKUP(Table2[[#This Row],[Course Title]],'TSD-Data'!$A$1:$F$80,6,FALSE)</f>
        <v>8</v>
      </c>
      <c r="V102" s="457">
        <f>VLOOKUP(Table2[[#This Row],[Course Title]],'TSD-Data'!$A$1:$F$80,5,FALSE)</f>
        <v>1</v>
      </c>
      <c r="W102" s="457"/>
      <c r="X102" s="452"/>
      <c r="Y102" s="452"/>
      <c r="Z102" s="457">
        <v>16</v>
      </c>
      <c r="AA102" s="457">
        <v>0</v>
      </c>
      <c r="AB102" s="458">
        <v>0</v>
      </c>
      <c r="AC102" s="458">
        <v>0</v>
      </c>
      <c r="AD102" s="452">
        <v>0</v>
      </c>
      <c r="AE102" s="452" t="s">
        <v>428</v>
      </c>
      <c r="AF102" s="457">
        <f ca="1">Table2[[#This Row],[End Date]]+2-TODAY()</f>
        <v>-6</v>
      </c>
      <c r="AG102" s="458">
        <f>IF(ISBLANK(Table2[[#This Row],[Roster Received by]]),1,0)</f>
        <v>0</v>
      </c>
      <c r="AH102" s="458">
        <f ca="1">IF(Table2[[#This Row],[Start Date]]&gt;TODAY(),1,)</f>
        <v>0</v>
      </c>
      <c r="AI102" s="458">
        <f>IF(ISBLANK(Table2[[#This Row],[Primary Instructor]]),0,1)</f>
        <v>1</v>
      </c>
      <c r="AJ102" s="458">
        <f>IF(ISBLANK(Table2[[#This Row],[Instructor 2]]),0,1)</f>
        <v>0</v>
      </c>
      <c r="AK102" s="458">
        <f>Table2[[#This Row],[Course Length (Hours)]]/(SUM(Table2[[#This Row],[1]:[2]]))</f>
        <v>8</v>
      </c>
      <c r="AL102" s="644">
        <v>12</v>
      </c>
      <c r="AM102" s="458"/>
      <c r="AN102" s="458" t="str">
        <f>VLOOKUP(Table2[[#This Row],[Course Title]],'TSD-Data'!$A$1:$G$80,7,FALSE)</f>
        <v>N3</v>
      </c>
    </row>
    <row r="103" spans="2:40" s="428" customFormat="1" ht="15" customHeight="1" x14ac:dyDescent="0.25">
      <c r="B103" s="315"/>
      <c r="C103" s="440" t="s">
        <v>44</v>
      </c>
      <c r="D103" s="316" t="str">
        <f>VLOOKUP(Table2[[#This Row],[Course Title]],'TSD-Data'!$A$1:$E$80,2,FALSE)</f>
        <v>A-493-0665</v>
      </c>
      <c r="E103" s="316" t="str">
        <f>VLOOKUP(Table2[[#This Row],[Course Title]],'TSD-Data'!$A$1:$E$80,3,FALSE)</f>
        <v>10KW</v>
      </c>
      <c r="F103" s="364" t="s">
        <v>25</v>
      </c>
      <c r="G103" s="344">
        <v>45999</v>
      </c>
      <c r="H103" s="344">
        <v>46001</v>
      </c>
      <c r="I103" s="317" t="s">
        <v>163</v>
      </c>
      <c r="J103" s="318"/>
      <c r="K103" s="429">
        <v>0.5</v>
      </c>
      <c r="L103" s="429">
        <v>0.375</v>
      </c>
      <c r="M103" s="429">
        <v>0.83333333333333337</v>
      </c>
      <c r="N103" s="429">
        <v>0.75</v>
      </c>
      <c r="O103" s="429">
        <v>0.29166666666666669</v>
      </c>
      <c r="P103" s="429">
        <v>8.3333333333333329E-2</v>
      </c>
      <c r="Q103" s="321" t="s">
        <v>444</v>
      </c>
      <c r="R103" s="321"/>
      <c r="S103" s="321"/>
      <c r="T103" s="316">
        <f>VLOOKUP(Table2[[#This Row],[Course Title]],'TSD-Data'!$A$1:$E$80,4,FALSE)</f>
        <v>45</v>
      </c>
      <c r="U103" s="316">
        <f>VLOOKUP(Table2[[#This Row],[Course Title]],'TSD-Data'!$A$1:$F$80,6,FALSE)</f>
        <v>24</v>
      </c>
      <c r="V103" s="323">
        <f>VLOOKUP(Table2[[#This Row],[Course Title]],'TSD-Data'!$A$1:$F$80,5,FALSE)</f>
        <v>3</v>
      </c>
      <c r="W103" s="323">
        <v>337</v>
      </c>
      <c r="X103" s="316">
        <f>Table2[[#This Row],[Quotas]]-Table2[[#This Row],[Open Quotas]]</f>
        <v>35</v>
      </c>
      <c r="Y103" s="316">
        <v>0</v>
      </c>
      <c r="Z103" s="323"/>
      <c r="AA103" s="323"/>
      <c r="AB103" s="316"/>
      <c r="AC103" s="316"/>
      <c r="AD103" s="316"/>
      <c r="AE103" s="316"/>
      <c r="AF103" s="323">
        <f ca="1">Table2[[#This Row],[End Date]]+2-TODAY()</f>
        <v>-4</v>
      </c>
      <c r="AG103" s="316">
        <f>IF(ISBLANK(Table2[[#This Row],[Roster Received by]]),1,0)</f>
        <v>1</v>
      </c>
      <c r="AH103" s="316">
        <f ca="1">IF(Table2[[#This Row],[Start Date]]&gt;TODAY(),1,)</f>
        <v>0</v>
      </c>
      <c r="AI103" s="316">
        <f>IF(ISBLANK(Table2[[#This Row],[Primary Instructor]]),0,1)</f>
        <v>1</v>
      </c>
      <c r="AJ103" s="316">
        <f>IF(ISBLANK(Table2[[#This Row],[Instructor 2]]),0,1)</f>
        <v>0</v>
      </c>
      <c r="AK103" s="316">
        <f>Table2[[#This Row],[Course Length (Hours)]]/(SUM(Table2[[#This Row],[1]:[2]]))</f>
        <v>24</v>
      </c>
      <c r="AL103" s="124">
        <v>10</v>
      </c>
      <c r="AM103" s="316">
        <v>1</v>
      </c>
      <c r="AN103" s="363" t="str">
        <f>VLOOKUP(Table2[[#This Row],[Course Title]],'TSD-Data'!$A$1:$G$80,7,FALSE)</f>
        <v>N8</v>
      </c>
    </row>
    <row r="104" spans="2:40" s="459" customFormat="1" ht="15" customHeight="1" x14ac:dyDescent="0.25">
      <c r="B104" s="450"/>
      <c r="C104" s="684" t="s">
        <v>113</v>
      </c>
      <c r="D104" s="452" t="str">
        <f>VLOOKUP(Table2[[#This Row],[Course Title]],'TSD-Data'!$A$1:$E$80,2,FALSE)</f>
        <v>A-570-0100</v>
      </c>
      <c r="E104" s="452" t="str">
        <f>VLOOKUP(Table2[[#This Row],[Course Title]],'TSD-Data'!$A$1:$E$80,3,FALSE)</f>
        <v>18B7</v>
      </c>
      <c r="F104" s="451" t="s">
        <v>25</v>
      </c>
      <c r="G104" s="454">
        <v>45999</v>
      </c>
      <c r="H104" s="454">
        <v>46000</v>
      </c>
      <c r="I104" s="454" t="s">
        <v>163</v>
      </c>
      <c r="J104" s="455"/>
      <c r="K104" s="460">
        <v>0.5</v>
      </c>
      <c r="L104" s="687">
        <v>0.375</v>
      </c>
      <c r="M104" s="460">
        <v>0.83333333333333337</v>
      </c>
      <c r="N104" s="460">
        <v>0.75</v>
      </c>
      <c r="O104" s="460">
        <v>0.29166666666666669</v>
      </c>
      <c r="P104" s="460">
        <v>8.3333333333333329E-2</v>
      </c>
      <c r="Q104" s="456" t="s">
        <v>432</v>
      </c>
      <c r="R104" s="456"/>
      <c r="S104" s="456"/>
      <c r="T104" s="452">
        <f>VLOOKUP(Table2[[#This Row],[Course Title]],'TSD-Data'!$A$1:$E$80,4,FALSE)</f>
        <v>45</v>
      </c>
      <c r="U104" s="452">
        <f>VLOOKUP(Table2[[#This Row],[Course Title]],'TSD-Data'!$A$1:$F$80,6,FALSE)</f>
        <v>16</v>
      </c>
      <c r="V104" s="457">
        <f>VLOOKUP(Table2[[#This Row],[Course Title]],'TSD-Data'!$A$1:$F$80,5,FALSE)</f>
        <v>2</v>
      </c>
      <c r="W104" s="457">
        <v>663</v>
      </c>
      <c r="X104" s="452">
        <f>Table2[[#This Row],[Quotas]]-Table2[[#This Row],[Open Quotas]]</f>
        <v>25</v>
      </c>
      <c r="Y104" s="452">
        <v>0</v>
      </c>
      <c r="Z104" s="457">
        <v>20</v>
      </c>
      <c r="AA104" s="457">
        <v>0</v>
      </c>
      <c r="AB104" s="452">
        <v>7</v>
      </c>
      <c r="AC104" s="452">
        <v>0</v>
      </c>
      <c r="AD104" s="452">
        <v>0</v>
      </c>
      <c r="AE104" s="452" t="s">
        <v>428</v>
      </c>
      <c r="AF104" s="457">
        <f ca="1">Table2[[#This Row],[End Date]]+2-TODAY()</f>
        <v>-5</v>
      </c>
      <c r="AG104" s="452">
        <f>IF(ISBLANK(Table2[[#This Row],[Roster Received by]]),1,0)</f>
        <v>0</v>
      </c>
      <c r="AH104" s="452">
        <f ca="1">IF(Table2[[#This Row],[Start Date]]&gt;TODAY(),1,)</f>
        <v>0</v>
      </c>
      <c r="AI104" s="452">
        <f>IF(ISBLANK(Table2[[#This Row],[Primary Instructor]]),0,1)</f>
        <v>1</v>
      </c>
      <c r="AJ104" s="452">
        <f>IF(ISBLANK(Table2[[#This Row],[Instructor 2]]),0,1)</f>
        <v>0</v>
      </c>
      <c r="AK104" s="452">
        <f>Table2[[#This Row],[Course Length (Hours)]]/(SUM(Table2[[#This Row],[1]:[2]]))</f>
        <v>16</v>
      </c>
      <c r="AL104" s="640">
        <v>20</v>
      </c>
      <c r="AM104" s="452">
        <v>1</v>
      </c>
      <c r="AN104" s="458" t="str">
        <f>VLOOKUP(Table2[[#This Row],[Course Title]],'TSD-Data'!$A$1:$G$80,7,FALSE)</f>
        <v>N8</v>
      </c>
    </row>
    <row r="105" spans="2:40" s="459" customFormat="1" ht="15" customHeight="1" x14ac:dyDescent="0.25">
      <c r="B105" s="315"/>
      <c r="C105" s="440" t="s">
        <v>119</v>
      </c>
      <c r="D105" s="363" t="str">
        <f>VLOOKUP(Table2[[#This Row],[Course Title]],'TSD-Data'!$A$1:$E$80,2,FALSE)</f>
        <v>A-493-2098</v>
      </c>
      <c r="E105" s="363" t="str">
        <f>VLOOKUP(Table2[[#This Row],[Course Title]],'TSD-Data'!$A$1:$E$80,3,FALSE)</f>
        <v>09WW</v>
      </c>
      <c r="F105" s="364" t="s">
        <v>25</v>
      </c>
      <c r="G105" s="344">
        <v>45999</v>
      </c>
      <c r="H105" s="344">
        <v>46001</v>
      </c>
      <c r="I105" s="317" t="s">
        <v>163</v>
      </c>
      <c r="J105" s="318"/>
      <c r="K105" s="318">
        <v>0.33333333333333331</v>
      </c>
      <c r="L105" s="345">
        <v>0.20833333333333334</v>
      </c>
      <c r="M105" s="433">
        <v>1600</v>
      </c>
      <c r="N105" s="433">
        <v>1400</v>
      </c>
      <c r="O105" s="318">
        <v>0.125</v>
      </c>
      <c r="P105" s="433">
        <v>2200</v>
      </c>
      <c r="Q105" s="321" t="s">
        <v>432</v>
      </c>
      <c r="R105" s="321"/>
      <c r="S105" s="321"/>
      <c r="T105" s="316">
        <f>VLOOKUP(Table2[[#This Row],[Course Title]],'TSD-Data'!$A$1:$E$80,4,FALSE)</f>
        <v>100</v>
      </c>
      <c r="U105" s="316">
        <f>VLOOKUP(Table2[[#This Row],[Course Title]],'TSD-Data'!$A$1:$F$80,6,FALSE)</f>
        <v>16</v>
      </c>
      <c r="V105" s="323">
        <f>VLOOKUP(Table2[[#This Row],[Course Title]],'TSD-Data'!$A$1:$F$80,5,FALSE)</f>
        <v>3</v>
      </c>
      <c r="W105" s="323"/>
      <c r="X105" s="316">
        <f>Table2[[#This Row],[Quotas]]-Table2[[#This Row],[Open Quotas]]</f>
        <v>70</v>
      </c>
      <c r="Y105" s="316">
        <v>0</v>
      </c>
      <c r="Z105" s="323"/>
      <c r="AA105" s="323"/>
      <c r="AB105" s="363"/>
      <c r="AC105" s="363"/>
      <c r="AD105" s="316"/>
      <c r="AE105" s="316"/>
      <c r="AF105" s="323">
        <f ca="1">Table2[[#This Row],[End Date]]+2-TODAY()</f>
        <v>-4</v>
      </c>
      <c r="AG105" s="316">
        <f>IF(ISBLANK(Table2[[#This Row],[Roster Received by]]),1,0)</f>
        <v>1</v>
      </c>
      <c r="AH105" s="316">
        <f ca="1">IF(Table2[[#This Row],[Start Date]]&gt;TODAY(),1,)</f>
        <v>0</v>
      </c>
      <c r="AI105" s="316">
        <f>IF(ISBLANK(Table2[[#This Row],[Primary Instructor]]),0,1)</f>
        <v>1</v>
      </c>
      <c r="AJ105" s="316">
        <f>IF(ISBLANK(Table2[[#This Row],[Instructor 2]]),0,1)</f>
        <v>0</v>
      </c>
      <c r="AK105" s="316">
        <f>Table2[[#This Row],[Course Length (Hours)]]/(SUM(Table2[[#This Row],[1]:[2]]))</f>
        <v>16</v>
      </c>
      <c r="AL105" s="638">
        <v>30</v>
      </c>
      <c r="AM105" s="316">
        <v>1</v>
      </c>
      <c r="AN105" s="363" t="str">
        <f>VLOOKUP(Table2[[#This Row],[Course Title]],'TSD-Data'!$A$1:$G$80,7,FALSE)</f>
        <v>N8</v>
      </c>
    </row>
    <row r="106" spans="2:40" s="428" customFormat="1" ht="15" customHeight="1" x14ac:dyDescent="0.25">
      <c r="B106" s="315"/>
      <c r="C106" s="364" t="s">
        <v>48</v>
      </c>
      <c r="D106" s="316" t="str">
        <f>VLOOKUP(Table2[[#This Row],[Course Title]],'TSD-Data'!$A$1:$E$80,2,FALSE)</f>
        <v>A-493-0103</v>
      </c>
      <c r="E106" s="316" t="str">
        <f>VLOOKUP(Table2[[#This Row],[Course Title]],'TSD-Data'!$A$1:$E$80,3,FALSE)</f>
        <v>12JY</v>
      </c>
      <c r="F106" s="364" t="s">
        <v>264</v>
      </c>
      <c r="G106" s="344">
        <v>45999</v>
      </c>
      <c r="H106" s="344">
        <v>46003</v>
      </c>
      <c r="I106" s="317" t="s">
        <v>163</v>
      </c>
      <c r="J106" s="318">
        <v>0.33333333333333331</v>
      </c>
      <c r="K106" s="345"/>
      <c r="L106" s="344"/>
      <c r="M106" s="344"/>
      <c r="N106" s="344"/>
      <c r="O106" s="344"/>
      <c r="P106" s="344"/>
      <c r="Q106" s="321" t="s">
        <v>275</v>
      </c>
      <c r="R106" s="321"/>
      <c r="S106" s="321"/>
      <c r="T106" s="316">
        <f>VLOOKUP(Table2[[#This Row],[Course Title]],'TSD-Data'!$A$1:$E$80,4,FALSE)</f>
        <v>25</v>
      </c>
      <c r="U106" s="316">
        <f>VLOOKUP(Table2[[#This Row],[Course Title]],'TSD-Data'!$A$1:$F$80,6,FALSE)</f>
        <v>40</v>
      </c>
      <c r="V106" s="323">
        <f>VLOOKUP(Table2[[#This Row],[Course Title]],'TSD-Data'!$A$1:$F$80,5,FALSE)</f>
        <v>5</v>
      </c>
      <c r="W106" s="323">
        <v>516</v>
      </c>
      <c r="X106" s="316">
        <f>Table2[[#This Row],[Quotas]]-Table2[[#This Row],[Open Quotas]]</f>
        <v>25</v>
      </c>
      <c r="Y106" s="316">
        <v>2</v>
      </c>
      <c r="Z106" s="323"/>
      <c r="AA106" s="323"/>
      <c r="AB106" s="316"/>
      <c r="AC106" s="316"/>
      <c r="AD106" s="316"/>
      <c r="AE106" s="316"/>
      <c r="AF106" s="323">
        <f ca="1">Table2[[#This Row],[End Date]]+2-TODAY()</f>
        <v>-2</v>
      </c>
      <c r="AG106" s="316">
        <f>IF(ISBLANK(Table2[[#This Row],[Roster Received by]]),1,0)</f>
        <v>1</v>
      </c>
      <c r="AH106" s="316">
        <f ca="1">IF(Table2[[#This Row],[Start Date]]&gt;TODAY(),1,)</f>
        <v>0</v>
      </c>
      <c r="AI106" s="316">
        <f>IF(ISBLANK(Table2[[#This Row],[Primary Instructor]]),0,1)</f>
        <v>1</v>
      </c>
      <c r="AJ106" s="316">
        <f>IF(ISBLANK(Table2[[#This Row],[Instructor 2]]),0,1)</f>
        <v>0</v>
      </c>
      <c r="AK106" s="316">
        <f>Table2[[#This Row],[Course Length (Hours)]]/(SUM(Table2[[#This Row],[1]:[2]]))</f>
        <v>40</v>
      </c>
      <c r="AL106" s="124">
        <v>0</v>
      </c>
      <c r="AM106" s="316">
        <v>1</v>
      </c>
      <c r="AN106" s="363" t="str">
        <f>VLOOKUP(Table2[[#This Row],[Course Title]],'TSD-Data'!$A$1:$G$80,7,FALSE)</f>
        <v>N5</v>
      </c>
    </row>
    <row r="107" spans="2:40" s="459" customFormat="1" ht="15" customHeight="1" x14ac:dyDescent="0.25">
      <c r="B107" s="450"/>
      <c r="C107" s="451" t="s">
        <v>106</v>
      </c>
      <c r="D107" s="452" t="str">
        <f>VLOOKUP(Table2[[#This Row],[Course Title]],'TSD-Data'!$A$1:$E$80,2,FALSE)</f>
        <v>A-493-0078</v>
      </c>
      <c r="E107" s="452">
        <f>VLOOKUP(Table2[[#This Row],[Course Title]],'TSD-Data'!$A$1:$E$80,3,FALSE)</f>
        <v>1228</v>
      </c>
      <c r="F107" s="451" t="s">
        <v>25</v>
      </c>
      <c r="G107" s="454">
        <v>45999</v>
      </c>
      <c r="H107" s="454">
        <v>46002</v>
      </c>
      <c r="I107" s="454" t="s">
        <v>163</v>
      </c>
      <c r="J107" s="455"/>
      <c r="K107" s="420">
        <v>0.33333333333333331</v>
      </c>
      <c r="L107" s="420">
        <v>0.20833333333333334</v>
      </c>
      <c r="M107" s="651">
        <v>1600</v>
      </c>
      <c r="N107" s="651">
        <v>1400</v>
      </c>
      <c r="O107" s="420">
        <v>0.125</v>
      </c>
      <c r="P107" s="651">
        <v>2200</v>
      </c>
      <c r="Q107" s="456" t="s">
        <v>172</v>
      </c>
      <c r="R107" s="456"/>
      <c r="S107" s="456"/>
      <c r="T107" s="452">
        <f>VLOOKUP(Table2[[#This Row],[Course Title]],'TSD-Data'!$A$1:$E$80,4,FALSE)</f>
        <v>45</v>
      </c>
      <c r="U107" s="452">
        <f>VLOOKUP(Table2[[#This Row],[Course Title]],'TSD-Data'!$A$1:$F$80,6,FALSE)</f>
        <v>32</v>
      </c>
      <c r="V107" s="457">
        <f>VLOOKUP(Table2[[#This Row],[Course Title]],'TSD-Data'!$A$1:$F$80,5,FALSE)</f>
        <v>4</v>
      </c>
      <c r="W107" s="457">
        <v>454</v>
      </c>
      <c r="X107" s="452">
        <f>Table2[[#This Row],[Quotas]]-Table2[[#This Row],[Open Quotas]]</f>
        <v>43</v>
      </c>
      <c r="Y107" s="452">
        <v>1</v>
      </c>
      <c r="Z107" s="457">
        <v>40</v>
      </c>
      <c r="AA107" s="457">
        <v>0</v>
      </c>
      <c r="AB107" s="452">
        <v>4</v>
      </c>
      <c r="AC107" s="452">
        <v>0</v>
      </c>
      <c r="AD107" s="452">
        <v>0</v>
      </c>
      <c r="AE107" s="452" t="s">
        <v>430</v>
      </c>
      <c r="AF107" s="457">
        <f ca="1">Table2[[#This Row],[End Date]]+2-TODAY()</f>
        <v>-3</v>
      </c>
      <c r="AG107" s="452">
        <f>IF(ISBLANK(Table2[[#This Row],[Roster Received by]]),1,0)</f>
        <v>0</v>
      </c>
      <c r="AH107" s="452">
        <f ca="1">IF(Table2[[#This Row],[Start Date]]&gt;TODAY(),1,)</f>
        <v>0</v>
      </c>
      <c r="AI107" s="452">
        <f>IF(ISBLANK(Table2[[#This Row],[Primary Instructor]]),0,1)</f>
        <v>1</v>
      </c>
      <c r="AJ107" s="452">
        <f>IF(ISBLANK(Table2[[#This Row],[Instructor 2]]),0,1)</f>
        <v>0</v>
      </c>
      <c r="AK107" s="452">
        <f>Table2[[#This Row],[Course Length (Hours)]]/(SUM(Table2[[#This Row],[1]:[2]]))</f>
        <v>32</v>
      </c>
      <c r="AL107" s="640">
        <v>2</v>
      </c>
      <c r="AM107" s="452">
        <v>1</v>
      </c>
      <c r="AN107" s="458" t="str">
        <f>VLOOKUP(Table2[[#This Row],[Course Title]],'TSD-Data'!$A$1:$G$80,7,FALSE)</f>
        <v>N5</v>
      </c>
    </row>
    <row r="108" spans="2:40" s="459" customFormat="1" ht="15" customHeight="1" x14ac:dyDescent="0.25">
      <c r="B108" s="450"/>
      <c r="C108" s="711" t="s">
        <v>32</v>
      </c>
      <c r="D108" s="458" t="str">
        <f>VLOOKUP(Table2[[#This Row],[Course Title]],'TSD-Data'!$A$1:$E$80,2,FALSE)</f>
        <v>A-493-0015</v>
      </c>
      <c r="E108" s="458">
        <f>VLOOKUP(Table2[[#This Row],[Course Title]],'TSD-Data'!$A$1:$E$80,3,FALSE)</f>
        <v>3879</v>
      </c>
      <c r="F108" s="451" t="s">
        <v>173</v>
      </c>
      <c r="G108" s="454">
        <v>46000</v>
      </c>
      <c r="H108" s="454">
        <v>46000</v>
      </c>
      <c r="I108" s="454" t="s">
        <v>163</v>
      </c>
      <c r="J108" s="706" t="s">
        <v>449</v>
      </c>
      <c r="K108" s="420"/>
      <c r="L108" s="453"/>
      <c r="M108" s="453"/>
      <c r="N108" s="453"/>
      <c r="O108" s="453"/>
      <c r="P108" s="453"/>
      <c r="Q108" s="456" t="s">
        <v>175</v>
      </c>
      <c r="R108" s="456"/>
      <c r="S108" s="456"/>
      <c r="T108" s="458">
        <f>VLOOKUP(Table2[[#This Row],[Course Title]],'TSD-Data'!$A$1:$E$80,4,FALSE)</f>
        <v>30</v>
      </c>
      <c r="U108" s="458">
        <f>VLOOKUP(Table2[[#This Row],[Course Title]],'TSD-Data'!$A$1:$F$80,6,FALSE)</f>
        <v>4</v>
      </c>
      <c r="V108" s="457">
        <f>VLOOKUP(Table2[[#This Row],[Course Title]],'TSD-Data'!$A$1:$F$80,5,FALSE)</f>
        <v>0.5</v>
      </c>
      <c r="W108" s="457"/>
      <c r="X108" s="452"/>
      <c r="Y108" s="452"/>
      <c r="Z108" s="457">
        <v>21</v>
      </c>
      <c r="AA108" s="457">
        <v>0</v>
      </c>
      <c r="AB108" s="458">
        <v>0</v>
      </c>
      <c r="AC108" s="458">
        <v>0</v>
      </c>
      <c r="AD108" s="452">
        <v>0</v>
      </c>
      <c r="AE108" s="452" t="s">
        <v>428</v>
      </c>
      <c r="AF108" s="457">
        <f ca="1">Table2[[#This Row],[End Date]]+2-TODAY()</f>
        <v>-5</v>
      </c>
      <c r="AG108" s="458">
        <f>IF(ISBLANK(Table2[[#This Row],[Roster Received by]]),1,0)</f>
        <v>0</v>
      </c>
      <c r="AH108" s="458">
        <f ca="1">IF(Table2[[#This Row],[Start Date]]&gt;TODAY(),1,)</f>
        <v>0</v>
      </c>
      <c r="AI108" s="458">
        <f>IF(ISBLANK(Table2[[#This Row],[Primary Instructor]]),0,1)</f>
        <v>1</v>
      </c>
      <c r="AJ108" s="458">
        <f>IF(ISBLANK(Table2[[#This Row],[Instructor 2]]),0,1)</f>
        <v>0</v>
      </c>
      <c r="AK108" s="458">
        <f>Table2[[#This Row],[Course Length (Hours)]]/(SUM(Table2[[#This Row],[1]:[2]]))</f>
        <v>4</v>
      </c>
      <c r="AL108" s="644">
        <v>7</v>
      </c>
      <c r="AM108" s="458"/>
      <c r="AN108" s="458" t="str">
        <f>VLOOKUP(Table2[[#This Row],[Course Title]],'TSD-Data'!$A$1:$G$80,7,FALSE)</f>
        <v>N3</v>
      </c>
    </row>
    <row r="109" spans="2:40" s="459" customFormat="1" ht="15" customHeight="1" x14ac:dyDescent="0.25">
      <c r="B109" s="450"/>
      <c r="C109" s="7" t="s">
        <v>36</v>
      </c>
      <c r="D109" s="458" t="str">
        <f>VLOOKUP(Table2[[#This Row],[Course Title]],'TSD-Data'!$A$1:$E$80,2,FALSE)</f>
        <v>A-493-0020</v>
      </c>
      <c r="E109" s="458">
        <f>VLOOKUP(Table2[[#This Row],[Course Title]],'TSD-Data'!$A$1:$E$80,3,FALSE)</f>
        <v>3888</v>
      </c>
      <c r="F109" s="451" t="s">
        <v>173</v>
      </c>
      <c r="G109" s="453">
        <v>46000</v>
      </c>
      <c r="H109" s="453">
        <v>46000</v>
      </c>
      <c r="I109" s="454" t="s">
        <v>163</v>
      </c>
      <c r="J109" s="706" t="s">
        <v>449</v>
      </c>
      <c r="K109" s="420"/>
      <c r="L109" s="681"/>
      <c r="M109" s="453"/>
      <c r="N109" s="453"/>
      <c r="O109" s="453"/>
      <c r="P109" s="453"/>
      <c r="Q109" s="456" t="s">
        <v>175</v>
      </c>
      <c r="R109" s="456"/>
      <c r="S109" s="456"/>
      <c r="T109" s="458">
        <f>VLOOKUP(Table2[[#This Row],[Course Title]],'TSD-Data'!$A$1:$E$80,4,FALSE)</f>
        <v>30</v>
      </c>
      <c r="U109" s="458">
        <f>VLOOKUP(Table2[[#This Row],[Course Title]],'TSD-Data'!$A$1:$F$80,6,FALSE)</f>
        <v>4</v>
      </c>
      <c r="V109" s="457">
        <f>VLOOKUP(Table2[[#This Row],[Course Title]],'TSD-Data'!$A$1:$F$80,5,FALSE)</f>
        <v>0.5</v>
      </c>
      <c r="W109" s="457"/>
      <c r="X109" s="452"/>
      <c r="Y109" s="452"/>
      <c r="Z109" s="457">
        <v>10</v>
      </c>
      <c r="AA109" s="457">
        <v>0</v>
      </c>
      <c r="AB109" s="458">
        <v>0</v>
      </c>
      <c r="AC109" s="458">
        <v>0</v>
      </c>
      <c r="AD109" s="452">
        <v>0</v>
      </c>
      <c r="AE109" s="452" t="s">
        <v>428</v>
      </c>
      <c r="AF109" s="457">
        <f ca="1">Table2[[#This Row],[End Date]]+2-TODAY()</f>
        <v>-5</v>
      </c>
      <c r="AG109" s="458">
        <f>IF(ISBLANK(Table2[[#This Row],[Roster Received by]]),1,0)</f>
        <v>0</v>
      </c>
      <c r="AH109" s="458">
        <f ca="1">IF(Table2[[#This Row],[Start Date]]&gt;TODAY(),1,)</f>
        <v>0</v>
      </c>
      <c r="AI109" s="458">
        <f>IF(ISBLANK(Table2[[#This Row],[Primary Instructor]]),0,1)</f>
        <v>1</v>
      </c>
      <c r="AJ109" s="458">
        <f>IF(ISBLANK(Table2[[#This Row],[Instructor 2]]),0,1)</f>
        <v>0</v>
      </c>
      <c r="AK109" s="458">
        <f>Table2[[#This Row],[Course Length (Hours)]]/(SUM(Table2[[#This Row],[1]:[2]]))</f>
        <v>4</v>
      </c>
      <c r="AL109" s="644">
        <v>19</v>
      </c>
      <c r="AM109" s="458"/>
      <c r="AN109" s="458" t="str">
        <f>VLOOKUP(Table2[[#This Row],[Course Title]],'TSD-Data'!$A$1:$G$80,7,FALSE)</f>
        <v>N3</v>
      </c>
    </row>
    <row r="110" spans="2:40" s="428" customFormat="1" ht="15" customHeight="1" x14ac:dyDescent="0.25">
      <c r="B110" s="315"/>
      <c r="C110" s="439" t="s">
        <v>94</v>
      </c>
      <c r="D110" s="316" t="str">
        <f>VLOOKUP(Table2[[#This Row],[Course Title]],'TSD-Data'!$A$1:$E$80,2,FALSE)</f>
        <v>A-493-0331</v>
      </c>
      <c r="E110" s="316" t="str">
        <f>VLOOKUP(Table2[[#This Row],[Course Title]],'TSD-Data'!$A$1:$E$80,3,FALSE)</f>
        <v>10UG</v>
      </c>
      <c r="F110" s="315" t="s">
        <v>25</v>
      </c>
      <c r="G110" s="344">
        <v>46000</v>
      </c>
      <c r="H110" s="344">
        <v>46002</v>
      </c>
      <c r="I110" s="317" t="s">
        <v>163</v>
      </c>
      <c r="J110" s="318"/>
      <c r="K110" s="431">
        <v>0.5</v>
      </c>
      <c r="L110" s="429">
        <v>0.375</v>
      </c>
      <c r="M110" s="431">
        <v>0.83333333333333337</v>
      </c>
      <c r="N110" s="431">
        <v>0.75</v>
      </c>
      <c r="O110" s="431">
        <v>0.29166666666666669</v>
      </c>
      <c r="P110" s="431">
        <v>8.3333333333333329E-2</v>
      </c>
      <c r="Q110" s="321" t="s">
        <v>445</v>
      </c>
      <c r="R110" s="321"/>
      <c r="S110" s="321"/>
      <c r="T110" s="70">
        <f>VLOOKUP(Table2[[#This Row],[Course Title]],'TSD-Data'!$A$1:$E$80,4,FALSE)</f>
        <v>45</v>
      </c>
      <c r="U110" s="316">
        <f>VLOOKUP(Table2[[#This Row],[Course Title]],'TSD-Data'!$A$1:$F$80,6,FALSE)</f>
        <v>24</v>
      </c>
      <c r="V110" s="323">
        <f>VLOOKUP(Table2[[#This Row],[Course Title]],'TSD-Data'!$A$1:$F$80,5,FALSE)</f>
        <v>3</v>
      </c>
      <c r="W110" s="323">
        <v>844</v>
      </c>
      <c r="X110" s="316">
        <f>Table2[[#This Row],[Quotas]]-Table2[[#This Row],[Open Quotas]]</f>
        <v>43</v>
      </c>
      <c r="Y110" s="316">
        <v>0</v>
      </c>
      <c r="Z110" s="323"/>
      <c r="AA110" s="323"/>
      <c r="AB110" s="316"/>
      <c r="AC110" s="316"/>
      <c r="AD110" s="316"/>
      <c r="AE110" s="316"/>
      <c r="AF110" s="323">
        <f ca="1">Table2[[#This Row],[End Date]]+2-TODAY()</f>
        <v>-3</v>
      </c>
      <c r="AG110" s="316">
        <f>IF(ISBLANK(Table2[[#This Row],[Roster Received by]]),1,0)</f>
        <v>1</v>
      </c>
      <c r="AH110" s="316">
        <f ca="1">IF(Table2[[#This Row],[Start Date]]&gt;TODAY(),1,)</f>
        <v>0</v>
      </c>
      <c r="AI110" s="316">
        <f>IF(ISBLANK(Table2[[#This Row],[Primary Instructor]]),0,1)</f>
        <v>1</v>
      </c>
      <c r="AJ110" s="316">
        <f>IF(ISBLANK(Table2[[#This Row],[Instructor 2]]),0,1)</f>
        <v>0</v>
      </c>
      <c r="AK110" s="316">
        <f>Table2[[#This Row],[Course Length (Hours)]]/(SUM(Table2[[#This Row],[1]:[2]]))</f>
        <v>24</v>
      </c>
      <c r="AL110" s="124">
        <v>2</v>
      </c>
      <c r="AM110" s="316">
        <v>1</v>
      </c>
      <c r="AN110" s="363" t="str">
        <f>VLOOKUP(Table2[[#This Row],[Course Title]],'TSD-Data'!$A$1:$G$80,7,FALSE)</f>
        <v>N3</v>
      </c>
    </row>
    <row r="111" spans="2:40" s="428" customFormat="1" ht="15" customHeight="1" x14ac:dyDescent="0.25">
      <c r="B111" s="315"/>
      <c r="C111" s="364" t="s">
        <v>100</v>
      </c>
      <c r="D111" s="316" t="str">
        <f>VLOOKUP(Table2[[#This Row],[Course Title]],'TSD-Data'!$A$1:$E$80,2,FALSE)</f>
        <v>A-493-0550</v>
      </c>
      <c r="E111" s="316" t="str">
        <f>VLOOKUP(Table2[[#This Row],[Course Title]],'TSD-Data'!$A$1:$E$80,3,FALSE)</f>
        <v>09K5</v>
      </c>
      <c r="F111" s="364" t="s">
        <v>25</v>
      </c>
      <c r="G111" s="317">
        <v>46000</v>
      </c>
      <c r="H111" s="317">
        <v>46003</v>
      </c>
      <c r="I111" s="317" t="s">
        <v>163</v>
      </c>
      <c r="J111" s="318"/>
      <c r="K111" s="429">
        <v>0.5</v>
      </c>
      <c r="L111" s="697">
        <v>0.375</v>
      </c>
      <c r="M111" s="429">
        <v>0.83333333333333337</v>
      </c>
      <c r="N111" s="429">
        <v>0.75</v>
      </c>
      <c r="O111" s="429">
        <v>0.29166666666666669</v>
      </c>
      <c r="P111" s="429">
        <v>8.3333333333333329E-2</v>
      </c>
      <c r="Q111" s="321" t="s">
        <v>426</v>
      </c>
      <c r="R111" s="321"/>
      <c r="S111" s="321"/>
      <c r="T111" s="316">
        <f>VLOOKUP(Table2[[#This Row],[Course Title]],'TSD-Data'!$A$1:$E$80,4,FALSE)</f>
        <v>45</v>
      </c>
      <c r="U111" s="316">
        <f>VLOOKUP(Table2[[#This Row],[Course Title]],'TSD-Data'!$A$1:$F$80,6,FALSE)</f>
        <v>32</v>
      </c>
      <c r="V111" s="323">
        <f>VLOOKUP(Table2[[#This Row],[Course Title]],'TSD-Data'!$A$1:$F$80,5,FALSE)</f>
        <v>4</v>
      </c>
      <c r="W111" s="323">
        <v>864</v>
      </c>
      <c r="X111" s="316">
        <f>Table2[[#This Row],[Quotas]]-Table2[[#This Row],[Open Quotas]]</f>
        <v>44</v>
      </c>
      <c r="Y111" s="316">
        <v>0</v>
      </c>
      <c r="Z111" s="323"/>
      <c r="AA111" s="323"/>
      <c r="AB111" s="316"/>
      <c r="AC111" s="316"/>
      <c r="AD111" s="316"/>
      <c r="AE111" s="316"/>
      <c r="AF111" s="323">
        <f ca="1">Table2[[#This Row],[End Date]]+2-TODAY()</f>
        <v>-2</v>
      </c>
      <c r="AG111" s="316">
        <f>IF(ISBLANK(Table2[[#This Row],[Roster Received by]]),1,0)</f>
        <v>1</v>
      </c>
      <c r="AH111" s="316">
        <f ca="1">IF(Table2[[#This Row],[Start Date]]&gt;TODAY(),1,)</f>
        <v>0</v>
      </c>
      <c r="AI111" s="316">
        <f>IF(ISBLANK(Table2[[#This Row],[Primary Instructor]]),0,1)</f>
        <v>1</v>
      </c>
      <c r="AJ111" s="316">
        <f>IF(ISBLANK(Table2[[#This Row],[Instructor 2]]),0,1)</f>
        <v>0</v>
      </c>
      <c r="AK111" s="316">
        <f>Table2[[#This Row],[Course Length (Hours)]]/(SUM(Table2[[#This Row],[1]:[2]]))</f>
        <v>32</v>
      </c>
      <c r="AL111" s="124">
        <v>1</v>
      </c>
      <c r="AM111" s="316">
        <v>1</v>
      </c>
      <c r="AN111" s="363" t="str">
        <f>VLOOKUP(Table2[[#This Row],[Course Title]],'TSD-Data'!$A$1:$G$80,7,FALSE)</f>
        <v>N5</v>
      </c>
    </row>
    <row r="112" spans="2:40" s="428" customFormat="1" ht="15" customHeight="1" x14ac:dyDescent="0.25">
      <c r="B112" s="432" t="s">
        <v>450</v>
      </c>
      <c r="C112" s="439" t="s">
        <v>227</v>
      </c>
      <c r="D112" s="316" t="str">
        <f>VLOOKUP(Table2[[#This Row],[Course Title]],'TSD-Data'!$A$1:$E$80,2,FALSE)</f>
        <v>Function</v>
      </c>
      <c r="E112" s="316" t="str">
        <f>VLOOKUP(Table2[[#This Row],[Course Title]],'TSD-Data'!$A$1:$E$80,3,FALSE)</f>
        <v>Function</v>
      </c>
      <c r="F112" s="439" t="s">
        <v>229</v>
      </c>
      <c r="G112" s="344">
        <v>46001</v>
      </c>
      <c r="H112" s="344">
        <v>46001</v>
      </c>
      <c r="I112" s="317" t="s">
        <v>433</v>
      </c>
      <c r="J112" s="433"/>
      <c r="K112" s="434"/>
      <c r="L112" s="434"/>
      <c r="M112" s="434"/>
      <c r="N112" s="434"/>
      <c r="O112" s="434"/>
      <c r="P112" s="434"/>
      <c r="Q112" s="435" t="s">
        <v>434</v>
      </c>
      <c r="R112" s="435"/>
      <c r="S112" s="435"/>
      <c r="T112" s="316">
        <f>VLOOKUP(Table2[[#This Row],[Course Title]],'TSD-Data'!$A$1:$E$80,4,FALSE)</f>
        <v>0</v>
      </c>
      <c r="U112" s="316">
        <f>VLOOKUP(Table2[[#This Row],[Course Title]],'TSD-Data'!$A$1:$F$80,6,FALSE)</f>
        <v>0</v>
      </c>
      <c r="V112" s="323">
        <f>VLOOKUP(Table2[[#This Row],[Course Title]],'TSD-Data'!$A$1:$F$80,5,FALSE)</f>
        <v>0</v>
      </c>
      <c r="W112" s="436">
        <v>0</v>
      </c>
      <c r="X112" s="316">
        <f>Table2[[#This Row],[Quotas]]-Table2[[#This Row],[Open Quotas]]</f>
        <v>0</v>
      </c>
      <c r="Y112" s="433">
        <v>0</v>
      </c>
      <c r="Z112" s="433">
        <v>0</v>
      </c>
      <c r="AA112" s="433">
        <v>0</v>
      </c>
      <c r="AB112" s="433">
        <v>0</v>
      </c>
      <c r="AC112" s="433">
        <v>0</v>
      </c>
      <c r="AD112" s="433">
        <v>0</v>
      </c>
      <c r="AE112" s="433" t="s">
        <v>435</v>
      </c>
      <c r="AF112" s="323">
        <f ca="1">Table2[[#This Row],[End Date]]+2-TODAY()</f>
        <v>-4</v>
      </c>
      <c r="AG112" s="316">
        <f>IF(ISBLANK(Table2[[#This Row],[Roster Received by]]),1,0)</f>
        <v>0</v>
      </c>
      <c r="AH112" s="316">
        <f ca="1">IF(Table2[[#This Row],[Start Date]]&gt;TODAY(),1,)</f>
        <v>0</v>
      </c>
      <c r="AI112" s="316">
        <f>IF(ISBLANK(Table2[[#This Row],[Primary Instructor]]),0,1)</f>
        <v>1</v>
      </c>
      <c r="AJ112" s="316">
        <f>IF(ISBLANK(Table2[[#This Row],[Instructor 2]]),0,1)</f>
        <v>0</v>
      </c>
      <c r="AK112" s="316">
        <f>Table2[[#This Row],[Course Length (Hours)]]/(SUM(Table2[[#This Row],[1]:[2]]))</f>
        <v>0</v>
      </c>
      <c r="AL112" s="639">
        <v>0</v>
      </c>
      <c r="AM112" s="316">
        <v>1</v>
      </c>
      <c r="AN112" s="363" t="str">
        <f>VLOOKUP(Table2[[#This Row],[Course Title]],'TSD-Data'!$A$1:$G$80,7,FALSE)</f>
        <v>TSD</v>
      </c>
    </row>
    <row r="113" spans="2:40" s="459" customFormat="1" ht="15" customHeight="1" x14ac:dyDescent="0.25">
      <c r="B113" s="450"/>
      <c r="C113" s="451" t="s">
        <v>395</v>
      </c>
      <c r="D113" s="452" t="str">
        <f>VLOOKUP(Table2[[#This Row],[Course Title]],'TSD-Data'!$A$1:$E$80,2,FALSE)</f>
        <v>A-493-3002</v>
      </c>
      <c r="E113" s="452" t="str">
        <f>VLOOKUP(Table2[[#This Row],[Course Title]],'TSD-Data'!$A$1:$E$80,3,FALSE)</f>
        <v>31V4</v>
      </c>
      <c r="F113" s="451" t="s">
        <v>25</v>
      </c>
      <c r="G113" s="453">
        <v>46005</v>
      </c>
      <c r="H113" s="453">
        <v>46005</v>
      </c>
      <c r="I113" s="454" t="s">
        <v>163</v>
      </c>
      <c r="J113" s="455"/>
      <c r="K113" s="420">
        <v>0.75</v>
      </c>
      <c r="L113" s="420">
        <v>0.625</v>
      </c>
      <c r="M113" s="420">
        <v>8.3333333333333329E-2</v>
      </c>
      <c r="N113" s="420">
        <v>0</v>
      </c>
      <c r="O113" s="420">
        <v>0.54166666666666663</v>
      </c>
      <c r="P113" s="420">
        <v>0.33333333333333331</v>
      </c>
      <c r="Q113" s="456" t="s">
        <v>439</v>
      </c>
      <c r="R113" s="456"/>
      <c r="S113" s="456"/>
      <c r="T113" s="452">
        <f>VLOOKUP(Table2[[#This Row],[Course Title]],'TSD-Data'!$A$1:$E$80,4,FALSE)</f>
        <v>1000</v>
      </c>
      <c r="U113" s="452">
        <f>VLOOKUP(Table2[[#This Row],[Course Title]],'TSD-Data'!$A$1:$F$80,6,FALSE)</f>
        <v>4</v>
      </c>
      <c r="V113" s="457">
        <f>VLOOKUP(Table2[[#This Row],[Course Title]],'TSD-Data'!$A$1:$F$80,5,FALSE)</f>
        <v>0.5</v>
      </c>
      <c r="W113" s="457">
        <v>0</v>
      </c>
      <c r="X113" s="452">
        <f>Table2[[#This Row],[Quotas]]-Table2[[#This Row],[Open Quotas]]</f>
        <v>1</v>
      </c>
      <c r="Y113" s="452">
        <v>0</v>
      </c>
      <c r="Z113" s="457">
        <v>37</v>
      </c>
      <c r="AA113" s="457">
        <v>0</v>
      </c>
      <c r="AB113" s="452">
        <v>0</v>
      </c>
      <c r="AC113" s="452">
        <v>0</v>
      </c>
      <c r="AD113" s="452">
        <v>6</v>
      </c>
      <c r="AE113" s="452" t="s">
        <v>440</v>
      </c>
      <c r="AF113" s="457">
        <f ca="1">Table2[[#This Row],[End Date]]+2-TODAY()</f>
        <v>0</v>
      </c>
      <c r="AG113" s="452">
        <f>IF(ISBLANK(Table2[[#This Row],[Roster Received by]]),1,0)</f>
        <v>0</v>
      </c>
      <c r="AH113" s="452">
        <f ca="1">IF(Table2[[#This Row],[Start Date]]&gt;TODAY(),1,)</f>
        <v>0</v>
      </c>
      <c r="AI113" s="452">
        <f>IF(ISBLANK(Table2[[#This Row],[Primary Instructor]]),0,1)</f>
        <v>1</v>
      </c>
      <c r="AJ113" s="452">
        <f>IF(ISBLANK(Table2[[#This Row],[Instructor 2]]),0,1)</f>
        <v>0</v>
      </c>
      <c r="AK113" s="452">
        <f>Table2[[#This Row],[Course Length (Hours)]]/(SUM(Table2[[#This Row],[1]:[2]]))</f>
        <v>4</v>
      </c>
      <c r="AL113" s="640">
        <v>999</v>
      </c>
      <c r="AM113" s="452">
        <v>1</v>
      </c>
      <c r="AN113" s="458" t="str">
        <f>VLOOKUP(Table2[[#This Row],[Course Title]],'TSD-Data'!$A$1:$G$80,7,FALSE)</f>
        <v>N8</v>
      </c>
    </row>
    <row r="114" spans="2:40" s="459" customFormat="1" ht="15" customHeight="1" x14ac:dyDescent="0.25">
      <c r="B114" s="450"/>
      <c r="C114" s="451" t="s">
        <v>404</v>
      </c>
      <c r="D114" s="458" t="str">
        <f>VLOOKUP(Table2[[#This Row],[Course Title]],'TSD-Data'!$A$1:$E$80,2,FALSE)</f>
        <v>A-493-3006</v>
      </c>
      <c r="E114" s="458" t="str">
        <f>VLOOKUP(Table2[[#This Row],[Course Title]],'TSD-Data'!$A$1:$E$80,3,FALSE)</f>
        <v>31V8</v>
      </c>
      <c r="F114" s="451" t="s">
        <v>25</v>
      </c>
      <c r="G114" s="453">
        <v>46005</v>
      </c>
      <c r="H114" s="453">
        <v>46005</v>
      </c>
      <c r="I114" s="454" t="s">
        <v>163</v>
      </c>
      <c r="J114" s="455"/>
      <c r="K114" s="420">
        <v>0.95833333333333337</v>
      </c>
      <c r="L114" s="420">
        <v>0.83333333333333337</v>
      </c>
      <c r="M114" s="420">
        <v>0.29166666666666669</v>
      </c>
      <c r="N114" s="420">
        <v>0.20833333333333334</v>
      </c>
      <c r="O114" s="420">
        <v>0.75</v>
      </c>
      <c r="P114" s="420">
        <v>0.54166666666666663</v>
      </c>
      <c r="Q114" s="456" t="s">
        <v>439</v>
      </c>
      <c r="R114" s="456"/>
      <c r="S114" s="456"/>
      <c r="T114" s="657">
        <f>VLOOKUP(Table2[[#This Row],[Course Title]],'TSD-Data'!$A$1:$E$80,4,FALSE)</f>
        <v>1000</v>
      </c>
      <c r="U114" s="458">
        <f>VLOOKUP(Table2[[#This Row],[Course Title]],'TSD-Data'!$A$1:$F$80,6,FALSE)</f>
        <v>0.75</v>
      </c>
      <c r="V114" s="457">
        <f>VLOOKUP(Table2[[#This Row],[Course Title]],'TSD-Data'!$A$1:$F$80,5,FALSE)</f>
        <v>0.1</v>
      </c>
      <c r="W114" s="457"/>
      <c r="X114" s="452">
        <f>Table2[[#This Row],[Quotas]]-Table2[[#This Row],[Open Quotas]]</f>
        <v>1</v>
      </c>
      <c r="Y114" s="452">
        <v>0</v>
      </c>
      <c r="Z114" s="457">
        <v>37</v>
      </c>
      <c r="AA114" s="457">
        <v>0</v>
      </c>
      <c r="AB114" s="458">
        <v>0</v>
      </c>
      <c r="AC114" s="458">
        <v>0</v>
      </c>
      <c r="AD114" s="452">
        <v>6</v>
      </c>
      <c r="AE114" s="452" t="s">
        <v>440</v>
      </c>
      <c r="AF114" s="457">
        <f ca="1">Table2[[#This Row],[End Date]]+2-TODAY()</f>
        <v>0</v>
      </c>
      <c r="AG114" s="452">
        <f>IF(ISBLANK(Table2[[#This Row],[Roster Received by]]),1,0)</f>
        <v>0</v>
      </c>
      <c r="AH114" s="452">
        <f ca="1">IF(Table2[[#This Row],[Start Date]]&gt;TODAY(),1,)</f>
        <v>0</v>
      </c>
      <c r="AI114" s="452">
        <f>IF(ISBLANK(Table2[[#This Row],[Primary Instructor]]),0,1)</f>
        <v>1</v>
      </c>
      <c r="AJ114" s="452">
        <f>IF(ISBLANK(Table2[[#This Row],[Instructor 2]]),0,1)</f>
        <v>0</v>
      </c>
      <c r="AK114" s="452">
        <f>Table2[[#This Row],[Course Length (Hours)]]/(SUM(Table2[[#This Row],[1]:[2]]))</f>
        <v>0.75</v>
      </c>
      <c r="AL114" s="644">
        <v>999</v>
      </c>
      <c r="AM114" s="452">
        <v>1</v>
      </c>
      <c r="AN114" s="458" t="str">
        <f>VLOOKUP(Table2[[#This Row],[Course Title]],'TSD-Data'!$A$1:$G$80,7,FALSE)</f>
        <v>N8</v>
      </c>
    </row>
    <row r="115" spans="2:40" s="428" customFormat="1" ht="15" customHeight="1" x14ac:dyDescent="0.25">
      <c r="B115" s="315" t="s">
        <v>451</v>
      </c>
      <c r="C115" s="364" t="s">
        <v>23</v>
      </c>
      <c r="D115" s="316" t="str">
        <f>VLOOKUP(Table2[[#This Row],[Course Title]],'TSD-Data'!$A$1:$E$80,2,FALSE)</f>
        <v>A-4J-0022</v>
      </c>
      <c r="E115" s="316" t="str">
        <f>VLOOKUP(Table2[[#This Row],[Course Title]],'TSD-Data'!$A$1:$E$80,3,FALSE)</f>
        <v>09ER</v>
      </c>
      <c r="F115" s="364" t="s">
        <v>25</v>
      </c>
      <c r="G115" s="317">
        <v>46006</v>
      </c>
      <c r="H115" s="317">
        <v>46010</v>
      </c>
      <c r="I115" s="317" t="s">
        <v>163</v>
      </c>
      <c r="J115" s="318"/>
      <c r="K115" s="429">
        <v>0.5</v>
      </c>
      <c r="L115" s="697">
        <v>0.375</v>
      </c>
      <c r="M115" s="429">
        <v>0.83333333333333337</v>
      </c>
      <c r="N115" s="429">
        <v>0.75</v>
      </c>
      <c r="O115" s="429">
        <v>0.29166666666666669</v>
      </c>
      <c r="P115" s="429">
        <v>8.3333333333333329E-2</v>
      </c>
      <c r="Q115" s="321" t="s">
        <v>285</v>
      </c>
      <c r="R115" s="321"/>
      <c r="S115" s="321"/>
      <c r="T115" s="316">
        <f>VLOOKUP(Table2[[#This Row],[Course Title]],'TSD-Data'!$A$1:$E$80,4,FALSE)</f>
        <v>45</v>
      </c>
      <c r="U115" s="316">
        <f>VLOOKUP(Table2[[#This Row],[Course Title]],'TSD-Data'!$A$1:$F$80,6,FALSE)</f>
        <v>16</v>
      </c>
      <c r="V115" s="323">
        <f>VLOOKUP(Table2[[#This Row],[Course Title]],'TSD-Data'!$A$1:$F$80,5,FALSE)</f>
        <v>2</v>
      </c>
      <c r="W115" s="323">
        <v>130</v>
      </c>
      <c r="X115" s="316">
        <f>Table2[[#This Row],[Quotas]]-Table2[[#This Row],[Open Quotas]]</f>
        <v>24</v>
      </c>
      <c r="Y115" s="316"/>
      <c r="Z115" s="323"/>
      <c r="AA115" s="323"/>
      <c r="AB115" s="316"/>
      <c r="AC115" s="316"/>
      <c r="AD115" s="316"/>
      <c r="AE115" s="316"/>
      <c r="AF115" s="323">
        <f ca="1">Table2[[#This Row],[End Date]]+2-TODAY()</f>
        <v>5</v>
      </c>
      <c r="AG115" s="316">
        <f>IF(ISBLANK(Table2[[#This Row],[Roster Received by]]),1,0)</f>
        <v>1</v>
      </c>
      <c r="AH115" s="316">
        <f ca="1">IF(Table2[[#This Row],[Start Date]]&gt;TODAY(),1,)</f>
        <v>0</v>
      </c>
      <c r="AI115" s="316">
        <f>IF(ISBLANK(Table2[[#This Row],[Primary Instructor]]),0,1)</f>
        <v>1</v>
      </c>
      <c r="AJ115" s="316">
        <f>IF(ISBLANK(Table2[[#This Row],[Instructor 2]]),0,1)</f>
        <v>0</v>
      </c>
      <c r="AK115" s="316">
        <f>Table2[[#This Row],[Course Length (Hours)]]/(SUM(Table2[[#This Row],[1]:[2]]))</f>
        <v>16</v>
      </c>
      <c r="AL115" s="124">
        <v>21</v>
      </c>
      <c r="AM115" s="316">
        <v>1</v>
      </c>
      <c r="AN115" s="363" t="str">
        <f>VLOOKUP(Table2[[#This Row],[Course Title]],'TSD-Data'!$A$1:$G$80,7,FALSE)</f>
        <v>N4</v>
      </c>
    </row>
    <row r="116" spans="2:40" s="428" customFormat="1" ht="15" customHeight="1" x14ac:dyDescent="0.25">
      <c r="B116" s="364"/>
      <c r="C116" s="364" t="s">
        <v>393</v>
      </c>
      <c r="D116" s="316" t="str">
        <f>VLOOKUP(Table2[[#This Row],[Course Title]],'TSD-Data'!$A$1:$E$80,2,FALSE)</f>
        <v>A-493-3011</v>
      </c>
      <c r="E116" s="316" t="str">
        <f>VLOOKUP(Table2[[#This Row],[Course Title]],'TSD-Data'!$A$1:$E$80,3,FALSE)</f>
        <v>31VD</v>
      </c>
      <c r="F116" s="315" t="s">
        <v>25</v>
      </c>
      <c r="G116" s="344">
        <v>46006</v>
      </c>
      <c r="H116" s="344">
        <v>46006</v>
      </c>
      <c r="I116" s="317" t="s">
        <v>163</v>
      </c>
      <c r="J116" s="318"/>
      <c r="K116" s="318">
        <v>0.95833333333333337</v>
      </c>
      <c r="L116" s="696">
        <v>0.83333333333333337</v>
      </c>
      <c r="M116" s="318">
        <v>0.29166666666666669</v>
      </c>
      <c r="N116" s="318">
        <v>0.20833333333333334</v>
      </c>
      <c r="O116" s="318">
        <v>0.75</v>
      </c>
      <c r="P116" s="318">
        <v>0.54166666666666663</v>
      </c>
      <c r="Q116" s="321" t="s">
        <v>439</v>
      </c>
      <c r="R116" s="321"/>
      <c r="S116" s="321"/>
      <c r="T116" s="316">
        <f>VLOOKUP(Table2[[#This Row],[Course Title]],'TSD-Data'!$A$1:$E$80,4,FALSE)</f>
        <v>1000</v>
      </c>
      <c r="U116" s="316">
        <f>VLOOKUP(Table2[[#This Row],[Course Title]],'TSD-Data'!$A$1:$F$80,6,FALSE)</f>
        <v>2.5</v>
      </c>
      <c r="V116" s="323">
        <f>VLOOKUP(Table2[[#This Row],[Course Title]],'TSD-Data'!$A$1:$F$80,5,FALSE)</f>
        <v>0.3</v>
      </c>
      <c r="W116" s="323">
        <v>0</v>
      </c>
      <c r="X116" s="316">
        <f>Table2[[#This Row],[Quotas]]-Table2[[#This Row],[Open Quotas]]</f>
        <v>1</v>
      </c>
      <c r="Y116" s="316">
        <v>0</v>
      </c>
      <c r="Z116" s="323"/>
      <c r="AA116" s="323"/>
      <c r="AB116" s="316"/>
      <c r="AC116" s="316"/>
      <c r="AD116" s="316"/>
      <c r="AE116" s="316"/>
      <c r="AF116" s="323">
        <f ca="1">Table2[[#This Row],[End Date]]+2-TODAY()</f>
        <v>1</v>
      </c>
      <c r="AG116" s="316">
        <f>IF(ISBLANK(Table2[[#This Row],[Roster Received by]]),1,0)</f>
        <v>1</v>
      </c>
      <c r="AH116" s="316">
        <f ca="1">IF(Table2[[#This Row],[Start Date]]&gt;TODAY(),1,)</f>
        <v>0</v>
      </c>
      <c r="AI116" s="316">
        <f>IF(ISBLANK(Table2[[#This Row],[Primary Instructor]]),0,1)</f>
        <v>1</v>
      </c>
      <c r="AJ116" s="316">
        <f>IF(ISBLANK(Table2[[#This Row],[Instructor 2]]),0,1)</f>
        <v>0</v>
      </c>
      <c r="AK116" s="316">
        <f>Table2[[#This Row],[Course Length (Hours)]]/(SUM(Table2[[#This Row],[1]:[2]]))</f>
        <v>2.5</v>
      </c>
      <c r="AL116" s="124">
        <v>999</v>
      </c>
      <c r="AM116" s="316">
        <v>1</v>
      </c>
      <c r="AN116" s="363" t="str">
        <f>VLOOKUP(Table2[[#This Row],[Course Title]],'TSD-Data'!$A$1:$G$80,7,FALSE)</f>
        <v>N8</v>
      </c>
    </row>
    <row r="117" spans="2:40" s="428" customFormat="1" ht="15" customHeight="1" x14ac:dyDescent="0.25">
      <c r="B117" s="315"/>
      <c r="C117" s="364" t="s">
        <v>394</v>
      </c>
      <c r="D117" s="316" t="str">
        <f>VLOOKUP(Table2[[#This Row],[Course Title]],'TSD-Data'!$A$1:$E$80,2,FALSE)</f>
        <v>A-493-3010</v>
      </c>
      <c r="E117" s="316" t="str">
        <f>VLOOKUP(Table2[[#This Row],[Course Title]],'TSD-Data'!$A$1:$E$80,3,FALSE)</f>
        <v>31VC</v>
      </c>
      <c r="F117" s="315" t="s">
        <v>25</v>
      </c>
      <c r="G117" s="344">
        <v>46006</v>
      </c>
      <c r="H117" s="344">
        <v>46006</v>
      </c>
      <c r="I117" s="317" t="s">
        <v>163</v>
      </c>
      <c r="J117" s="318"/>
      <c r="K117" s="318">
        <v>0.75</v>
      </c>
      <c r="L117" s="345">
        <v>0.625</v>
      </c>
      <c r="M117" s="318">
        <v>8.3333333333333329E-2</v>
      </c>
      <c r="N117" s="318">
        <v>0</v>
      </c>
      <c r="O117" s="318">
        <v>0.54166666666666663</v>
      </c>
      <c r="P117" s="318">
        <v>0.33333333333333331</v>
      </c>
      <c r="Q117" s="321" t="s">
        <v>439</v>
      </c>
      <c r="R117" s="321"/>
      <c r="S117" s="321"/>
      <c r="T117" s="316">
        <f>VLOOKUP(Table2[[#This Row],[Course Title]],'TSD-Data'!$A$1:$E$80,4,FALSE)</f>
        <v>1000</v>
      </c>
      <c r="U117" s="316">
        <f>VLOOKUP(Table2[[#This Row],[Course Title]],'TSD-Data'!$A$1:$F$80,6,FALSE)</f>
        <v>3.5</v>
      </c>
      <c r="V117" s="323">
        <f>VLOOKUP(Table2[[#This Row],[Course Title]],'TSD-Data'!$A$1:$F$80,5,FALSE)</f>
        <v>0.4</v>
      </c>
      <c r="W117" s="323">
        <v>0</v>
      </c>
      <c r="X117" s="316">
        <f>Table2[[#This Row],[Quotas]]-Table2[[#This Row],[Open Quotas]]</f>
        <v>9</v>
      </c>
      <c r="Y117" s="316">
        <v>0</v>
      </c>
      <c r="Z117" s="323"/>
      <c r="AA117" s="323"/>
      <c r="AB117" s="316"/>
      <c r="AC117" s="316"/>
      <c r="AD117" s="316"/>
      <c r="AE117" s="316"/>
      <c r="AF117" s="323">
        <f ca="1">Table2[[#This Row],[End Date]]+2-TODAY()</f>
        <v>1</v>
      </c>
      <c r="AG117" s="316">
        <f>IF(ISBLANK(Table2[[#This Row],[Roster Received by]]),1,0)</f>
        <v>1</v>
      </c>
      <c r="AH117" s="316">
        <f ca="1">IF(Table2[[#This Row],[Start Date]]&gt;TODAY(),1,)</f>
        <v>0</v>
      </c>
      <c r="AI117" s="316">
        <f>IF(ISBLANK(Table2[[#This Row],[Primary Instructor]]),0,1)</f>
        <v>1</v>
      </c>
      <c r="AJ117" s="316">
        <f>IF(ISBLANK(Table2[[#This Row],[Instructor 2]]),0,1)</f>
        <v>0</v>
      </c>
      <c r="AK117" s="316">
        <f>Table2[[#This Row],[Course Length (Hours)]]/(SUM(Table2[[#This Row],[1]:[2]]))</f>
        <v>3.5</v>
      </c>
      <c r="AL117" s="124">
        <v>991</v>
      </c>
      <c r="AM117" s="316">
        <v>1</v>
      </c>
      <c r="AN117" s="363" t="str">
        <f>VLOOKUP(Table2[[#This Row],[Course Title]],'TSD-Data'!$A$1:$G$80,7,FALSE)</f>
        <v>N8</v>
      </c>
    </row>
    <row r="118" spans="2:40" s="459" customFormat="1" ht="15" customHeight="1" x14ac:dyDescent="0.25">
      <c r="B118" s="450"/>
      <c r="C118" s="451" t="s">
        <v>401</v>
      </c>
      <c r="D118" s="458" t="str">
        <f>VLOOKUP(Table2[[#This Row],[Course Title]],'TSD-Data'!$A$1:$E$80,2,FALSE)</f>
        <v>A-493-3003</v>
      </c>
      <c r="E118" s="458" t="str">
        <f>VLOOKUP(Table2[[#This Row],[Course Title]],'TSD-Data'!$A$1:$E$80,3,FALSE)</f>
        <v>31V5</v>
      </c>
      <c r="F118" s="450" t="s">
        <v>25</v>
      </c>
      <c r="G118" s="453">
        <v>46006</v>
      </c>
      <c r="H118" s="453">
        <v>46006</v>
      </c>
      <c r="I118" s="454" t="s">
        <v>163</v>
      </c>
      <c r="J118" s="455"/>
      <c r="K118" s="420">
        <v>4.1666666666666664E-2</v>
      </c>
      <c r="L118" s="688">
        <v>0.91666666666666663</v>
      </c>
      <c r="M118" s="420">
        <v>0.375</v>
      </c>
      <c r="N118" s="420">
        <v>0.29166666666666669</v>
      </c>
      <c r="O118" s="420">
        <v>0.83333333333333337</v>
      </c>
      <c r="P118" s="420">
        <v>0.625</v>
      </c>
      <c r="Q118" s="456" t="s">
        <v>439</v>
      </c>
      <c r="R118" s="456"/>
      <c r="S118" s="456"/>
      <c r="T118" s="657">
        <f>VLOOKUP(Table2[[#This Row],[Course Title]],'TSD-Data'!$A$1:$E$80,4,FALSE)</f>
        <v>1000</v>
      </c>
      <c r="U118" s="458">
        <f>VLOOKUP(Table2[[#This Row],[Course Title]],'TSD-Data'!$A$1:$F$80,6,FALSE)</f>
        <v>0.75</v>
      </c>
      <c r="V118" s="457">
        <f>VLOOKUP(Table2[[#This Row],[Course Title]],'TSD-Data'!$A$1:$F$80,5,FALSE)</f>
        <v>0.1</v>
      </c>
      <c r="W118" s="457"/>
      <c r="X118" s="452">
        <f>Table2[[#This Row],[Quotas]]-Table2[[#This Row],[Open Quotas]]</f>
        <v>1</v>
      </c>
      <c r="Y118" s="452">
        <v>0</v>
      </c>
      <c r="Z118" s="457">
        <v>25</v>
      </c>
      <c r="AA118" s="457">
        <v>0</v>
      </c>
      <c r="AB118" s="458">
        <v>0</v>
      </c>
      <c r="AC118" s="458">
        <v>0</v>
      </c>
      <c r="AD118" s="452">
        <v>3</v>
      </c>
      <c r="AE118" s="452" t="s">
        <v>440</v>
      </c>
      <c r="AF118" s="457">
        <f ca="1">Table2[[#This Row],[End Date]]+2-TODAY()</f>
        <v>1</v>
      </c>
      <c r="AG118" s="452">
        <f>IF(ISBLANK(Table2[[#This Row],[Roster Received by]]),1,0)</f>
        <v>0</v>
      </c>
      <c r="AH118" s="452">
        <f ca="1">IF(Table2[[#This Row],[Start Date]]&gt;TODAY(),1,)</f>
        <v>0</v>
      </c>
      <c r="AI118" s="452">
        <f>IF(ISBLANK(Table2[[#This Row],[Primary Instructor]]),0,1)</f>
        <v>1</v>
      </c>
      <c r="AJ118" s="452">
        <f>IF(ISBLANK(Table2[[#This Row],[Instructor 2]]),0,1)</f>
        <v>0</v>
      </c>
      <c r="AK118" s="452">
        <f>Table2[[#This Row],[Course Length (Hours)]]/(SUM(Table2[[#This Row],[1]:[2]]))</f>
        <v>0.75</v>
      </c>
      <c r="AL118" s="644">
        <v>999</v>
      </c>
      <c r="AM118" s="452">
        <v>1</v>
      </c>
      <c r="AN118" s="458" t="str">
        <f>VLOOKUP(Table2[[#This Row],[Course Title]],'TSD-Data'!$A$1:$G$80,7,FALSE)</f>
        <v>N8</v>
      </c>
    </row>
    <row r="119" spans="2:40" s="459" customFormat="1" ht="15" customHeight="1" x14ac:dyDescent="0.25">
      <c r="B119" s="450"/>
      <c r="C119" s="451" t="s">
        <v>407</v>
      </c>
      <c r="D119" s="458" t="str">
        <f>VLOOKUP(Table2[[#This Row],[Course Title]],'TSD-Data'!$A$1:$E$80,2,FALSE)</f>
        <v>A-493-3007</v>
      </c>
      <c r="E119" s="458" t="str">
        <f>VLOOKUP(Table2[[#This Row],[Course Title]],'TSD-Data'!$A$1:$E$80,3,FALSE)</f>
        <v>31V9</v>
      </c>
      <c r="F119" s="450" t="s">
        <v>25</v>
      </c>
      <c r="G119" s="453">
        <v>46006</v>
      </c>
      <c r="H119" s="453">
        <v>46006</v>
      </c>
      <c r="I119" s="454" t="s">
        <v>163</v>
      </c>
      <c r="J119" s="455"/>
      <c r="K119" s="455">
        <v>6.9444444444444447E-4</v>
      </c>
      <c r="L119" s="420">
        <v>0.87569444444444444</v>
      </c>
      <c r="M119" s="455">
        <v>0.83402777777777781</v>
      </c>
      <c r="N119" s="455">
        <v>0.25069444444444444</v>
      </c>
      <c r="O119" s="455">
        <v>0.79236111111111107</v>
      </c>
      <c r="P119" s="455">
        <v>0.58402777777777781</v>
      </c>
      <c r="Q119" s="456" t="s">
        <v>439</v>
      </c>
      <c r="R119" s="456"/>
      <c r="S119" s="456"/>
      <c r="T119" s="657">
        <f>VLOOKUP(Table2[[#This Row],[Course Title]],'TSD-Data'!$A$1:$E$80,4,FALSE)</f>
        <v>1000</v>
      </c>
      <c r="U119" s="458">
        <f>VLOOKUP(Table2[[#This Row],[Course Title]],'TSD-Data'!$A$1:$F$80,6,FALSE)</f>
        <v>0.75</v>
      </c>
      <c r="V119" s="457">
        <f>VLOOKUP(Table2[[#This Row],[Course Title]],'TSD-Data'!$A$1:$F$80,5,FALSE)</f>
        <v>0.1</v>
      </c>
      <c r="W119" s="457"/>
      <c r="X119" s="452">
        <f>Table2[[#This Row],[Quotas]]-Table2[[#This Row],[Open Quotas]]</f>
        <v>1</v>
      </c>
      <c r="Y119" s="452">
        <v>0</v>
      </c>
      <c r="Z119" s="457">
        <v>32</v>
      </c>
      <c r="AA119" s="457">
        <v>0</v>
      </c>
      <c r="AB119" s="458">
        <v>0</v>
      </c>
      <c r="AC119" s="458">
        <v>0</v>
      </c>
      <c r="AD119" s="452">
        <v>4</v>
      </c>
      <c r="AE119" s="452" t="s">
        <v>440</v>
      </c>
      <c r="AF119" s="457">
        <f ca="1">Table2[[#This Row],[End Date]]+2-TODAY()</f>
        <v>1</v>
      </c>
      <c r="AG119" s="452">
        <f>IF(ISBLANK(Table2[[#This Row],[Roster Received by]]),1,0)</f>
        <v>0</v>
      </c>
      <c r="AH119" s="452">
        <f ca="1">IF(Table2[[#This Row],[Start Date]]&gt;TODAY(),1,)</f>
        <v>0</v>
      </c>
      <c r="AI119" s="452">
        <f>IF(ISBLANK(Table2[[#This Row],[Primary Instructor]]),0,1)</f>
        <v>1</v>
      </c>
      <c r="AJ119" s="452">
        <f>IF(ISBLANK(Table2[[#This Row],[Instructor 2]]),0,1)</f>
        <v>0</v>
      </c>
      <c r="AK119" s="452">
        <f>Table2[[#This Row],[Course Length (Hours)]]/(SUM(Table2[[#This Row],[1]:[2]]))</f>
        <v>0.75</v>
      </c>
      <c r="AL119" s="644">
        <v>999</v>
      </c>
      <c r="AM119" s="452">
        <v>1</v>
      </c>
      <c r="AN119" s="458" t="str">
        <f>VLOOKUP(Table2[[#This Row],[Course Title]],'TSD-Data'!$A$1:$G$80,7,FALSE)</f>
        <v>N8</v>
      </c>
    </row>
    <row r="120" spans="2:40" s="428" customFormat="1" ht="15" customHeight="1" x14ac:dyDescent="0.25">
      <c r="B120" s="315"/>
      <c r="C120" s="364" t="s">
        <v>48</v>
      </c>
      <c r="D120" s="363" t="str">
        <f>VLOOKUP(Table2[[#This Row],[Course Title]],'TSD-Data'!$A$1:$E$80,2,FALSE)</f>
        <v>A-493-0103</v>
      </c>
      <c r="E120" s="363" t="str">
        <f>VLOOKUP(Table2[[#This Row],[Course Title]],'TSD-Data'!$A$1:$E$80,3,FALSE)</f>
        <v>12JY</v>
      </c>
      <c r="F120" s="443" t="s">
        <v>279</v>
      </c>
      <c r="G120" s="344">
        <v>46006</v>
      </c>
      <c r="H120" s="344">
        <v>46010</v>
      </c>
      <c r="I120" s="317" t="s">
        <v>163</v>
      </c>
      <c r="J120" s="318">
        <v>0.33333333333333331</v>
      </c>
      <c r="K120" s="345"/>
      <c r="L120" s="344"/>
      <c r="M120" s="344"/>
      <c r="N120" s="344"/>
      <c r="O120" s="344"/>
      <c r="P120" s="344"/>
      <c r="Q120" s="321" t="s">
        <v>275</v>
      </c>
      <c r="R120" s="321"/>
      <c r="S120" s="321"/>
      <c r="T120" s="316">
        <f>VLOOKUP(Table2[[#This Row],[Course Title]],'TSD-Data'!$A$1:$E$80,4,FALSE)</f>
        <v>25</v>
      </c>
      <c r="U120" s="316">
        <f>VLOOKUP(Table2[[#This Row],[Course Title]],'TSD-Data'!$A$1:$F$80,6,FALSE)</f>
        <v>40</v>
      </c>
      <c r="V120" s="323">
        <f>VLOOKUP(Table2[[#This Row],[Course Title]],'TSD-Data'!$A$1:$F$80,5,FALSE)</f>
        <v>5</v>
      </c>
      <c r="W120" s="323">
        <v>225</v>
      </c>
      <c r="X120" s="316">
        <f>Table2[[#This Row],[Quotas]]-Table2[[#This Row],[Open Quotas]]</f>
        <v>24</v>
      </c>
      <c r="Y120" s="316">
        <v>0</v>
      </c>
      <c r="Z120" s="323"/>
      <c r="AA120" s="323"/>
      <c r="AB120" s="363"/>
      <c r="AC120" s="363"/>
      <c r="AD120" s="316"/>
      <c r="AE120" s="316"/>
      <c r="AF120" s="323">
        <f ca="1">Table2[[#This Row],[End Date]]+2-TODAY()</f>
        <v>5</v>
      </c>
      <c r="AG120" s="316">
        <f>IF(ISBLANK(Table2[[#This Row],[Roster Received by]]),1,0)</f>
        <v>1</v>
      </c>
      <c r="AH120" s="316">
        <f ca="1">IF(Table2[[#This Row],[Start Date]]&gt;TODAY(),1,)</f>
        <v>0</v>
      </c>
      <c r="AI120" s="316">
        <f>IF(ISBLANK(Table2[[#This Row],[Primary Instructor]]),0,1)</f>
        <v>1</v>
      </c>
      <c r="AJ120" s="316">
        <f>IF(ISBLANK(Table2[[#This Row],[Instructor 2]]),0,1)</f>
        <v>0</v>
      </c>
      <c r="AK120" s="316">
        <f>Table2[[#This Row],[Course Length (Hours)]]/(SUM(Table2[[#This Row],[1]:[2]]))</f>
        <v>40</v>
      </c>
      <c r="AL120" s="638">
        <v>1</v>
      </c>
      <c r="AM120" s="316">
        <v>1</v>
      </c>
      <c r="AN120" s="363" t="str">
        <f>VLOOKUP(Table2[[#This Row],[Course Title]],'TSD-Data'!$A$1:$G$80,7,FALSE)</f>
        <v>N5</v>
      </c>
    </row>
    <row r="121" spans="2:40" s="428" customFormat="1" ht="15" customHeight="1" x14ac:dyDescent="0.25">
      <c r="B121" s="315"/>
      <c r="C121" s="364" t="s">
        <v>71</v>
      </c>
      <c r="D121" s="316" t="str">
        <f>VLOOKUP(Table2[[#This Row],[Course Title]],'TSD-Data'!$A$1:$E$80,2,FALSE)</f>
        <v>A-493-0061</v>
      </c>
      <c r="E121" s="316" t="str">
        <f>VLOOKUP(Table2[[#This Row],[Course Title]],'TSD-Data'!$A$1:$E$80,3,FALSE)</f>
        <v>288E</v>
      </c>
      <c r="F121" s="364" t="s">
        <v>25</v>
      </c>
      <c r="G121" s="344">
        <v>46006</v>
      </c>
      <c r="H121" s="344">
        <v>46009</v>
      </c>
      <c r="I121" s="317" t="s">
        <v>163</v>
      </c>
      <c r="J121" s="318"/>
      <c r="K121" s="345">
        <v>0.79166666666666663</v>
      </c>
      <c r="L121" s="429">
        <v>0.66666666666666663</v>
      </c>
      <c r="M121" s="429">
        <v>0.125</v>
      </c>
      <c r="N121" s="429">
        <v>4.1666666666666664E-2</v>
      </c>
      <c r="O121" s="429">
        <v>0.58333333333333337</v>
      </c>
      <c r="P121" s="429">
        <v>0.375</v>
      </c>
      <c r="Q121" s="321" t="s">
        <v>272</v>
      </c>
      <c r="R121" s="321"/>
      <c r="S121" s="321"/>
      <c r="T121" s="316">
        <f>VLOOKUP(Table2[[#This Row],[Course Title]],'TSD-Data'!$A$1:$E$80,4,FALSE)</f>
        <v>45</v>
      </c>
      <c r="U121" s="316">
        <f>VLOOKUP(Table2[[#This Row],[Course Title]],'TSD-Data'!$A$1:$F$80,6,FALSE)</f>
        <v>30</v>
      </c>
      <c r="V121" s="323">
        <f>VLOOKUP(Table2[[#This Row],[Course Title]],'TSD-Data'!$A$1:$F$80,5,FALSE)</f>
        <v>4</v>
      </c>
      <c r="W121" s="323">
        <v>187</v>
      </c>
      <c r="X121" s="316">
        <f>Table2[[#This Row],[Quotas]]-Table2[[#This Row],[Open Quotas]]</f>
        <v>33</v>
      </c>
      <c r="Y121" s="316">
        <v>0</v>
      </c>
      <c r="Z121" s="323"/>
      <c r="AA121" s="323"/>
      <c r="AB121" s="316"/>
      <c r="AC121" s="316"/>
      <c r="AD121" s="316"/>
      <c r="AE121" s="316"/>
      <c r="AF121" s="323">
        <f ca="1">Table2[[#This Row],[End Date]]+2-TODAY()</f>
        <v>4</v>
      </c>
      <c r="AG121" s="316">
        <f>IF(ISBLANK(Table2[[#This Row],[Roster Received by]]),1,0)</f>
        <v>1</v>
      </c>
      <c r="AH121" s="316">
        <f ca="1">IF(Table2[[#This Row],[Start Date]]&gt;TODAY(),1,)</f>
        <v>0</v>
      </c>
      <c r="AI121" s="316">
        <f>IF(ISBLANK(Table2[[#This Row],[Primary Instructor]]),0,1)</f>
        <v>1</v>
      </c>
      <c r="AJ121" s="316">
        <f>IF(ISBLANK(Table2[[#This Row],[Instructor 2]]),0,1)</f>
        <v>0</v>
      </c>
      <c r="AK121" s="316">
        <f>Table2[[#This Row],[Course Length (Hours)]]/(SUM(Table2[[#This Row],[1]:[2]]))</f>
        <v>30</v>
      </c>
      <c r="AL121" s="124">
        <v>12</v>
      </c>
      <c r="AM121" s="316">
        <v>1</v>
      </c>
      <c r="AN121" s="363" t="str">
        <f>VLOOKUP(Table2[[#This Row],[Course Title]],'TSD-Data'!$A$1:$G$80,7,FALSE)</f>
        <v>N5</v>
      </c>
    </row>
    <row r="122" spans="2:40" s="428" customFormat="1" ht="15" customHeight="1" x14ac:dyDescent="0.25">
      <c r="B122" s="315" t="s">
        <v>452</v>
      </c>
      <c r="C122" s="364" t="s">
        <v>227</v>
      </c>
      <c r="D122" s="363" t="str">
        <f>VLOOKUP(Table2[[#This Row],[Course Title]],'TSD-Data'!$A$1:$E$80,2,FALSE)</f>
        <v>Function</v>
      </c>
      <c r="E122" s="363" t="str">
        <f>VLOOKUP(Table2[[#This Row],[Course Title]],'TSD-Data'!$A$1:$E$80,3,FALSE)</f>
        <v>Function</v>
      </c>
      <c r="F122" s="364" t="s">
        <v>25</v>
      </c>
      <c r="G122" s="344">
        <v>46007</v>
      </c>
      <c r="H122" s="344">
        <v>46007</v>
      </c>
      <c r="I122" s="317" t="s">
        <v>433</v>
      </c>
      <c r="J122" s="318"/>
      <c r="K122" s="345"/>
      <c r="L122" s="344"/>
      <c r="M122" s="344"/>
      <c r="N122" s="344"/>
      <c r="O122" s="344"/>
      <c r="P122" s="344"/>
      <c r="Q122" s="321"/>
      <c r="R122" s="321"/>
      <c r="S122" s="321"/>
      <c r="T122" s="363">
        <f>VLOOKUP(Table2[[#This Row],[Course Title]],'TSD-Data'!$A$1:$E$80,4,FALSE)</f>
        <v>0</v>
      </c>
      <c r="U122" s="363">
        <f>VLOOKUP(Table2[[#This Row],[Course Title]],'TSD-Data'!$A$1:$F$80,6,FALSE)</f>
        <v>0</v>
      </c>
      <c r="V122" s="323">
        <f>VLOOKUP(Table2[[#This Row],[Course Title]],'TSD-Data'!$A$1:$F$80,5,FALSE)</f>
        <v>0</v>
      </c>
      <c r="W122" s="323"/>
      <c r="X122" s="316"/>
      <c r="Y122" s="316"/>
      <c r="Z122" s="323"/>
      <c r="AA122" s="323"/>
      <c r="AB122" s="363"/>
      <c r="AC122" s="363"/>
      <c r="AD122" s="316"/>
      <c r="AE122" s="316"/>
      <c r="AF122" s="323">
        <f ca="1">Table2[[#This Row],[End Date]]+2-TODAY()</f>
        <v>2</v>
      </c>
      <c r="AG122" s="363">
        <f>IF(ISBLANK(Table2[[#This Row],[Roster Received by]]),1,0)</f>
        <v>1</v>
      </c>
      <c r="AH122" s="363">
        <f ca="1">IF(Table2[[#This Row],[Start Date]]&gt;TODAY(),1,)</f>
        <v>0</v>
      </c>
      <c r="AI122" s="363">
        <f>IF(ISBLANK(Table2[[#This Row],[Primary Instructor]]),0,1)</f>
        <v>0</v>
      </c>
      <c r="AJ122" s="363">
        <f>IF(ISBLANK(Table2[[#This Row],[Instructor 2]]),0,1)</f>
        <v>0</v>
      </c>
      <c r="AK122" s="363" t="e">
        <f>Table2[[#This Row],[Course Length (Hours)]]/(SUM(Table2[[#This Row],[1]:[2]]))</f>
        <v>#DIV/0!</v>
      </c>
      <c r="AL122" s="638"/>
      <c r="AM122" s="363"/>
      <c r="AN122" s="363" t="str">
        <f>VLOOKUP(Table2[[#This Row],[Course Title]],'TSD-Data'!$A$1:$G$80,7,FALSE)</f>
        <v>TSD</v>
      </c>
    </row>
    <row r="123" spans="2:40" s="428" customFormat="1" ht="15" customHeight="1" x14ac:dyDescent="0.25">
      <c r="B123" s="315"/>
      <c r="C123" s="364" t="s">
        <v>392</v>
      </c>
      <c r="D123" s="316" t="str">
        <f>VLOOKUP(Table2[[#This Row],[Course Title]],'TSD-Data'!$A$1:$E$80,2,FALSE)</f>
        <v>A-493-3004</v>
      </c>
      <c r="E123" s="316" t="str">
        <f>VLOOKUP(Table2[[#This Row],[Course Title]],'TSD-Data'!$A$1:$E$80,3,FALSE)</f>
        <v>31V6</v>
      </c>
      <c r="F123" s="364" t="s">
        <v>25</v>
      </c>
      <c r="G123" s="344">
        <v>46007</v>
      </c>
      <c r="H123" s="344">
        <v>46007</v>
      </c>
      <c r="I123" s="317" t="s">
        <v>163</v>
      </c>
      <c r="J123" s="318"/>
      <c r="K123" s="318">
        <v>0.9375</v>
      </c>
      <c r="L123" s="345">
        <v>0.8125</v>
      </c>
      <c r="M123" s="318">
        <v>0.27083333333333331</v>
      </c>
      <c r="N123" s="318">
        <v>0.1875</v>
      </c>
      <c r="O123" s="318">
        <v>0.72916666666666663</v>
      </c>
      <c r="P123" s="318">
        <v>0.52083333333333337</v>
      </c>
      <c r="Q123" s="321" t="s">
        <v>439</v>
      </c>
      <c r="R123" s="321"/>
      <c r="S123" s="321"/>
      <c r="T123" s="316">
        <f>VLOOKUP(Table2[[#This Row],[Course Title]],'TSD-Data'!$A$1:$E$80,4,FALSE)</f>
        <v>1000</v>
      </c>
      <c r="U123" s="316">
        <f>VLOOKUP(Table2[[#This Row],[Course Title]],'TSD-Data'!$A$1:$F$80,6,FALSE)</f>
        <v>1.5</v>
      </c>
      <c r="V123" s="323">
        <f>VLOOKUP(Table2[[#This Row],[Course Title]],'TSD-Data'!$A$1:$F$80,5,FALSE)</f>
        <v>0.2</v>
      </c>
      <c r="W123" s="323">
        <v>0</v>
      </c>
      <c r="X123" s="316">
        <f>Table2[[#This Row],[Quotas]]-Table2[[#This Row],[Open Quotas]]</f>
        <v>1</v>
      </c>
      <c r="Y123" s="316">
        <v>0</v>
      </c>
      <c r="Z123" s="323"/>
      <c r="AA123" s="323"/>
      <c r="AB123" s="316"/>
      <c r="AC123" s="316"/>
      <c r="AD123" s="316"/>
      <c r="AE123" s="316"/>
      <c r="AF123" s="323">
        <f ca="1">Table2[[#This Row],[End Date]]+2-TODAY()</f>
        <v>2</v>
      </c>
      <c r="AG123" s="316">
        <f>IF(ISBLANK(Table2[[#This Row],[Roster Received by]]),1,0)</f>
        <v>1</v>
      </c>
      <c r="AH123" s="316">
        <f ca="1">IF(Table2[[#This Row],[Start Date]]&gt;TODAY(),1,)</f>
        <v>0</v>
      </c>
      <c r="AI123" s="316">
        <f>IF(ISBLANK(Table2[[#This Row],[Primary Instructor]]),0,1)</f>
        <v>1</v>
      </c>
      <c r="AJ123" s="316">
        <f>IF(ISBLANK(Table2[[#This Row],[Instructor 2]]),0,1)</f>
        <v>0</v>
      </c>
      <c r="AK123" s="316">
        <f>Table2[[#This Row],[Course Length (Hours)]]/(SUM(Table2[[#This Row],[1]:[2]]))</f>
        <v>1.5</v>
      </c>
      <c r="AL123" s="124">
        <v>999</v>
      </c>
      <c r="AM123" s="316">
        <v>1</v>
      </c>
      <c r="AN123" s="363" t="str">
        <f>VLOOKUP(Table2[[#This Row],[Course Title]],'TSD-Data'!$A$1:$G$80,7,FALSE)</f>
        <v>N8</v>
      </c>
    </row>
    <row r="124" spans="2:40" s="428" customFormat="1" ht="15" customHeight="1" x14ac:dyDescent="0.25">
      <c r="B124" s="315"/>
      <c r="C124" s="364" t="s">
        <v>403</v>
      </c>
      <c r="D124" s="363" t="str">
        <f>VLOOKUP(Table2[[#This Row],[Course Title]],'TSD-Data'!$A$1:$E$80,2,FALSE)</f>
        <v>A-493-3001</v>
      </c>
      <c r="E124" s="363" t="str">
        <f>VLOOKUP(Table2[[#This Row],[Course Title]],'TSD-Data'!$A$1:$E$80,3,FALSE)</f>
        <v>31V3</v>
      </c>
      <c r="F124" s="364" t="s">
        <v>25</v>
      </c>
      <c r="G124" s="344">
        <v>46007</v>
      </c>
      <c r="H124" s="344">
        <v>46007</v>
      </c>
      <c r="I124" s="317" t="s">
        <v>163</v>
      </c>
      <c r="J124" s="318"/>
      <c r="K124" s="345">
        <v>0.75</v>
      </c>
      <c r="L124" s="345">
        <v>0.625</v>
      </c>
      <c r="M124" s="345">
        <v>8.3333333333333329E-2</v>
      </c>
      <c r="N124" s="345">
        <v>0</v>
      </c>
      <c r="O124" s="345">
        <v>0.54166666666666663</v>
      </c>
      <c r="P124" s="345">
        <v>0.33333333333333331</v>
      </c>
      <c r="Q124" s="321" t="s">
        <v>439</v>
      </c>
      <c r="R124" s="321"/>
      <c r="S124" s="321"/>
      <c r="T124" s="70">
        <f>VLOOKUP(Table2[[#This Row],[Course Title]],'TSD-Data'!$A$1:$E$80,4,FALSE)</f>
        <v>1000</v>
      </c>
      <c r="U124" s="363">
        <f>VLOOKUP(Table2[[#This Row],[Course Title]],'TSD-Data'!$A$1:$F$80,6,FALSE)</f>
        <v>2</v>
      </c>
      <c r="V124" s="323">
        <f>VLOOKUP(Table2[[#This Row],[Course Title]],'TSD-Data'!$A$1:$F$80,5,FALSE)</f>
        <v>0.25</v>
      </c>
      <c r="W124" s="323"/>
      <c r="X124" s="316">
        <f>Table2[[#This Row],[Quotas]]-Table2[[#This Row],[Open Quotas]]</f>
        <v>3</v>
      </c>
      <c r="Y124" s="316">
        <v>0</v>
      </c>
      <c r="Z124" s="323"/>
      <c r="AA124" s="323"/>
      <c r="AB124" s="363"/>
      <c r="AC124" s="363"/>
      <c r="AD124" s="316"/>
      <c r="AE124" s="316"/>
      <c r="AF124" s="323">
        <f ca="1">Table2[[#This Row],[End Date]]+2-TODAY()</f>
        <v>2</v>
      </c>
      <c r="AG124" s="316">
        <f>IF(ISBLANK(Table2[[#This Row],[Roster Received by]]),1,0)</f>
        <v>1</v>
      </c>
      <c r="AH124" s="316">
        <f ca="1">IF(Table2[[#This Row],[Start Date]]&gt;TODAY(),1,)</f>
        <v>0</v>
      </c>
      <c r="AI124" s="316">
        <f>IF(ISBLANK(Table2[[#This Row],[Primary Instructor]]),0,1)</f>
        <v>1</v>
      </c>
      <c r="AJ124" s="316">
        <f>IF(ISBLANK(Table2[[#This Row],[Instructor 2]]),0,1)</f>
        <v>0</v>
      </c>
      <c r="AK124" s="316">
        <f>Table2[[#This Row],[Course Length (Hours)]]/(SUM(Table2[[#This Row],[1]:[2]]))</f>
        <v>2</v>
      </c>
      <c r="AL124" s="638">
        <v>997</v>
      </c>
      <c r="AM124" s="316">
        <v>1</v>
      </c>
      <c r="AN124" s="363" t="str">
        <f>VLOOKUP(Table2[[#This Row],[Course Title]],'TSD-Data'!$A$1:$G$80,7,FALSE)</f>
        <v>N8</v>
      </c>
    </row>
    <row r="125" spans="2:40" s="428" customFormat="1" ht="15" customHeight="1" x14ac:dyDescent="0.25">
      <c r="B125" s="315"/>
      <c r="C125" s="364" t="s">
        <v>390</v>
      </c>
      <c r="D125" s="363" t="str">
        <f>VLOOKUP(Table2[[#This Row],[Course Title]],'TSD-Data'!$A$1:$E$80,2,FALSE)</f>
        <v>A-493-3018</v>
      </c>
      <c r="E125" s="363" t="str">
        <f>VLOOKUP(Table2[[#This Row],[Course Title]],'TSD-Data'!$A$1:$E$80,3,FALSE)</f>
        <v>31YM</v>
      </c>
      <c r="F125" s="364" t="s">
        <v>25</v>
      </c>
      <c r="G125" s="344">
        <v>46008</v>
      </c>
      <c r="H125" s="344">
        <v>46008</v>
      </c>
      <c r="I125" s="317" t="s">
        <v>163</v>
      </c>
      <c r="J125" s="318"/>
      <c r="K125" s="345">
        <v>2.0833333333333332E-2</v>
      </c>
      <c r="L125" s="345">
        <v>0.89583333333333337</v>
      </c>
      <c r="M125" s="345">
        <v>0.35416666666666669</v>
      </c>
      <c r="N125" s="345">
        <v>0.27083333333333331</v>
      </c>
      <c r="O125" s="345">
        <v>0.8125</v>
      </c>
      <c r="P125" s="345">
        <v>0.60416666666666663</v>
      </c>
      <c r="Q125" s="321" t="s">
        <v>439</v>
      </c>
      <c r="R125" s="321"/>
      <c r="S125" s="321"/>
      <c r="T125" s="70">
        <f>VLOOKUP(Table2[[#This Row],[Course Title]],'TSD-Data'!$A$1:$E$80,4,FALSE)</f>
        <v>1000</v>
      </c>
      <c r="U125" s="363">
        <f>VLOOKUP(Table2[[#This Row],[Course Title]],'TSD-Data'!$A$1:$F$80,6,FALSE)</f>
        <v>2.5</v>
      </c>
      <c r="V125" s="323">
        <f>VLOOKUP(Table2[[#This Row],[Course Title]],'TSD-Data'!$A$1:$F$80,5,FALSE)</f>
        <v>0.3</v>
      </c>
      <c r="W125" s="323"/>
      <c r="X125" s="316">
        <f>Table2[[#This Row],[Quotas]]-Table2[[#This Row],[Open Quotas]]</f>
        <v>1</v>
      </c>
      <c r="Y125" s="316">
        <v>0</v>
      </c>
      <c r="Z125" s="323"/>
      <c r="AA125" s="323"/>
      <c r="AB125" s="363"/>
      <c r="AC125" s="363"/>
      <c r="AD125" s="316"/>
      <c r="AE125" s="316"/>
      <c r="AF125" s="323">
        <f ca="1">Table2[[#This Row],[End Date]]+2-TODAY()</f>
        <v>3</v>
      </c>
      <c r="AG125" s="316">
        <f>IF(ISBLANK(Table2[[#This Row],[Roster Received by]]),1,0)</f>
        <v>1</v>
      </c>
      <c r="AH125" s="316">
        <f ca="1">IF(Table2[[#This Row],[Start Date]]&gt;TODAY(),1,)</f>
        <v>1</v>
      </c>
      <c r="AI125" s="316">
        <f>IF(ISBLANK(Table2[[#This Row],[Primary Instructor]]),0,1)</f>
        <v>1</v>
      </c>
      <c r="AJ125" s="316">
        <f>IF(ISBLANK(Table2[[#This Row],[Instructor 2]]),0,1)</f>
        <v>0</v>
      </c>
      <c r="AK125" s="316">
        <f>Table2[[#This Row],[Course Length (Hours)]]/(SUM(Table2[[#This Row],[1]:[2]]))</f>
        <v>2.5</v>
      </c>
      <c r="AL125" s="638">
        <v>999</v>
      </c>
      <c r="AM125" s="316">
        <v>1</v>
      </c>
      <c r="AN125" s="363" t="str">
        <f>VLOOKUP(Table2[[#This Row],[Course Title]],'TSD-Data'!$A$1:$G$80,7,FALSE)</f>
        <v>N8</v>
      </c>
    </row>
    <row r="126" spans="2:40" s="428" customFormat="1" ht="15" customHeight="1" x14ac:dyDescent="0.25">
      <c r="B126" s="315"/>
      <c r="C126" s="364" t="s">
        <v>397</v>
      </c>
      <c r="D126" s="363" t="str">
        <f>VLOOKUP(Table2[[#This Row],[Course Title]],'TSD-Data'!$A$1:$E$80,2,FALSE)</f>
        <v>A-493-3013</v>
      </c>
      <c r="E126" s="363" t="str">
        <f>VLOOKUP(Table2[[#This Row],[Course Title]],'TSD-Data'!$A$1:$E$80,3,FALSE)</f>
        <v>31YG</v>
      </c>
      <c r="F126" s="364" t="s">
        <v>25</v>
      </c>
      <c r="G126" s="344">
        <v>46008</v>
      </c>
      <c r="H126" s="344">
        <v>46008</v>
      </c>
      <c r="I126" s="317" t="s">
        <v>163</v>
      </c>
      <c r="J126" s="318"/>
      <c r="K126" s="318">
        <v>0.85416666666666663</v>
      </c>
      <c r="L126" s="345">
        <v>0.72916666666666663</v>
      </c>
      <c r="M126" s="318">
        <v>0.1875</v>
      </c>
      <c r="N126" s="318">
        <v>0.10416666666666667</v>
      </c>
      <c r="O126" s="318">
        <v>0.64583333333333337</v>
      </c>
      <c r="P126" s="318">
        <v>0.4375</v>
      </c>
      <c r="Q126" s="321" t="s">
        <v>439</v>
      </c>
      <c r="R126" s="321"/>
      <c r="S126" s="321"/>
      <c r="T126" s="70">
        <f>VLOOKUP(Table2[[#This Row],[Course Title]],'TSD-Data'!$A$1:$E$80,4,FALSE)</f>
        <v>1000</v>
      </c>
      <c r="U126" s="363">
        <f>VLOOKUP(Table2[[#This Row],[Course Title]],'TSD-Data'!$A$1:$F$80,6,FALSE)</f>
        <v>1</v>
      </c>
      <c r="V126" s="323">
        <f>VLOOKUP(Table2[[#This Row],[Course Title]],'TSD-Data'!$A$1:$F$80,5,FALSE)</f>
        <v>0.1</v>
      </c>
      <c r="W126" s="323"/>
      <c r="X126" s="316">
        <f>Table2[[#This Row],[Quotas]]-Table2[[#This Row],[Open Quotas]]</f>
        <v>1</v>
      </c>
      <c r="Y126" s="316">
        <v>0</v>
      </c>
      <c r="Z126" s="323"/>
      <c r="AA126" s="323"/>
      <c r="AB126" s="363"/>
      <c r="AC126" s="363"/>
      <c r="AD126" s="316"/>
      <c r="AE126" s="316"/>
      <c r="AF126" s="323">
        <f ca="1">Table2[[#This Row],[End Date]]+2-TODAY()</f>
        <v>3</v>
      </c>
      <c r="AG126" s="316">
        <f>IF(ISBLANK(Table2[[#This Row],[Roster Received by]]),1,0)</f>
        <v>1</v>
      </c>
      <c r="AH126" s="316">
        <f ca="1">IF(Table2[[#This Row],[Start Date]]&gt;TODAY(),1,)</f>
        <v>1</v>
      </c>
      <c r="AI126" s="316">
        <f>IF(ISBLANK(Table2[[#This Row],[Primary Instructor]]),0,1)</f>
        <v>1</v>
      </c>
      <c r="AJ126" s="316">
        <f>IF(ISBLANK(Table2[[#This Row],[Instructor 2]]),0,1)</f>
        <v>0</v>
      </c>
      <c r="AK126" s="316">
        <f>Table2[[#This Row],[Course Length (Hours)]]/(SUM(Table2[[#This Row],[1]:[2]]))</f>
        <v>1</v>
      </c>
      <c r="AL126" s="638">
        <v>999</v>
      </c>
      <c r="AM126" s="316">
        <v>1</v>
      </c>
      <c r="AN126" s="363" t="str">
        <f>VLOOKUP(Table2[[#This Row],[Course Title]],'TSD-Data'!$A$1:$G$80,7,FALSE)</f>
        <v>N8</v>
      </c>
    </row>
    <row r="127" spans="2:40" s="428" customFormat="1" ht="15" customHeight="1" x14ac:dyDescent="0.25">
      <c r="B127" s="315"/>
      <c r="C127" s="364" t="s">
        <v>398</v>
      </c>
      <c r="D127" s="363" t="str">
        <f>VLOOKUP(Table2[[#This Row],[Course Title]],'TSD-Data'!$A$1:$E$80,2,FALSE)</f>
        <v>A-493-3014</v>
      </c>
      <c r="E127" s="363" t="str">
        <f>VLOOKUP(Table2[[#This Row],[Course Title]],'TSD-Data'!$A$1:$E$80,3,FALSE)</f>
        <v>31Yh</v>
      </c>
      <c r="F127" s="364" t="s">
        <v>25</v>
      </c>
      <c r="G127" s="344">
        <v>46008</v>
      </c>
      <c r="H127" s="344">
        <v>46008</v>
      </c>
      <c r="I127" s="317" t="s">
        <v>163</v>
      </c>
      <c r="J127" s="318"/>
      <c r="K127" s="318">
        <v>0.9375</v>
      </c>
      <c r="L127" s="345">
        <v>0.8125</v>
      </c>
      <c r="M127" s="318">
        <v>0.27083333333333331</v>
      </c>
      <c r="N127" s="318">
        <v>0.1875</v>
      </c>
      <c r="O127" s="318">
        <v>0.72916666666666663</v>
      </c>
      <c r="P127" s="318">
        <v>0.52083333333333337</v>
      </c>
      <c r="Q127" s="321" t="s">
        <v>439</v>
      </c>
      <c r="R127" s="321"/>
      <c r="S127" s="321"/>
      <c r="T127" s="70">
        <f>VLOOKUP(Table2[[#This Row],[Course Title]],'TSD-Data'!$A$1:$E$80,4,FALSE)</f>
        <v>1000</v>
      </c>
      <c r="U127" s="363">
        <f>VLOOKUP(Table2[[#This Row],[Course Title]],'TSD-Data'!$A$1:$F$80,6,FALSE)</f>
        <v>0.75</v>
      </c>
      <c r="V127" s="323">
        <f>VLOOKUP(Table2[[#This Row],[Course Title]],'TSD-Data'!$A$1:$F$80,5,FALSE)</f>
        <v>0.1</v>
      </c>
      <c r="W127" s="323"/>
      <c r="X127" s="316">
        <f>Table2[[#This Row],[Quotas]]-Table2[[#This Row],[Open Quotas]]</f>
        <v>1</v>
      </c>
      <c r="Y127" s="316">
        <v>0</v>
      </c>
      <c r="Z127" s="323"/>
      <c r="AA127" s="323"/>
      <c r="AB127" s="363"/>
      <c r="AC127" s="363"/>
      <c r="AD127" s="316"/>
      <c r="AE127" s="316"/>
      <c r="AF127" s="323">
        <f ca="1">Table2[[#This Row],[End Date]]+2-TODAY()</f>
        <v>3</v>
      </c>
      <c r="AG127" s="316">
        <f>IF(ISBLANK(Table2[[#This Row],[Roster Received by]]),1,0)</f>
        <v>1</v>
      </c>
      <c r="AH127" s="316">
        <f ca="1">IF(Table2[[#This Row],[Start Date]]&gt;TODAY(),1,)</f>
        <v>1</v>
      </c>
      <c r="AI127" s="316">
        <f>IF(ISBLANK(Table2[[#This Row],[Primary Instructor]]),0,1)</f>
        <v>1</v>
      </c>
      <c r="AJ127" s="316">
        <f>IF(ISBLANK(Table2[[#This Row],[Instructor 2]]),0,1)</f>
        <v>0</v>
      </c>
      <c r="AK127" s="316">
        <f>Table2[[#This Row],[Course Length (Hours)]]/(SUM(Table2[[#This Row],[1]:[2]]))</f>
        <v>0.75</v>
      </c>
      <c r="AL127" s="638">
        <v>999</v>
      </c>
      <c r="AM127" s="316">
        <v>1</v>
      </c>
      <c r="AN127" s="363" t="str">
        <f>VLOOKUP(Table2[[#This Row],[Course Title]],'TSD-Data'!$A$1:$G$80,7,FALSE)</f>
        <v>N8</v>
      </c>
    </row>
    <row r="128" spans="2:40" s="428" customFormat="1" ht="15" customHeight="1" x14ac:dyDescent="0.25">
      <c r="B128" s="315"/>
      <c r="C128" s="364" t="s">
        <v>399</v>
      </c>
      <c r="D128" s="363" t="str">
        <f>VLOOKUP(Table2[[#This Row],[Course Title]],'TSD-Data'!$A$1:$E$80,2,FALSE)</f>
        <v>A-493-3015</v>
      </c>
      <c r="E128" s="363" t="str">
        <f>VLOOKUP(Table2[[#This Row],[Course Title]],'TSD-Data'!$A$1:$E$80,3,FALSE)</f>
        <v>31YJ</v>
      </c>
      <c r="F128" s="364" t="s">
        <v>25</v>
      </c>
      <c r="G128" s="344">
        <v>46008</v>
      </c>
      <c r="H128" s="344">
        <v>46008</v>
      </c>
      <c r="I128" s="317" t="s">
        <v>163</v>
      </c>
      <c r="J128" s="318"/>
      <c r="K128" s="318">
        <v>0.75</v>
      </c>
      <c r="L128" s="345">
        <v>0.625</v>
      </c>
      <c r="M128" s="318">
        <v>8.3333333333333329E-2</v>
      </c>
      <c r="N128" s="318">
        <v>0</v>
      </c>
      <c r="O128" s="318">
        <v>0.54166666666666663</v>
      </c>
      <c r="P128" s="318">
        <v>0.33333333333333331</v>
      </c>
      <c r="Q128" s="321" t="s">
        <v>439</v>
      </c>
      <c r="R128" s="321"/>
      <c r="S128" s="321"/>
      <c r="T128" s="70">
        <f>VLOOKUP(Table2[[#This Row],[Course Title]],'TSD-Data'!$A$1:$E$80,4,FALSE)</f>
        <v>1000</v>
      </c>
      <c r="U128" s="363">
        <f>VLOOKUP(Table2[[#This Row],[Course Title]],'TSD-Data'!$A$1:$F$80,6,FALSE)</f>
        <v>1</v>
      </c>
      <c r="V128" s="323">
        <f>VLOOKUP(Table2[[#This Row],[Course Title]],'TSD-Data'!$A$1:$F$80,5,FALSE)</f>
        <v>0.1</v>
      </c>
      <c r="W128" s="323"/>
      <c r="X128" s="316">
        <f>Table2[[#This Row],[Quotas]]-Table2[[#This Row],[Open Quotas]]</f>
        <v>1</v>
      </c>
      <c r="Y128" s="316">
        <v>0</v>
      </c>
      <c r="Z128" s="323"/>
      <c r="AA128" s="323"/>
      <c r="AB128" s="363"/>
      <c r="AC128" s="363"/>
      <c r="AD128" s="316"/>
      <c r="AE128" s="316"/>
      <c r="AF128" s="323">
        <f ca="1">Table2[[#This Row],[End Date]]+2-TODAY()</f>
        <v>3</v>
      </c>
      <c r="AG128" s="316">
        <f>IF(ISBLANK(Table2[[#This Row],[Roster Received by]]),1,0)</f>
        <v>1</v>
      </c>
      <c r="AH128" s="316">
        <f ca="1">IF(Table2[[#This Row],[Start Date]]&gt;TODAY(),1,)</f>
        <v>1</v>
      </c>
      <c r="AI128" s="316">
        <f>IF(ISBLANK(Table2[[#This Row],[Primary Instructor]]),0,1)</f>
        <v>1</v>
      </c>
      <c r="AJ128" s="316">
        <f>IF(ISBLANK(Table2[[#This Row],[Instructor 2]]),0,1)</f>
        <v>0</v>
      </c>
      <c r="AK128" s="316">
        <f>Table2[[#This Row],[Course Length (Hours)]]/(SUM(Table2[[#This Row],[1]:[2]]))</f>
        <v>1</v>
      </c>
      <c r="AL128" s="638">
        <v>999</v>
      </c>
      <c r="AM128" s="316">
        <v>1</v>
      </c>
      <c r="AN128" s="363" t="str">
        <f>VLOOKUP(Table2[[#This Row],[Course Title]],'TSD-Data'!$A$1:$G$80,7,FALSE)</f>
        <v>N8</v>
      </c>
    </row>
    <row r="129" spans="2:40" s="428" customFormat="1" ht="15" customHeight="1" x14ac:dyDescent="0.25">
      <c r="B129" s="315"/>
      <c r="C129" s="364" t="s">
        <v>400</v>
      </c>
      <c r="D129" s="363" t="str">
        <f>VLOOKUP(Table2[[#This Row],[Course Title]],'TSD-Data'!$A$1:$E$80,2,FALSE)</f>
        <v>A-493-3016</v>
      </c>
      <c r="E129" s="363" t="str">
        <f>VLOOKUP(Table2[[#This Row],[Course Title]],'TSD-Data'!$A$1:$E$80,3,FALSE)</f>
        <v>31Yk</v>
      </c>
      <c r="F129" s="364" t="s">
        <v>25</v>
      </c>
      <c r="G129" s="344">
        <v>46008</v>
      </c>
      <c r="H129" s="344">
        <v>46008</v>
      </c>
      <c r="I129" s="317" t="s">
        <v>163</v>
      </c>
      <c r="J129" s="318"/>
      <c r="K129" s="318">
        <v>0.97916666666666663</v>
      </c>
      <c r="L129" s="345">
        <v>0.85416666666666663</v>
      </c>
      <c r="M129" s="318">
        <v>0.3125</v>
      </c>
      <c r="N129" s="318">
        <v>0.22916666666666666</v>
      </c>
      <c r="O129" s="318">
        <v>0.77083333333333337</v>
      </c>
      <c r="P129" s="318">
        <v>0.5625</v>
      </c>
      <c r="Q129" s="321" t="s">
        <v>439</v>
      </c>
      <c r="R129" s="321"/>
      <c r="S129" s="321"/>
      <c r="T129" s="70">
        <f>VLOOKUP(Table2[[#This Row],[Course Title]],'TSD-Data'!$A$1:$E$80,4,FALSE)</f>
        <v>1000</v>
      </c>
      <c r="U129" s="363">
        <f>VLOOKUP(Table2[[#This Row],[Course Title]],'TSD-Data'!$A$1:$F$80,6,FALSE)</f>
        <v>1</v>
      </c>
      <c r="V129" s="323">
        <f>VLOOKUP(Table2[[#This Row],[Course Title]],'TSD-Data'!$A$1:$F$80,5,FALSE)</f>
        <v>0.1</v>
      </c>
      <c r="W129" s="323"/>
      <c r="X129" s="316">
        <f>Table2[[#This Row],[Quotas]]-Table2[[#This Row],[Open Quotas]]</f>
        <v>1</v>
      </c>
      <c r="Y129" s="316">
        <v>0</v>
      </c>
      <c r="Z129" s="323"/>
      <c r="AA129" s="323"/>
      <c r="AB129" s="363"/>
      <c r="AC129" s="363"/>
      <c r="AD129" s="316"/>
      <c r="AE129" s="316"/>
      <c r="AF129" s="323">
        <f ca="1">Table2[[#This Row],[End Date]]+2-TODAY()</f>
        <v>3</v>
      </c>
      <c r="AG129" s="316">
        <f>IF(ISBLANK(Table2[[#This Row],[Roster Received by]]),1,0)</f>
        <v>1</v>
      </c>
      <c r="AH129" s="316">
        <f ca="1">IF(Table2[[#This Row],[Start Date]]&gt;TODAY(),1,)</f>
        <v>1</v>
      </c>
      <c r="AI129" s="316">
        <f>IF(ISBLANK(Table2[[#This Row],[Primary Instructor]]),0,1)</f>
        <v>1</v>
      </c>
      <c r="AJ129" s="316">
        <f>IF(ISBLANK(Table2[[#This Row],[Instructor 2]]),0,1)</f>
        <v>0</v>
      </c>
      <c r="AK129" s="316">
        <f>Table2[[#This Row],[Course Length (Hours)]]/(SUM(Table2[[#This Row],[1]:[2]]))</f>
        <v>1</v>
      </c>
      <c r="AL129" s="638">
        <v>999</v>
      </c>
      <c r="AM129" s="316">
        <v>1</v>
      </c>
      <c r="AN129" s="363" t="str">
        <f>VLOOKUP(Table2[[#This Row],[Course Title]],'TSD-Data'!$A$1:$G$80,7,FALSE)</f>
        <v>N8</v>
      </c>
    </row>
    <row r="130" spans="2:40" s="428" customFormat="1" ht="15" customHeight="1" x14ac:dyDescent="0.25">
      <c r="B130" s="315"/>
      <c r="C130" s="364" t="s">
        <v>391</v>
      </c>
      <c r="D130" s="363" t="str">
        <f>VLOOKUP(Table2[[#This Row],[Course Title]],'TSD-Data'!$A$1:$E$80,2,FALSE)</f>
        <v>A-493-3005</v>
      </c>
      <c r="E130" s="363" t="str">
        <f>VLOOKUP(Table2[[#This Row],[Course Title]],'TSD-Data'!$A$1:$E$80,3,FALSE)</f>
        <v>31V7</v>
      </c>
      <c r="F130" s="315" t="s">
        <v>25</v>
      </c>
      <c r="G130" s="344">
        <v>46009</v>
      </c>
      <c r="H130" s="344">
        <v>46009</v>
      </c>
      <c r="I130" s="317" t="s">
        <v>163</v>
      </c>
      <c r="J130" s="318"/>
      <c r="K130" s="345">
        <v>0.86458333333333337</v>
      </c>
      <c r="L130" s="345">
        <v>0.73958333333333337</v>
      </c>
      <c r="M130" s="345">
        <v>0.19791666666666666</v>
      </c>
      <c r="N130" s="345">
        <v>0.11458333333333333</v>
      </c>
      <c r="O130" s="345">
        <v>0.65625</v>
      </c>
      <c r="P130" s="345">
        <v>0.44791666666666669</v>
      </c>
      <c r="Q130" s="321" t="s">
        <v>439</v>
      </c>
      <c r="R130" s="321"/>
      <c r="S130" s="321"/>
      <c r="T130" s="70">
        <f>VLOOKUP(Table2[[#This Row],[Course Title]],'TSD-Data'!$A$1:$E$80,4,FALSE)</f>
        <v>1000</v>
      </c>
      <c r="U130" s="363">
        <f>VLOOKUP(Table2[[#This Row],[Course Title]],'TSD-Data'!$A$1:$F$80,6,FALSE)</f>
        <v>2</v>
      </c>
      <c r="V130" s="323">
        <f>VLOOKUP(Table2[[#This Row],[Course Title]],'TSD-Data'!$A$1:$F$80,5,FALSE)</f>
        <v>0.25</v>
      </c>
      <c r="W130" s="323"/>
      <c r="X130" s="316">
        <f>Table2[[#This Row],[Quotas]]-Table2[[#This Row],[Open Quotas]]</f>
        <v>1</v>
      </c>
      <c r="Y130" s="316">
        <v>0</v>
      </c>
      <c r="Z130" s="323"/>
      <c r="AA130" s="323"/>
      <c r="AB130" s="363"/>
      <c r="AC130" s="363"/>
      <c r="AD130" s="316"/>
      <c r="AE130" s="316"/>
      <c r="AF130" s="323">
        <f ca="1">Table2[[#This Row],[End Date]]+2-TODAY()</f>
        <v>4</v>
      </c>
      <c r="AG130" s="316">
        <f>IF(ISBLANK(Table2[[#This Row],[Roster Received by]]),1,0)</f>
        <v>1</v>
      </c>
      <c r="AH130" s="316">
        <f ca="1">IF(Table2[[#This Row],[Start Date]]&gt;TODAY(),1,)</f>
        <v>1</v>
      </c>
      <c r="AI130" s="316">
        <f>IF(ISBLANK(Table2[[#This Row],[Primary Instructor]]),0,1)</f>
        <v>1</v>
      </c>
      <c r="AJ130" s="316">
        <f>IF(ISBLANK(Table2[[#This Row],[Instructor 2]]),0,1)</f>
        <v>0</v>
      </c>
      <c r="AK130" s="316">
        <f>Table2[[#This Row],[Course Length (Hours)]]/(SUM(Table2[[#This Row],[1]:[2]]))</f>
        <v>2</v>
      </c>
      <c r="AL130" s="638">
        <v>999</v>
      </c>
      <c r="AM130" s="316">
        <v>1</v>
      </c>
      <c r="AN130" s="363" t="str">
        <f>VLOOKUP(Table2[[#This Row],[Course Title]],'TSD-Data'!$A$1:$G$80,7,FALSE)</f>
        <v>N8</v>
      </c>
    </row>
    <row r="131" spans="2:40" s="428" customFormat="1" ht="15" customHeight="1" x14ac:dyDescent="0.25">
      <c r="B131" s="315"/>
      <c r="C131" s="364" t="s">
        <v>396</v>
      </c>
      <c r="D131" s="363" t="str">
        <f>VLOOKUP(Table2[[#This Row],[Course Title]],'TSD-Data'!$A$1:$E$80,2,FALSE)</f>
        <v>A-493-3017</v>
      </c>
      <c r="E131" s="363" t="str">
        <f>VLOOKUP(Table2[[#This Row],[Course Title]],'TSD-Data'!$A$1:$E$80,3,FALSE)</f>
        <v>31YL</v>
      </c>
      <c r="F131" s="315" t="s">
        <v>25</v>
      </c>
      <c r="G131" s="344">
        <v>46009</v>
      </c>
      <c r="H131" s="344">
        <v>46009</v>
      </c>
      <c r="I131" s="317" t="s">
        <v>163</v>
      </c>
      <c r="J131" s="318"/>
      <c r="K131" s="318">
        <v>0.9375</v>
      </c>
      <c r="L131" s="318">
        <v>0.8125</v>
      </c>
      <c r="M131" s="318">
        <v>0.27083333333333331</v>
      </c>
      <c r="N131" s="318">
        <v>0.1875</v>
      </c>
      <c r="O131" s="318">
        <v>0.72916666666666663</v>
      </c>
      <c r="P131" s="318">
        <v>0.52083333333333337</v>
      </c>
      <c r="Q131" s="321" t="s">
        <v>439</v>
      </c>
      <c r="R131" s="321"/>
      <c r="S131" s="321"/>
      <c r="T131" s="70">
        <f>VLOOKUP(Table2[[#This Row],[Course Title]],'TSD-Data'!$A$1:$E$80,4,FALSE)</f>
        <v>1000</v>
      </c>
      <c r="U131" s="363">
        <f>VLOOKUP(Table2[[#This Row],[Course Title]],'TSD-Data'!$A$1:$F$80,6,FALSE)</f>
        <v>2.5</v>
      </c>
      <c r="V131" s="323">
        <f>VLOOKUP(Table2[[#This Row],[Course Title]],'TSD-Data'!$A$1:$F$80,5,FALSE)</f>
        <v>0.3</v>
      </c>
      <c r="W131" s="323"/>
      <c r="X131" s="316">
        <f>Table2[[#This Row],[Quotas]]-Table2[[#This Row],[Open Quotas]]</f>
        <v>1</v>
      </c>
      <c r="Y131" s="316">
        <v>0</v>
      </c>
      <c r="Z131" s="323"/>
      <c r="AA131" s="323"/>
      <c r="AB131" s="363"/>
      <c r="AC131" s="363"/>
      <c r="AD131" s="316"/>
      <c r="AE131" s="316"/>
      <c r="AF131" s="323">
        <f ca="1">Table2[[#This Row],[End Date]]+2-TODAY()</f>
        <v>4</v>
      </c>
      <c r="AG131" s="316">
        <f>IF(ISBLANK(Table2[[#This Row],[Roster Received by]]),1,0)</f>
        <v>1</v>
      </c>
      <c r="AH131" s="316">
        <f ca="1">IF(Table2[[#This Row],[Start Date]]&gt;TODAY(),1,)</f>
        <v>1</v>
      </c>
      <c r="AI131" s="316">
        <f>IF(ISBLANK(Table2[[#This Row],[Primary Instructor]]),0,1)</f>
        <v>1</v>
      </c>
      <c r="AJ131" s="316">
        <f>IF(ISBLANK(Table2[[#This Row],[Instructor 2]]),0,1)</f>
        <v>0</v>
      </c>
      <c r="AK131" s="316">
        <f>Table2[[#This Row],[Course Length (Hours)]]/(SUM(Table2[[#This Row],[1]:[2]]))</f>
        <v>2.5</v>
      </c>
      <c r="AL131" s="638">
        <v>999</v>
      </c>
      <c r="AM131" s="316">
        <v>1</v>
      </c>
      <c r="AN131" s="363" t="str">
        <f>VLOOKUP(Table2[[#This Row],[Course Title]],'TSD-Data'!$A$1:$G$80,7,FALSE)</f>
        <v>N8</v>
      </c>
    </row>
    <row r="132" spans="2:40" s="428" customFormat="1" ht="15" customHeight="1" x14ac:dyDescent="0.25">
      <c r="B132" s="315"/>
      <c r="C132" s="364" t="s">
        <v>402</v>
      </c>
      <c r="D132" s="316" t="str">
        <f>VLOOKUP(Table2[[#This Row],[Course Title]],'TSD-Data'!$A$1:$E$80,2,FALSE)</f>
        <v>A-493-3008</v>
      </c>
      <c r="E132" s="316" t="str">
        <f>VLOOKUP(Table2[[#This Row],[Course Title]],'TSD-Data'!$A$1:$E$80,3,FALSE)</f>
        <v>31VA</v>
      </c>
      <c r="F132" s="315" t="s">
        <v>25</v>
      </c>
      <c r="G132" s="344">
        <v>46009</v>
      </c>
      <c r="H132" s="344">
        <v>46009</v>
      </c>
      <c r="I132" s="317" t="s">
        <v>163</v>
      </c>
      <c r="J132" s="318"/>
      <c r="K132" s="318">
        <v>0.75</v>
      </c>
      <c r="L132" s="345">
        <v>0.625</v>
      </c>
      <c r="M132" s="318">
        <v>8.3333333333333329E-2</v>
      </c>
      <c r="N132" s="318">
        <v>0</v>
      </c>
      <c r="O132" s="318">
        <v>0.54166666666666663</v>
      </c>
      <c r="P132" s="318">
        <v>0.33333333333333331</v>
      </c>
      <c r="Q132" s="321" t="s">
        <v>439</v>
      </c>
      <c r="R132" s="321"/>
      <c r="S132" s="321"/>
      <c r="T132" s="316">
        <f>VLOOKUP(Table2[[#This Row],[Course Title]],'TSD-Data'!$A$1:$E$80,4,FALSE)</f>
        <v>1000</v>
      </c>
      <c r="U132" s="316">
        <f>VLOOKUP(Table2[[#This Row],[Course Title]],'TSD-Data'!$A$1:$F$80,6,FALSE)</f>
        <v>1</v>
      </c>
      <c r="V132" s="323">
        <f>VLOOKUP(Table2[[#This Row],[Course Title]],'TSD-Data'!$A$1:$F$80,5,FALSE)</f>
        <v>0.1</v>
      </c>
      <c r="W132" s="323">
        <v>0</v>
      </c>
      <c r="X132" s="316">
        <f>Table2[[#This Row],[Quotas]]-Table2[[#This Row],[Open Quotas]]</f>
        <v>2</v>
      </c>
      <c r="Y132" s="316">
        <v>0</v>
      </c>
      <c r="Z132" s="323"/>
      <c r="AA132" s="323"/>
      <c r="AB132" s="316"/>
      <c r="AC132" s="316"/>
      <c r="AD132" s="316"/>
      <c r="AE132" s="316"/>
      <c r="AF132" s="323">
        <f ca="1">Table2[[#This Row],[End Date]]+2-TODAY()</f>
        <v>4</v>
      </c>
      <c r="AG132" s="316">
        <f>IF(ISBLANK(Table2[[#This Row],[Roster Received by]]),1,0)</f>
        <v>1</v>
      </c>
      <c r="AH132" s="316">
        <f ca="1">IF(Table2[[#This Row],[Start Date]]&gt;TODAY(),1,)</f>
        <v>1</v>
      </c>
      <c r="AI132" s="316">
        <f>IF(ISBLANK(Table2[[#This Row],[Primary Instructor]]),0,1)</f>
        <v>1</v>
      </c>
      <c r="AJ132" s="316">
        <f>IF(ISBLANK(Table2[[#This Row],[Instructor 2]]),0,1)</f>
        <v>0</v>
      </c>
      <c r="AK132" s="316">
        <f>Table2[[#This Row],[Course Length (Hours)]]/(SUM(Table2[[#This Row],[1]:[2]]))</f>
        <v>1</v>
      </c>
      <c r="AL132" s="638">
        <v>998</v>
      </c>
      <c r="AM132" s="316">
        <v>1</v>
      </c>
      <c r="AN132" s="363" t="str">
        <f>VLOOKUP(Table2[[#This Row],[Course Title]],'TSD-Data'!$A$1:$G$80,7,FALSE)</f>
        <v>N8</v>
      </c>
    </row>
    <row r="133" spans="2:40" s="428" customFormat="1" ht="15" customHeight="1" x14ac:dyDescent="0.25">
      <c r="B133" s="315"/>
      <c r="C133" s="364" t="s">
        <v>405</v>
      </c>
      <c r="D133" s="363" t="str">
        <f>VLOOKUP(Table2[[#This Row],[Course Title]],'TSD-Data'!$A$1:$E$80,2,FALSE)</f>
        <v>A-493-3012</v>
      </c>
      <c r="E133" s="363" t="str">
        <f>VLOOKUP(Table2[[#This Row],[Course Title]],'TSD-Data'!$A$1:$E$80,3,FALSE)</f>
        <v>31YF</v>
      </c>
      <c r="F133" s="315" t="s">
        <v>25</v>
      </c>
      <c r="G133" s="344">
        <v>46009</v>
      </c>
      <c r="H133" s="344">
        <v>46009</v>
      </c>
      <c r="I133" s="317" t="s">
        <v>163</v>
      </c>
      <c r="J133" s="318"/>
      <c r="K133" s="345">
        <v>4.1666666666666664E-2</v>
      </c>
      <c r="L133" s="345">
        <v>0.91666666666666663</v>
      </c>
      <c r="M133" s="345">
        <v>0.375</v>
      </c>
      <c r="N133" s="345">
        <v>0.29166666666666669</v>
      </c>
      <c r="O133" s="345">
        <v>0.83333333333333337</v>
      </c>
      <c r="P133" s="345">
        <v>0.625</v>
      </c>
      <c r="Q133" s="321" t="s">
        <v>439</v>
      </c>
      <c r="R133" s="321"/>
      <c r="S133" s="321"/>
      <c r="T133" s="70">
        <f>VLOOKUP(Table2[[#This Row],[Course Title]],'TSD-Data'!$A$1:$E$80,4,FALSE)</f>
        <v>1000</v>
      </c>
      <c r="U133" s="363">
        <f>VLOOKUP(Table2[[#This Row],[Course Title]],'TSD-Data'!$A$1:$F$80,6,FALSE)</f>
        <v>1</v>
      </c>
      <c r="V133" s="323">
        <f>VLOOKUP(Table2[[#This Row],[Course Title]],'TSD-Data'!$A$1:$F$80,5,FALSE)</f>
        <v>0.1</v>
      </c>
      <c r="W133" s="323"/>
      <c r="X133" s="316">
        <f>Table2[[#This Row],[Quotas]]-Table2[[#This Row],[Open Quotas]]</f>
        <v>1</v>
      </c>
      <c r="Y133" s="316">
        <v>0</v>
      </c>
      <c r="Z133" s="323"/>
      <c r="AA133" s="323"/>
      <c r="AB133" s="363"/>
      <c r="AC133" s="363"/>
      <c r="AD133" s="316"/>
      <c r="AE133" s="316"/>
      <c r="AF133" s="323">
        <f ca="1">Table2[[#This Row],[End Date]]+2-TODAY()</f>
        <v>4</v>
      </c>
      <c r="AG133" s="316">
        <f>IF(ISBLANK(Table2[[#This Row],[Roster Received by]]),1,0)</f>
        <v>1</v>
      </c>
      <c r="AH133" s="316">
        <f ca="1">IF(Table2[[#This Row],[Start Date]]&gt;TODAY(),1,)</f>
        <v>1</v>
      </c>
      <c r="AI133" s="316">
        <f>IF(ISBLANK(Table2[[#This Row],[Primary Instructor]]),0,1)</f>
        <v>1</v>
      </c>
      <c r="AJ133" s="316">
        <f>IF(ISBLANK(Table2[[#This Row],[Instructor 2]]),0,1)</f>
        <v>0</v>
      </c>
      <c r="AK133" s="316">
        <f>Table2[[#This Row],[Course Length (Hours)]]/(SUM(Table2[[#This Row],[1]:[2]]))</f>
        <v>1</v>
      </c>
      <c r="AL133" s="638">
        <v>999</v>
      </c>
      <c r="AM133" s="316">
        <v>1</v>
      </c>
      <c r="AN133" s="363" t="str">
        <f>VLOOKUP(Table2[[#This Row],[Course Title]],'TSD-Data'!$A$1:$G$80,7,FALSE)</f>
        <v>N8</v>
      </c>
    </row>
    <row r="134" spans="2:40" s="428" customFormat="1" ht="15" customHeight="1" x14ac:dyDescent="0.25">
      <c r="B134" s="315"/>
      <c r="C134" s="364" t="s">
        <v>406</v>
      </c>
      <c r="D134" s="316" t="str">
        <f>VLOOKUP(Table2[[#This Row],[Course Title]],'TSD-Data'!$A$1:$E$80,2,FALSE)</f>
        <v>A-493-3009</v>
      </c>
      <c r="E134" s="316" t="str">
        <f>VLOOKUP(Table2[[#This Row],[Course Title]],'TSD-Data'!$A$1:$E$80,3,FALSE)</f>
        <v>31VB</v>
      </c>
      <c r="F134" s="315" t="s">
        <v>25</v>
      </c>
      <c r="G134" s="344">
        <v>46009</v>
      </c>
      <c r="H134" s="344">
        <v>46009</v>
      </c>
      <c r="I134" s="317" t="s">
        <v>163</v>
      </c>
      <c r="J134" s="318"/>
      <c r="K134" s="318">
        <v>0.8125</v>
      </c>
      <c r="L134" s="345">
        <v>0.6875</v>
      </c>
      <c r="M134" s="345">
        <v>0.14583333333333334</v>
      </c>
      <c r="N134" s="345">
        <v>6.25E-2</v>
      </c>
      <c r="O134" s="345">
        <v>0.6875</v>
      </c>
      <c r="P134" s="345">
        <v>0.39583333333333331</v>
      </c>
      <c r="Q134" s="321" t="s">
        <v>439</v>
      </c>
      <c r="R134" s="321"/>
      <c r="S134" s="321"/>
      <c r="T134" s="316">
        <f>VLOOKUP(Table2[[#This Row],[Course Title]],'TSD-Data'!$A$1:$E$80,4,FALSE)</f>
        <v>1000</v>
      </c>
      <c r="U134" s="316">
        <f>VLOOKUP(Table2[[#This Row],[Course Title]],'TSD-Data'!$A$1:$F$80,6,FALSE)</f>
        <v>1</v>
      </c>
      <c r="V134" s="323">
        <f>VLOOKUP(Table2[[#This Row],[Course Title]],'TSD-Data'!$A$1:$F$80,5,FALSE)</f>
        <v>0.1</v>
      </c>
      <c r="W134" s="323">
        <v>0</v>
      </c>
      <c r="X134" s="316">
        <f>Table2[[#This Row],[Quotas]]-Table2[[#This Row],[Open Quotas]]</f>
        <v>2</v>
      </c>
      <c r="Y134" s="316">
        <v>0</v>
      </c>
      <c r="Z134" s="323"/>
      <c r="AA134" s="323"/>
      <c r="AB134" s="316"/>
      <c r="AC134" s="316"/>
      <c r="AD134" s="316"/>
      <c r="AE134" s="316"/>
      <c r="AF134" s="323">
        <f ca="1">Table2[[#This Row],[End Date]]+2-TODAY()</f>
        <v>4</v>
      </c>
      <c r="AG134" s="316">
        <f>IF(ISBLANK(Table2[[#This Row],[Roster Received by]]),1,0)</f>
        <v>1</v>
      </c>
      <c r="AH134" s="316">
        <f ca="1">IF(Table2[[#This Row],[Start Date]]&gt;TODAY(),1,)</f>
        <v>1</v>
      </c>
      <c r="AI134" s="316">
        <f>IF(ISBLANK(Table2[[#This Row],[Primary Instructor]]),0,1)</f>
        <v>1</v>
      </c>
      <c r="AJ134" s="316">
        <f>IF(ISBLANK(Table2[[#This Row],[Instructor 2]]),0,1)</f>
        <v>0</v>
      </c>
      <c r="AK134" s="316">
        <f>Table2[[#This Row],[Course Length (Hours)]]/(SUM(Table2[[#This Row],[1]:[2]]))</f>
        <v>1</v>
      </c>
      <c r="AL134" s="638">
        <v>998</v>
      </c>
      <c r="AM134" s="316">
        <v>1</v>
      </c>
      <c r="AN134" s="363" t="str">
        <f>VLOOKUP(Table2[[#This Row],[Course Title]],'TSD-Data'!$A$1:$G$80,7,FALSE)</f>
        <v>N8</v>
      </c>
    </row>
    <row r="135" spans="2:40" s="428" customFormat="1" ht="15" customHeight="1" x14ac:dyDescent="0.25">
      <c r="B135" s="432"/>
      <c r="C135" s="439" t="s">
        <v>238</v>
      </c>
      <c r="D135" s="316" t="str">
        <f>VLOOKUP(Table2[[#This Row],[Course Title]],'TSD-Data'!$A$1:$E$80,2,FALSE)</f>
        <v>Holiday</v>
      </c>
      <c r="E135" s="316" t="str">
        <f>VLOOKUP(Table2[[#This Row],[Course Title]],'TSD-Data'!$A$1:$E$80,3,FALSE)</f>
        <v>Holiday</v>
      </c>
      <c r="F135" s="439" t="s">
        <v>238</v>
      </c>
      <c r="G135" s="344">
        <v>46016</v>
      </c>
      <c r="H135" s="344">
        <v>46016</v>
      </c>
      <c r="I135" s="317" t="s">
        <v>433</v>
      </c>
      <c r="J135" s="433"/>
      <c r="K135" s="434"/>
      <c r="L135" s="434"/>
      <c r="M135" s="434"/>
      <c r="N135" s="434"/>
      <c r="O135" s="434"/>
      <c r="P135" s="434"/>
      <c r="Q135" s="435" t="s">
        <v>434</v>
      </c>
      <c r="R135" s="435"/>
      <c r="S135" s="435"/>
      <c r="T135" s="316">
        <f>VLOOKUP(Table2[[#This Row],[Course Title]],'TSD-Data'!$A$1:$E$80,4,FALSE)</f>
        <v>0</v>
      </c>
      <c r="U135" s="316">
        <f>VLOOKUP(Table2[[#This Row],[Course Title]],'TSD-Data'!$A$1:$F$80,6,FALSE)</f>
        <v>0</v>
      </c>
      <c r="V135" s="323">
        <f>VLOOKUP(Table2[[#This Row],[Course Title]],'TSD-Data'!$A$1:$F$80,5,FALSE)</f>
        <v>0</v>
      </c>
      <c r="W135" s="436">
        <v>0</v>
      </c>
      <c r="X135" s="316">
        <f>Table2[[#This Row],[Quotas]]-Table2[[#This Row],[Open Quotas]]</f>
        <v>0</v>
      </c>
      <c r="Y135" s="433">
        <v>0</v>
      </c>
      <c r="Z135" s="433">
        <v>0</v>
      </c>
      <c r="AA135" s="433">
        <v>0</v>
      </c>
      <c r="AB135" s="433">
        <v>0</v>
      </c>
      <c r="AC135" s="433">
        <v>0</v>
      </c>
      <c r="AD135" s="433">
        <v>0</v>
      </c>
      <c r="AE135" s="433" t="s">
        <v>435</v>
      </c>
      <c r="AF135" s="323">
        <f ca="1">Table2[[#This Row],[End Date]]+2-TODAY()</f>
        <v>11</v>
      </c>
      <c r="AG135" s="316">
        <f>IF(ISBLANK(Table2[[#This Row],[Roster Received by]]),1,0)</f>
        <v>0</v>
      </c>
      <c r="AH135" s="316">
        <f ca="1">IF(Table2[[#This Row],[Start Date]]&gt;TODAY(),1,)</f>
        <v>1</v>
      </c>
      <c r="AI135" s="316">
        <f>IF(ISBLANK(Table2[[#This Row],[Primary Instructor]]),0,1)</f>
        <v>1</v>
      </c>
      <c r="AJ135" s="316">
        <f>IF(ISBLANK(Table2[[#This Row],[Instructor 2]]),0,1)</f>
        <v>0</v>
      </c>
      <c r="AK135" s="316">
        <f>Table2[[#This Row],[Course Length (Hours)]]/(SUM(Table2[[#This Row],[1]:[2]]))</f>
        <v>0</v>
      </c>
      <c r="AL135" s="639">
        <v>0</v>
      </c>
      <c r="AM135" s="316">
        <v>1</v>
      </c>
      <c r="AN135" s="363" t="str">
        <f>VLOOKUP(Table2[[#This Row],[Course Title]],'TSD-Data'!$A$1:$G$80,7,FALSE)</f>
        <v>TSD</v>
      </c>
    </row>
    <row r="136" spans="2:40" s="428" customFormat="1" ht="15" customHeight="1" x14ac:dyDescent="0.25">
      <c r="B136" s="442"/>
      <c r="C136" s="439" t="s">
        <v>238</v>
      </c>
      <c r="D136" s="316" t="str">
        <f>VLOOKUP(Table2[[#This Row],[Course Title]],'TSD-Data'!$A$1:$E$80,2,FALSE)</f>
        <v>Holiday</v>
      </c>
      <c r="E136" s="316" t="str">
        <f>VLOOKUP(Table2[[#This Row],[Course Title]],'TSD-Data'!$A$1:$E$80,3,FALSE)</f>
        <v>Holiday</v>
      </c>
      <c r="F136" s="435" t="s">
        <v>238</v>
      </c>
      <c r="G136" s="344">
        <v>46023</v>
      </c>
      <c r="H136" s="344">
        <v>46023</v>
      </c>
      <c r="I136" s="317" t="s">
        <v>433</v>
      </c>
      <c r="J136" s="433"/>
      <c r="K136" s="434"/>
      <c r="L136" s="434"/>
      <c r="M136" s="434"/>
      <c r="N136" s="434"/>
      <c r="O136" s="434"/>
      <c r="P136" s="434"/>
      <c r="Q136" s="435" t="s">
        <v>434</v>
      </c>
      <c r="R136" s="435"/>
      <c r="S136" s="435"/>
      <c r="T136" s="316">
        <f>VLOOKUP(Table2[[#This Row],[Course Title]],'TSD-Data'!$A$1:$E$80,4,FALSE)</f>
        <v>0</v>
      </c>
      <c r="U136" s="316">
        <f>VLOOKUP(Table2[[#This Row],[Course Title]],'TSD-Data'!$A$1:$F$80,6,FALSE)</f>
        <v>0</v>
      </c>
      <c r="V136" s="323">
        <f>VLOOKUP(Table2[[#This Row],[Course Title]],'TSD-Data'!$A$1:$F$80,5,FALSE)</f>
        <v>0</v>
      </c>
      <c r="W136" s="436">
        <v>0</v>
      </c>
      <c r="X136" s="316">
        <f>Table2[[#This Row],[Quotas]]-Table2[[#This Row],[Open Quotas]]</f>
        <v>0</v>
      </c>
      <c r="Y136" s="433">
        <v>0</v>
      </c>
      <c r="Z136" s="433">
        <v>0</v>
      </c>
      <c r="AA136" s="433">
        <v>0</v>
      </c>
      <c r="AB136" s="433">
        <v>0</v>
      </c>
      <c r="AC136" s="433">
        <v>0</v>
      </c>
      <c r="AD136" s="433">
        <v>0</v>
      </c>
      <c r="AE136" s="433" t="s">
        <v>435</v>
      </c>
      <c r="AF136" s="323">
        <f ca="1">Table2[[#This Row],[End Date]]+2-TODAY()</f>
        <v>18</v>
      </c>
      <c r="AG136" s="316">
        <f>IF(ISBLANK(Table2[[#This Row],[Roster Received by]]),1,0)</f>
        <v>0</v>
      </c>
      <c r="AH136" s="316">
        <f ca="1">IF(Table2[[#This Row],[Start Date]]&gt;TODAY(),1,)</f>
        <v>1</v>
      </c>
      <c r="AI136" s="316">
        <f>IF(ISBLANK(Table2[[#This Row],[Primary Instructor]]),0,1)</f>
        <v>1</v>
      </c>
      <c r="AJ136" s="316">
        <f>IF(ISBLANK(Table2[[#This Row],[Instructor 2]]),0,1)</f>
        <v>0</v>
      </c>
      <c r="AK136" s="316">
        <f>Table2[[#This Row],[Course Length (Hours)]]/(SUM(Table2[[#This Row],[1]:[2]]))</f>
        <v>0</v>
      </c>
      <c r="AL136" s="639">
        <v>0</v>
      </c>
      <c r="AM136" s="433">
        <v>2</v>
      </c>
      <c r="AN136" s="363" t="str">
        <f>VLOOKUP(Table2[[#This Row],[Course Title]],'TSD-Data'!$A$1:$G$80,7,FALSE)</f>
        <v>TSD</v>
      </c>
    </row>
    <row r="137" spans="2:40" s="428" customFormat="1" ht="15" customHeight="1" x14ac:dyDescent="0.25">
      <c r="B137" s="315"/>
      <c r="C137" s="364" t="s">
        <v>48</v>
      </c>
      <c r="D137" s="316" t="str">
        <f>VLOOKUP(Table2[[#This Row],[Course Title]],'TSD-Data'!$A$1:$E$80,2,FALSE)</f>
        <v>A-493-0103</v>
      </c>
      <c r="E137" s="316" t="str">
        <f>VLOOKUP(Table2[[#This Row],[Course Title]],'TSD-Data'!$A$1:$E$80,3,FALSE)</f>
        <v>12JY</v>
      </c>
      <c r="F137" s="364" t="s">
        <v>293</v>
      </c>
      <c r="G137" s="344">
        <v>46027</v>
      </c>
      <c r="H137" s="344">
        <v>46031</v>
      </c>
      <c r="I137" s="317" t="s">
        <v>163</v>
      </c>
      <c r="J137" s="318">
        <v>0.33333333333333331</v>
      </c>
      <c r="K137" s="345"/>
      <c r="L137" s="344"/>
      <c r="M137" s="344"/>
      <c r="N137" s="344"/>
      <c r="O137" s="344"/>
      <c r="P137" s="344"/>
      <c r="Q137" s="321" t="s">
        <v>275</v>
      </c>
      <c r="R137" s="321"/>
      <c r="S137" s="321"/>
      <c r="T137" s="316">
        <f>VLOOKUP(Table2[[#This Row],[Course Title]],'TSD-Data'!$A$1:$E$80,4,FALSE)</f>
        <v>25</v>
      </c>
      <c r="U137" s="316">
        <f>VLOOKUP(Table2[[#This Row],[Course Title]],'TSD-Data'!$A$1:$F$80,6,FALSE)</f>
        <v>40</v>
      </c>
      <c r="V137" s="323">
        <f>VLOOKUP(Table2[[#This Row],[Course Title]],'TSD-Data'!$A$1:$F$80,5,FALSE)</f>
        <v>5</v>
      </c>
      <c r="W137" s="323">
        <v>90</v>
      </c>
      <c r="X137" s="316">
        <f>Table2[[#This Row],[Quotas]]-Table2[[#This Row],[Open Quotas]]</f>
        <v>7</v>
      </c>
      <c r="Y137" s="316">
        <v>0</v>
      </c>
      <c r="Z137" s="323"/>
      <c r="AA137" s="323"/>
      <c r="AB137" s="316"/>
      <c r="AC137" s="316"/>
      <c r="AD137" s="316"/>
      <c r="AE137" s="316"/>
      <c r="AF137" s="323">
        <f ca="1">Table2[[#This Row],[End Date]]+2-TODAY()</f>
        <v>26</v>
      </c>
      <c r="AG137" s="316">
        <f>IF(ISBLANK(Table2[[#This Row],[Roster Received by]]),1,0)</f>
        <v>1</v>
      </c>
      <c r="AH137" s="316">
        <f ca="1">IF(Table2[[#This Row],[Start Date]]&gt;TODAY(),1,)</f>
        <v>1</v>
      </c>
      <c r="AI137" s="316">
        <f>IF(ISBLANK(Table2[[#This Row],[Primary Instructor]]),0,1)</f>
        <v>1</v>
      </c>
      <c r="AJ137" s="316">
        <f>IF(ISBLANK(Table2[[#This Row],[Instructor 2]]),0,1)</f>
        <v>0</v>
      </c>
      <c r="AK137" s="316">
        <f>Table2[[#This Row],[Course Length (Hours)]]/(SUM(Table2[[#This Row],[1]:[2]]))</f>
        <v>40</v>
      </c>
      <c r="AL137" s="124">
        <v>18</v>
      </c>
      <c r="AM137" s="433">
        <v>2</v>
      </c>
      <c r="AN137" s="363" t="str">
        <f>VLOOKUP(Table2[[#This Row],[Course Title]],'TSD-Data'!$A$1:$G$80,7,FALSE)</f>
        <v>N5</v>
      </c>
    </row>
    <row r="138" spans="2:40" s="428" customFormat="1" ht="15" customHeight="1" x14ac:dyDescent="0.25">
      <c r="B138" s="437"/>
      <c r="C138" s="3" t="s">
        <v>61</v>
      </c>
      <c r="D138" s="70" t="str">
        <f>VLOOKUP(Table2[[#This Row],[Course Title]],'TSD-Data'!$A$1:$E$80,2,FALSE)</f>
        <v>A-493-0012</v>
      </c>
      <c r="E138" s="70">
        <f>VLOOKUP(Table2[[#This Row],[Course Title]],'TSD-Data'!$A$1:$E$80,3,FALSE)</f>
        <v>3682</v>
      </c>
      <c r="F138" s="3" t="s">
        <v>263</v>
      </c>
      <c r="G138" s="72">
        <v>46027</v>
      </c>
      <c r="H138" s="72">
        <v>46031</v>
      </c>
      <c r="I138" s="317" t="s">
        <v>163</v>
      </c>
      <c r="J138" s="318">
        <v>0.33333333333333331</v>
      </c>
      <c r="K138" s="345"/>
      <c r="L138" s="344"/>
      <c r="M138" s="344"/>
      <c r="N138" s="344"/>
      <c r="O138" s="344"/>
      <c r="P138" s="344"/>
      <c r="Q138" s="321" t="s">
        <v>453</v>
      </c>
      <c r="R138" s="321"/>
      <c r="S138" s="321"/>
      <c r="T138" s="316">
        <f>VLOOKUP(Table2[[#This Row],[Course Title]],'TSD-Data'!$A$1:$E$80,4,FALSE)</f>
        <v>40</v>
      </c>
      <c r="U138" s="316">
        <f>VLOOKUP(Table2[[#This Row],[Course Title]],'TSD-Data'!$A$1:$F$80,6,FALSE)</f>
        <v>40</v>
      </c>
      <c r="V138" s="323">
        <f>VLOOKUP(Table2[[#This Row],[Course Title]],'TSD-Data'!$A$1:$F$80,5,FALSE)</f>
        <v>5</v>
      </c>
      <c r="W138" s="316">
        <v>45</v>
      </c>
      <c r="X138" s="316">
        <f>Table2[[#This Row],[Quotas]]-Table2[[#This Row],[Open Quotas]]</f>
        <v>31</v>
      </c>
      <c r="Y138" s="316"/>
      <c r="Z138" s="323"/>
      <c r="AA138" s="323"/>
      <c r="AB138" s="316"/>
      <c r="AC138" s="316"/>
      <c r="AD138" s="316"/>
      <c r="AE138" s="316"/>
      <c r="AF138" s="323">
        <f ca="1">Table2[[#This Row],[End Date]]+2-TODAY()</f>
        <v>26</v>
      </c>
      <c r="AG138" s="316">
        <f>IF(ISBLANK(Table2[[#This Row],[Roster Received by]]),1,0)</f>
        <v>1</v>
      </c>
      <c r="AH138" s="316">
        <f ca="1">IF(Table2[[#This Row],[Start Date]]&gt;TODAY(),1,)</f>
        <v>1</v>
      </c>
      <c r="AI138" s="316">
        <f>IF(ISBLANK(Table2[[#This Row],[Primary Instructor]]),0,1)</f>
        <v>1</v>
      </c>
      <c r="AJ138" s="316">
        <f>IF(ISBLANK(Table2[[#This Row],[Instructor 2]]),0,1)</f>
        <v>0</v>
      </c>
      <c r="AK138" s="316">
        <f>Table2[[#This Row],[Course Length (Hours)]]/(SUM(Table2[[#This Row],[1]:[2]]))</f>
        <v>40</v>
      </c>
      <c r="AL138" s="124">
        <v>9</v>
      </c>
      <c r="AM138" s="433">
        <v>2</v>
      </c>
      <c r="AN138" s="363" t="str">
        <f>VLOOKUP(Table2[[#This Row],[Course Title]],'TSD-Data'!$A$1:$G$80,7,FALSE)</f>
        <v>N4</v>
      </c>
    </row>
    <row r="139" spans="2:40" s="428" customFormat="1" ht="15" customHeight="1" x14ac:dyDescent="0.25">
      <c r="B139" s="315"/>
      <c r="C139" s="364" t="s">
        <v>116</v>
      </c>
      <c r="D139" s="316" t="str">
        <f>VLOOKUP(Table2[[#This Row],[Course Title]],'TSD-Data'!$A$1:$E$80,2,FALSE)</f>
        <v>A-493-0072</v>
      </c>
      <c r="E139" s="316" t="str">
        <f>VLOOKUP(Table2[[#This Row],[Course Title]],'TSD-Data'!$A$1:$E$80,3,FALSE)</f>
        <v>713U</v>
      </c>
      <c r="F139" s="364" t="s">
        <v>162</v>
      </c>
      <c r="G139" s="344">
        <v>46027</v>
      </c>
      <c r="H139" s="344">
        <v>46031</v>
      </c>
      <c r="I139" s="317" t="s">
        <v>163</v>
      </c>
      <c r="J139" s="318">
        <v>0.33333333333333331</v>
      </c>
      <c r="K139" s="345"/>
      <c r="L139" s="344"/>
      <c r="M139" s="344"/>
      <c r="N139" s="344"/>
      <c r="O139" s="344"/>
      <c r="P139" s="344"/>
      <c r="Q139" s="321" t="s">
        <v>174</v>
      </c>
      <c r="R139" s="321"/>
      <c r="S139" s="321" t="s">
        <v>454</v>
      </c>
      <c r="T139" s="316">
        <f>VLOOKUP(Table2[[#This Row],[Course Title]],'TSD-Data'!$A$1:$E$80,4,FALSE)</f>
        <v>30</v>
      </c>
      <c r="U139" s="316">
        <f>VLOOKUP(Table2[[#This Row],[Course Title]],'TSD-Data'!$A$1:$F$80,6,FALSE)</f>
        <v>40</v>
      </c>
      <c r="V139" s="323">
        <f>VLOOKUP(Table2[[#This Row],[Course Title]],'TSD-Data'!$A$1:$F$80,5,FALSE)</f>
        <v>5</v>
      </c>
      <c r="W139" s="323">
        <v>33</v>
      </c>
      <c r="X139" s="316">
        <f>Table2[[#This Row],[Quotas]]-Table2[[#This Row],[Open Quotas]]</f>
        <v>30</v>
      </c>
      <c r="Y139" s="316">
        <v>0</v>
      </c>
      <c r="Z139" s="323"/>
      <c r="AA139" s="323"/>
      <c r="AB139" s="316"/>
      <c r="AC139" s="316"/>
      <c r="AD139" s="316"/>
      <c r="AE139" s="316"/>
      <c r="AF139" s="323">
        <f ca="1">Table2[[#This Row],[End Date]]+2-TODAY()</f>
        <v>26</v>
      </c>
      <c r="AG139" s="316">
        <f>IF(ISBLANK(Table2[[#This Row],[Roster Received by]]),1,0)</f>
        <v>1</v>
      </c>
      <c r="AH139" s="316">
        <f ca="1">IF(Table2[[#This Row],[Start Date]]&gt;TODAY(),1,)</f>
        <v>1</v>
      </c>
      <c r="AI139" s="316">
        <f>IF(ISBLANK(Table2[[#This Row],[Primary Instructor]]),0,1)</f>
        <v>1</v>
      </c>
      <c r="AJ139" s="316">
        <f>IF(ISBLANK(Table2[[#This Row],[Instructor 2]]),0,1)</f>
        <v>0</v>
      </c>
      <c r="AK139" s="316">
        <f>Table2[[#This Row],[Course Length (Hours)]]/(SUM(Table2[[#This Row],[1]:[2]]))</f>
        <v>40</v>
      </c>
      <c r="AL139" s="124">
        <v>0</v>
      </c>
      <c r="AM139" s="316">
        <v>1</v>
      </c>
      <c r="AN139" s="363" t="str">
        <f>VLOOKUP(Table2[[#This Row],[Course Title]],'TSD-Data'!$A$1:$G$80,7,FALSE)</f>
        <v>N3</v>
      </c>
    </row>
    <row r="140" spans="2:40" s="428" customFormat="1" ht="15" customHeight="1" x14ac:dyDescent="0.25">
      <c r="B140" s="315"/>
      <c r="C140" s="364" t="s">
        <v>119</v>
      </c>
      <c r="D140" s="316" t="str">
        <f>VLOOKUP(Table2[[#This Row],[Course Title]],'TSD-Data'!$A$1:$E$80,2,FALSE)</f>
        <v>A-493-2098</v>
      </c>
      <c r="E140" s="316" t="str">
        <f>VLOOKUP(Table2[[#This Row],[Course Title]],'TSD-Data'!$A$1:$E$80,3,FALSE)</f>
        <v>09WW</v>
      </c>
      <c r="F140" s="364" t="s">
        <v>25</v>
      </c>
      <c r="G140" s="344">
        <v>46027</v>
      </c>
      <c r="H140" s="344">
        <v>46029</v>
      </c>
      <c r="I140" s="317" t="s">
        <v>163</v>
      </c>
      <c r="J140" s="318"/>
      <c r="K140" s="431">
        <v>0.5</v>
      </c>
      <c r="L140" s="697">
        <v>0.375</v>
      </c>
      <c r="M140" s="431">
        <v>0.83333333333333337</v>
      </c>
      <c r="N140" s="431">
        <v>0.75</v>
      </c>
      <c r="O140" s="431">
        <v>0.29166666666666669</v>
      </c>
      <c r="P140" s="431">
        <v>8.3333333333333329E-2</v>
      </c>
      <c r="Q140" s="321" t="s">
        <v>164</v>
      </c>
      <c r="R140" s="321"/>
      <c r="S140" s="321"/>
      <c r="T140" s="316">
        <f>VLOOKUP(Table2[[#This Row],[Course Title]],'TSD-Data'!$A$1:$E$80,4,FALSE)</f>
        <v>100</v>
      </c>
      <c r="U140" s="316">
        <f>VLOOKUP(Table2[[#This Row],[Course Title]],'TSD-Data'!$A$1:$F$80,6,FALSE)</f>
        <v>16</v>
      </c>
      <c r="V140" s="323">
        <f>VLOOKUP(Table2[[#This Row],[Course Title]],'TSD-Data'!$A$1:$F$80,5,FALSE)</f>
        <v>3</v>
      </c>
      <c r="W140" s="323">
        <v>1882</v>
      </c>
      <c r="X140" s="316">
        <f>Table2[[#This Row],[Quotas]]-Table2[[#This Row],[Open Quotas]]</f>
        <v>85</v>
      </c>
      <c r="Y140" s="316">
        <v>0</v>
      </c>
      <c r="Z140" s="323"/>
      <c r="AA140" s="323"/>
      <c r="AB140" s="316"/>
      <c r="AC140" s="316"/>
      <c r="AD140" s="316"/>
      <c r="AE140" s="316"/>
      <c r="AF140" s="323">
        <f ca="1">Table2[[#This Row],[End Date]]+2-TODAY()</f>
        <v>24</v>
      </c>
      <c r="AG140" s="316">
        <f>IF(ISBLANK(Table2[[#This Row],[Roster Received by]]),1,0)</f>
        <v>1</v>
      </c>
      <c r="AH140" s="316">
        <f ca="1">IF(Table2[[#This Row],[Start Date]]&gt;TODAY(),1,)</f>
        <v>1</v>
      </c>
      <c r="AI140" s="316">
        <f>IF(ISBLANK(Table2[[#This Row],[Primary Instructor]]),0,1)</f>
        <v>1</v>
      </c>
      <c r="AJ140" s="316">
        <f>IF(ISBLANK(Table2[[#This Row],[Instructor 2]]),0,1)</f>
        <v>0</v>
      </c>
      <c r="AK140" s="316">
        <f>Table2[[#This Row],[Course Length (Hours)]]/(SUM(Table2[[#This Row],[1]:[2]]))</f>
        <v>16</v>
      </c>
      <c r="AL140" s="124">
        <v>15</v>
      </c>
      <c r="AM140" s="433">
        <v>2</v>
      </c>
      <c r="AN140" s="363" t="str">
        <f>VLOOKUP(Table2[[#This Row],[Course Title]],'TSD-Data'!$A$1:$G$80,7,FALSE)</f>
        <v>N8</v>
      </c>
    </row>
    <row r="141" spans="2:40" s="428" customFormat="1" ht="15" customHeight="1" x14ac:dyDescent="0.25">
      <c r="B141" s="315"/>
      <c r="C141" s="364" t="s">
        <v>74</v>
      </c>
      <c r="D141" s="316" t="str">
        <f>VLOOKUP(Table2[[#This Row],[Course Title]],'TSD-Data'!$A$1:$E$80,2,FALSE)</f>
        <v>A-322-2604</v>
      </c>
      <c r="E141" s="316" t="str">
        <f>VLOOKUP(Table2[[#This Row],[Course Title]],'TSD-Data'!$A$1:$E$80,3,FALSE)</f>
        <v>10ZZ</v>
      </c>
      <c r="F141" s="315" t="s">
        <v>25</v>
      </c>
      <c r="G141" s="344">
        <v>46027</v>
      </c>
      <c r="H141" s="344">
        <v>46029</v>
      </c>
      <c r="I141" s="317" t="s">
        <v>163</v>
      </c>
      <c r="J141" s="318"/>
      <c r="K141" s="345">
        <v>0.33333333333333331</v>
      </c>
      <c r="L141" s="345">
        <v>0.20833333333333334</v>
      </c>
      <c r="M141" s="434">
        <v>1600</v>
      </c>
      <c r="N141" s="434">
        <v>1400</v>
      </c>
      <c r="O141" s="345">
        <v>0.125</v>
      </c>
      <c r="P141" s="434">
        <v>2200</v>
      </c>
      <c r="Q141" s="321" t="s">
        <v>444</v>
      </c>
      <c r="R141" s="321"/>
      <c r="S141" s="321"/>
      <c r="T141" s="316">
        <f>VLOOKUP(Table2[[#This Row],[Course Title]],'TSD-Data'!$A$1:$E$80,4,FALSE)</f>
        <v>45</v>
      </c>
      <c r="U141" s="316">
        <f>VLOOKUP(Table2[[#This Row],[Course Title]],'TSD-Data'!$A$1:$F$80,6,FALSE)</f>
        <v>24</v>
      </c>
      <c r="V141" s="323">
        <f>VLOOKUP(Table2[[#This Row],[Course Title]],'TSD-Data'!$A$1:$F$80,5,FALSE)</f>
        <v>3</v>
      </c>
      <c r="W141" s="323">
        <v>316</v>
      </c>
      <c r="X141" s="316">
        <f>Table2[[#This Row],[Quotas]]-Table2[[#This Row],[Open Quotas]]</f>
        <v>38</v>
      </c>
      <c r="Y141" s="316">
        <v>0</v>
      </c>
      <c r="Z141" s="323"/>
      <c r="AA141" s="323"/>
      <c r="AB141" s="316"/>
      <c r="AC141" s="316"/>
      <c r="AD141" s="316"/>
      <c r="AE141" s="316"/>
      <c r="AF141" s="323">
        <f ca="1">Table2[[#This Row],[End Date]]+2-TODAY()</f>
        <v>24</v>
      </c>
      <c r="AG141" s="316">
        <f>IF(ISBLANK(Table2[[#This Row],[Roster Received by]]),1,0)</f>
        <v>1</v>
      </c>
      <c r="AH141" s="316">
        <f ca="1">IF(Table2[[#This Row],[Start Date]]&gt;TODAY(),1,)</f>
        <v>1</v>
      </c>
      <c r="AI141" s="316">
        <f>IF(ISBLANK(Table2[[#This Row],[Primary Instructor]]),0,1)</f>
        <v>1</v>
      </c>
      <c r="AJ141" s="316">
        <f>IF(ISBLANK(Table2[[#This Row],[Instructor 2]]),0,1)</f>
        <v>0</v>
      </c>
      <c r="AK141" s="316">
        <f>Table2[[#This Row],[Course Length (Hours)]]/(SUM(Table2[[#This Row],[1]:[2]]))</f>
        <v>24</v>
      </c>
      <c r="AL141" s="124">
        <v>7</v>
      </c>
      <c r="AM141" s="433">
        <v>2</v>
      </c>
      <c r="AN141" s="363" t="str">
        <f>VLOOKUP(Table2[[#This Row],[Course Title]],'TSD-Data'!$A$1:$G$80,7,FALSE)</f>
        <v>N8</v>
      </c>
    </row>
    <row r="142" spans="2:40" s="428" customFormat="1" ht="15" customHeight="1" x14ac:dyDescent="0.25">
      <c r="B142" s="315"/>
      <c r="C142" s="364" t="s">
        <v>106</v>
      </c>
      <c r="D142" s="316" t="str">
        <f>VLOOKUP(Table2[[#This Row],[Course Title]],'TSD-Data'!$A$1:$E$80,2,FALSE)</f>
        <v>A-493-0078</v>
      </c>
      <c r="E142" s="316">
        <f>VLOOKUP(Table2[[#This Row],[Course Title]],'TSD-Data'!$A$1:$E$80,3,FALSE)</f>
        <v>1228</v>
      </c>
      <c r="F142" s="315" t="s">
        <v>25</v>
      </c>
      <c r="G142" s="344">
        <v>46028</v>
      </c>
      <c r="H142" s="344">
        <v>46031</v>
      </c>
      <c r="I142" s="317" t="s">
        <v>163</v>
      </c>
      <c r="J142" s="318"/>
      <c r="K142" s="429">
        <v>0.5</v>
      </c>
      <c r="L142" s="429">
        <v>0.375</v>
      </c>
      <c r="M142" s="429">
        <v>0.83333333333333337</v>
      </c>
      <c r="N142" s="429">
        <v>0.75</v>
      </c>
      <c r="O142" s="429">
        <v>0.29166666666666669</v>
      </c>
      <c r="P142" s="429">
        <v>8.3333333333333329E-2</v>
      </c>
      <c r="Q142" s="321" t="s">
        <v>172</v>
      </c>
      <c r="R142" s="321"/>
      <c r="S142" s="321"/>
      <c r="T142" s="316">
        <f>VLOOKUP(Table2[[#This Row],[Course Title]],'TSD-Data'!$A$1:$E$80,4,FALSE)</f>
        <v>45</v>
      </c>
      <c r="U142" s="316">
        <f>VLOOKUP(Table2[[#This Row],[Course Title]],'TSD-Data'!$A$1:$F$80,6,FALSE)</f>
        <v>32</v>
      </c>
      <c r="V142" s="323">
        <f>VLOOKUP(Table2[[#This Row],[Course Title]],'TSD-Data'!$A$1:$F$80,5,FALSE)</f>
        <v>4</v>
      </c>
      <c r="W142" s="323">
        <v>568</v>
      </c>
      <c r="X142" s="316">
        <f>Table2[[#This Row],[Quotas]]-Table2[[#This Row],[Open Quotas]]</f>
        <v>45</v>
      </c>
      <c r="Y142" s="316">
        <v>2</v>
      </c>
      <c r="Z142" s="323"/>
      <c r="AA142" s="323"/>
      <c r="AB142" s="316"/>
      <c r="AC142" s="316"/>
      <c r="AD142" s="316"/>
      <c r="AE142" s="316"/>
      <c r="AF142" s="323">
        <f ca="1">Table2[[#This Row],[End Date]]+2-TODAY()</f>
        <v>26</v>
      </c>
      <c r="AG142" s="316">
        <f>IF(ISBLANK(Table2[[#This Row],[Roster Received by]]),1,0)</f>
        <v>1</v>
      </c>
      <c r="AH142" s="316">
        <f ca="1">IF(Table2[[#This Row],[Start Date]]&gt;TODAY(),1,)</f>
        <v>1</v>
      </c>
      <c r="AI142" s="316">
        <f>IF(ISBLANK(Table2[[#This Row],[Primary Instructor]]),0,1)</f>
        <v>1</v>
      </c>
      <c r="AJ142" s="316">
        <f>IF(ISBLANK(Table2[[#This Row],[Instructor 2]]),0,1)</f>
        <v>0</v>
      </c>
      <c r="AK142" s="316">
        <f>Table2[[#This Row],[Course Length (Hours)]]/(SUM(Table2[[#This Row],[1]:[2]]))</f>
        <v>32</v>
      </c>
      <c r="AL142" s="124">
        <v>0</v>
      </c>
      <c r="AM142" s="433">
        <v>2</v>
      </c>
      <c r="AN142" s="363" t="str">
        <f>VLOOKUP(Table2[[#This Row],[Course Title]],'TSD-Data'!$A$1:$G$80,7,FALSE)</f>
        <v>N5</v>
      </c>
    </row>
    <row r="143" spans="2:40" s="428" customFormat="1" ht="15" customHeight="1" x14ac:dyDescent="0.25">
      <c r="B143" s="315"/>
      <c r="C143" s="364" t="s">
        <v>48</v>
      </c>
      <c r="D143" s="316" t="str">
        <f>VLOOKUP(Table2[[#This Row],[Course Title]],'TSD-Data'!$A$1:$E$80,2,FALSE)</f>
        <v>A-493-0103</v>
      </c>
      <c r="E143" s="316" t="str">
        <f>VLOOKUP(Table2[[#This Row],[Course Title]],'TSD-Data'!$A$1:$E$80,3,FALSE)</f>
        <v>12JY</v>
      </c>
      <c r="F143" s="315" t="s">
        <v>293</v>
      </c>
      <c r="G143" s="344">
        <v>46034</v>
      </c>
      <c r="H143" s="344">
        <v>46038</v>
      </c>
      <c r="I143" s="317" t="s">
        <v>163</v>
      </c>
      <c r="J143" s="318">
        <v>0.33333333333333331</v>
      </c>
      <c r="K143" s="345"/>
      <c r="L143" s="344"/>
      <c r="M143" s="344"/>
      <c r="N143" s="344"/>
      <c r="O143" s="344"/>
      <c r="P143" s="344"/>
      <c r="Q143" s="321" t="s">
        <v>275</v>
      </c>
      <c r="R143" s="321"/>
      <c r="S143" s="321"/>
      <c r="T143" s="316">
        <f>VLOOKUP(Table2[[#This Row],[Course Title]],'TSD-Data'!$A$1:$E$80,4,FALSE)</f>
        <v>25</v>
      </c>
      <c r="U143" s="316">
        <f>VLOOKUP(Table2[[#This Row],[Course Title]],'TSD-Data'!$A$1:$F$80,6,FALSE)</f>
        <v>40</v>
      </c>
      <c r="V143" s="323">
        <f>VLOOKUP(Table2[[#This Row],[Course Title]],'TSD-Data'!$A$1:$F$80,5,FALSE)</f>
        <v>5</v>
      </c>
      <c r="W143" s="323">
        <v>90</v>
      </c>
      <c r="X143" s="316">
        <f>Table2[[#This Row],[Quotas]]-Table2[[#This Row],[Open Quotas]]</f>
        <v>9</v>
      </c>
      <c r="Y143" s="316">
        <v>0</v>
      </c>
      <c r="Z143" s="323"/>
      <c r="AA143" s="323"/>
      <c r="AB143" s="316"/>
      <c r="AC143" s="316"/>
      <c r="AD143" s="316"/>
      <c r="AE143" s="316"/>
      <c r="AF143" s="323">
        <f ca="1">Table2[[#This Row],[End Date]]+2-TODAY()</f>
        <v>33</v>
      </c>
      <c r="AG143" s="316">
        <f>IF(ISBLANK(Table2[[#This Row],[Roster Received by]]),1,0)</f>
        <v>1</v>
      </c>
      <c r="AH143" s="316">
        <f ca="1">IF(Table2[[#This Row],[Start Date]]&gt;TODAY(),1,)</f>
        <v>1</v>
      </c>
      <c r="AI143" s="316">
        <f>IF(ISBLANK(Table2[[#This Row],[Primary Instructor]]),0,1)</f>
        <v>1</v>
      </c>
      <c r="AJ143" s="316">
        <f>IF(ISBLANK(Table2[[#This Row],[Instructor 2]]),0,1)</f>
        <v>0</v>
      </c>
      <c r="AK143" s="316">
        <f>Table2[[#This Row],[Course Length (Hours)]]/(SUM(Table2[[#This Row],[1]:[2]]))</f>
        <v>40</v>
      </c>
      <c r="AL143" s="124">
        <v>16</v>
      </c>
      <c r="AM143" s="433">
        <v>2</v>
      </c>
      <c r="AN143" s="363" t="str">
        <f>VLOOKUP(Table2[[#This Row],[Course Title]],'TSD-Data'!$A$1:$G$80,7,FALSE)</f>
        <v>N5</v>
      </c>
    </row>
    <row r="144" spans="2:40" s="428" customFormat="1" ht="15" customHeight="1" x14ac:dyDescent="0.25">
      <c r="B144" s="315"/>
      <c r="C144" s="364" t="s">
        <v>48</v>
      </c>
      <c r="D144" s="316" t="str">
        <f>VLOOKUP(Table2[[#This Row],[Course Title]],'TSD-Data'!$A$1:$E$80,2,FALSE)</f>
        <v>A-493-0103</v>
      </c>
      <c r="E144" s="316" t="str">
        <f>VLOOKUP(Table2[[#This Row],[Course Title]],'TSD-Data'!$A$1:$E$80,3,FALSE)</f>
        <v>12JY</v>
      </c>
      <c r="F144" s="315" t="s">
        <v>316</v>
      </c>
      <c r="G144" s="344">
        <v>46034</v>
      </c>
      <c r="H144" s="344">
        <v>46038</v>
      </c>
      <c r="I144" s="317" t="s">
        <v>163</v>
      </c>
      <c r="J144" s="318">
        <v>0.33333333333333331</v>
      </c>
      <c r="K144" s="318"/>
      <c r="L144" s="344"/>
      <c r="M144" s="317"/>
      <c r="N144" s="317"/>
      <c r="O144" s="317"/>
      <c r="P144" s="317"/>
      <c r="Q144" s="321" t="s">
        <v>275</v>
      </c>
      <c r="R144" s="321"/>
      <c r="S144" s="321"/>
      <c r="T144" s="316">
        <f>VLOOKUP(Table2[[#This Row],[Course Title]],'TSD-Data'!$A$1:$E$80,4,FALSE)</f>
        <v>25</v>
      </c>
      <c r="U144" s="316">
        <f>VLOOKUP(Table2[[#This Row],[Course Title]],'TSD-Data'!$A$1:$F$80,6,FALSE)</f>
        <v>40</v>
      </c>
      <c r="V144" s="323">
        <f>VLOOKUP(Table2[[#This Row],[Course Title]],'TSD-Data'!$A$1:$F$80,5,FALSE)</f>
        <v>5</v>
      </c>
      <c r="W144" s="323">
        <v>35</v>
      </c>
      <c r="X144" s="316">
        <f>Table2[[#This Row],[Quotas]]-Table2[[#This Row],[Open Quotas]]</f>
        <v>14</v>
      </c>
      <c r="Y144" s="316">
        <v>0</v>
      </c>
      <c r="Z144" s="323"/>
      <c r="AA144" s="323"/>
      <c r="AB144" s="316"/>
      <c r="AC144" s="316"/>
      <c r="AD144" s="316"/>
      <c r="AE144" s="316"/>
      <c r="AF144" s="323">
        <f ca="1">Table2[[#This Row],[End Date]]+2-TODAY()</f>
        <v>33</v>
      </c>
      <c r="AG144" s="316">
        <f>IF(ISBLANK(Table2[[#This Row],[Roster Received by]]),1,0)</f>
        <v>1</v>
      </c>
      <c r="AH144" s="316">
        <f ca="1">IF(Table2[[#This Row],[Start Date]]&gt;TODAY(),1,)</f>
        <v>1</v>
      </c>
      <c r="AI144" s="316">
        <f>IF(ISBLANK(Table2[[#This Row],[Primary Instructor]]),0,1)</f>
        <v>1</v>
      </c>
      <c r="AJ144" s="316">
        <f>IF(ISBLANK(Table2[[#This Row],[Instructor 2]]),0,1)</f>
        <v>0</v>
      </c>
      <c r="AK144" s="316">
        <f>Table2[[#This Row],[Course Length (Hours)]]/(SUM(Table2[[#This Row],[1]:[2]]))</f>
        <v>40</v>
      </c>
      <c r="AL144" s="124">
        <v>11</v>
      </c>
      <c r="AM144" s="433">
        <v>2</v>
      </c>
      <c r="AN144" s="363" t="str">
        <f>VLOOKUP(Table2[[#This Row],[Course Title]],'TSD-Data'!$A$1:$G$80,7,FALSE)</f>
        <v>N5</v>
      </c>
    </row>
    <row r="145" spans="2:40" s="428" customFormat="1" ht="15" customHeight="1" x14ac:dyDescent="0.25">
      <c r="B145" s="315"/>
      <c r="C145" s="364" t="s">
        <v>23</v>
      </c>
      <c r="D145" s="316" t="str">
        <f>VLOOKUP(Table2[[#This Row],[Course Title]],'TSD-Data'!$A$1:$E$80,2,FALSE)</f>
        <v>A-4J-0022</v>
      </c>
      <c r="E145" s="316" t="str">
        <f>VLOOKUP(Table2[[#This Row],[Course Title]],'TSD-Data'!$A$1:$E$80,3,FALSE)</f>
        <v>09ER</v>
      </c>
      <c r="F145" s="315" t="s">
        <v>25</v>
      </c>
      <c r="G145" s="344">
        <v>46034</v>
      </c>
      <c r="H145" s="344">
        <v>46038</v>
      </c>
      <c r="I145" s="317" t="s">
        <v>163</v>
      </c>
      <c r="J145" s="318"/>
      <c r="K145" s="429">
        <v>0.5</v>
      </c>
      <c r="L145" s="429">
        <v>0.375</v>
      </c>
      <c r="M145" s="429">
        <v>0.83333333333333337</v>
      </c>
      <c r="N145" s="429">
        <v>0.75</v>
      </c>
      <c r="O145" s="429">
        <v>0.29166666666666669</v>
      </c>
      <c r="P145" s="429">
        <v>8.3333333333333329E-2</v>
      </c>
      <c r="Q145" s="321" t="s">
        <v>285</v>
      </c>
      <c r="R145" s="321"/>
      <c r="S145" s="321"/>
      <c r="T145" s="316">
        <f>VLOOKUP(Table2[[#This Row],[Course Title]],'TSD-Data'!$A$1:$E$80,4,FALSE)</f>
        <v>45</v>
      </c>
      <c r="U145" s="316">
        <f>VLOOKUP(Table2[[#This Row],[Course Title]],'TSD-Data'!$A$1:$F$80,6,FALSE)</f>
        <v>16</v>
      </c>
      <c r="V145" s="323">
        <f>VLOOKUP(Table2[[#This Row],[Course Title]],'TSD-Data'!$A$1:$F$80,5,FALSE)</f>
        <v>2</v>
      </c>
      <c r="W145" s="323">
        <v>130</v>
      </c>
      <c r="X145" s="316">
        <f>Table2[[#This Row],[Quotas]]-Table2[[#This Row],[Open Quotas]]</f>
        <v>10</v>
      </c>
      <c r="Y145" s="316"/>
      <c r="Z145" s="323"/>
      <c r="AA145" s="323"/>
      <c r="AB145" s="316"/>
      <c r="AC145" s="316"/>
      <c r="AD145" s="316"/>
      <c r="AE145" s="316"/>
      <c r="AF145" s="323">
        <f ca="1">Table2[[#This Row],[End Date]]+2-TODAY()</f>
        <v>33</v>
      </c>
      <c r="AG145" s="316">
        <f>IF(ISBLANK(Table2[[#This Row],[Roster Received by]]),1,0)</f>
        <v>1</v>
      </c>
      <c r="AH145" s="316">
        <f ca="1">IF(Table2[[#This Row],[Start Date]]&gt;TODAY(),1,)</f>
        <v>1</v>
      </c>
      <c r="AI145" s="316">
        <f>IF(ISBLANK(Table2[[#This Row],[Primary Instructor]]),0,1)</f>
        <v>1</v>
      </c>
      <c r="AJ145" s="316">
        <f>IF(ISBLANK(Table2[[#This Row],[Instructor 2]]),0,1)</f>
        <v>0</v>
      </c>
      <c r="AK145" s="316">
        <f>Table2[[#This Row],[Course Length (Hours)]]/(SUM(Table2[[#This Row],[1]:[2]]))</f>
        <v>16</v>
      </c>
      <c r="AL145" s="124">
        <v>35</v>
      </c>
      <c r="AM145" s="433">
        <v>2</v>
      </c>
      <c r="AN145" s="363" t="str">
        <f>VLOOKUP(Table2[[#This Row],[Course Title]],'TSD-Data'!$A$1:$G$80,7,FALSE)</f>
        <v>N4</v>
      </c>
    </row>
    <row r="146" spans="2:40" s="428" customFormat="1" ht="15" customHeight="1" x14ac:dyDescent="0.25">
      <c r="B146" s="315"/>
      <c r="C146" s="364" t="s">
        <v>44</v>
      </c>
      <c r="D146" s="421" t="str">
        <f>VLOOKUP(Table2[[#This Row],[Course Title]],'TSD-Data'!$A$1:$E$80,2,FALSE)</f>
        <v>A-493-0665</v>
      </c>
      <c r="E146" s="421" t="str">
        <f>VLOOKUP(Table2[[#This Row],[Course Title]],'TSD-Data'!$A$1:$E$80,3,FALSE)</f>
        <v>10KW</v>
      </c>
      <c r="F146" s="364" t="s">
        <v>25</v>
      </c>
      <c r="G146" s="344">
        <v>46034</v>
      </c>
      <c r="H146" s="344">
        <v>46036</v>
      </c>
      <c r="I146" s="317" t="s">
        <v>163</v>
      </c>
      <c r="J146" s="318"/>
      <c r="K146" s="345">
        <v>0.33333333333333331</v>
      </c>
      <c r="L146" s="345">
        <v>0.20833333333333334</v>
      </c>
      <c r="M146" s="434">
        <v>1600</v>
      </c>
      <c r="N146" s="434">
        <v>1400</v>
      </c>
      <c r="O146" s="345">
        <v>0.125</v>
      </c>
      <c r="P146" s="434">
        <v>2200</v>
      </c>
      <c r="Q146" s="321" t="s">
        <v>444</v>
      </c>
      <c r="R146" s="321"/>
      <c r="S146" s="321"/>
      <c r="T146" s="316">
        <f>VLOOKUP(Table2[[#This Row],[Course Title]],'TSD-Data'!$A$1:$E$80,4,FALSE)</f>
        <v>45</v>
      </c>
      <c r="U146" s="316">
        <f>VLOOKUP(Table2[[#This Row],[Course Title]],'TSD-Data'!$A$1:$F$80,6,FALSE)</f>
        <v>24</v>
      </c>
      <c r="V146" s="323">
        <f>VLOOKUP(Table2[[#This Row],[Course Title]],'TSD-Data'!$A$1:$F$80,5,FALSE)</f>
        <v>3</v>
      </c>
      <c r="W146" s="323">
        <v>140</v>
      </c>
      <c r="X146" s="316">
        <f>Table2[[#This Row],[Quotas]]-Table2[[#This Row],[Open Quotas]]</f>
        <v>16</v>
      </c>
      <c r="Y146" s="316">
        <v>0</v>
      </c>
      <c r="Z146" s="323"/>
      <c r="AA146" s="323"/>
      <c r="AB146" s="316"/>
      <c r="AC146" s="316"/>
      <c r="AD146" s="316"/>
      <c r="AE146" s="316"/>
      <c r="AF146" s="323">
        <f ca="1">Table2[[#This Row],[End Date]]+2-TODAY()</f>
        <v>31</v>
      </c>
      <c r="AG146" s="316">
        <f>IF(ISBLANK(Table2[[#This Row],[Roster Received by]]),1,0)</f>
        <v>1</v>
      </c>
      <c r="AH146" s="316">
        <f ca="1">IF(Table2[[#This Row],[Start Date]]&gt;TODAY(),1,)</f>
        <v>1</v>
      </c>
      <c r="AI146" s="316">
        <f>IF(ISBLANK(Table2[[#This Row],[Primary Instructor]]),0,1)</f>
        <v>1</v>
      </c>
      <c r="AJ146" s="316">
        <f>IF(ISBLANK(Table2[[#This Row],[Instructor 2]]),0,1)</f>
        <v>0</v>
      </c>
      <c r="AK146" s="316">
        <f>Table2[[#This Row],[Course Length (Hours)]]/(SUM(Table2[[#This Row],[1]:[2]]))</f>
        <v>24</v>
      </c>
      <c r="AL146" s="124">
        <v>29</v>
      </c>
      <c r="AM146" s="433">
        <v>2</v>
      </c>
      <c r="AN146" s="363" t="str">
        <f>VLOOKUP(Table2[[#This Row],[Course Title]],'TSD-Data'!$A$1:$G$80,7,FALSE)</f>
        <v>N8</v>
      </c>
    </row>
    <row r="147" spans="2:40" s="428" customFormat="1" ht="15" customHeight="1" x14ac:dyDescent="0.25">
      <c r="B147" s="315"/>
      <c r="C147" s="364" t="s">
        <v>52</v>
      </c>
      <c r="D147" s="316" t="str">
        <f>VLOOKUP(Table2[[#This Row],[Course Title]],'TSD-Data'!$A$1:$E$80,2,FALSE)</f>
        <v>A-493-0030</v>
      </c>
      <c r="E147" s="316" t="str">
        <f>VLOOKUP(Table2[[#This Row],[Course Title]],'TSD-Data'!$A$1:$E$80,3,FALSE)</f>
        <v>286X</v>
      </c>
      <c r="F147" s="315" t="s">
        <v>258</v>
      </c>
      <c r="G147" s="344">
        <v>46034</v>
      </c>
      <c r="H147" s="344">
        <v>46038</v>
      </c>
      <c r="I147" s="317" t="s">
        <v>163</v>
      </c>
      <c r="J147" s="318">
        <v>0.33333333333333331</v>
      </c>
      <c r="K147" s="329"/>
      <c r="L147" s="344"/>
      <c r="M147" s="317"/>
      <c r="N147" s="317"/>
      <c r="O147" s="317"/>
      <c r="P147" s="317"/>
      <c r="Q147" s="321" t="s">
        <v>437</v>
      </c>
      <c r="R147" s="321"/>
      <c r="S147" s="321"/>
      <c r="T147" s="316">
        <f>VLOOKUP(Table2[[#This Row],[Course Title]],'TSD-Data'!$A$1:$E$80,4,FALSE)</f>
        <v>25</v>
      </c>
      <c r="U147" s="316">
        <f>VLOOKUP(Table2[[#This Row],[Course Title]],'TSD-Data'!$A$1:$F$80,6,FALSE)</f>
        <v>40</v>
      </c>
      <c r="V147" s="323">
        <f>VLOOKUP(Table2[[#This Row],[Course Title]],'TSD-Data'!$A$1:$F$80,5,FALSE)</f>
        <v>5</v>
      </c>
      <c r="W147" s="323">
        <v>43</v>
      </c>
      <c r="X147" s="316">
        <f>Table2[[#This Row],[Quotas]]-Table2[[#This Row],[Open Quotas]]</f>
        <v>15</v>
      </c>
      <c r="Y147" s="316">
        <v>0</v>
      </c>
      <c r="Z147" s="323"/>
      <c r="AA147" s="323"/>
      <c r="AB147" s="316"/>
      <c r="AC147" s="316"/>
      <c r="AD147" s="316"/>
      <c r="AE147" s="316"/>
      <c r="AF147" s="323">
        <f ca="1">Table2[[#This Row],[End Date]]+2-TODAY()</f>
        <v>33</v>
      </c>
      <c r="AG147" s="316">
        <f>IF(ISBLANK(Table2[[#This Row],[Roster Received by]]),1,0)</f>
        <v>1</v>
      </c>
      <c r="AH147" s="316">
        <f ca="1">IF(Table2[[#This Row],[Start Date]]&gt;TODAY(),1,)</f>
        <v>1</v>
      </c>
      <c r="AI147" s="316">
        <f>IF(ISBLANK(Table2[[#This Row],[Primary Instructor]]),0,1)</f>
        <v>1</v>
      </c>
      <c r="AJ147" s="316">
        <f>IF(ISBLANK(Table2[[#This Row],[Instructor 2]]),0,1)</f>
        <v>0</v>
      </c>
      <c r="AK147" s="316">
        <f>Table2[[#This Row],[Course Length (Hours)]]/(SUM(Table2[[#This Row],[1]:[2]]))</f>
        <v>40</v>
      </c>
      <c r="AL147" s="124">
        <v>10</v>
      </c>
      <c r="AM147" s="433">
        <v>2</v>
      </c>
      <c r="AN147" s="363" t="str">
        <f>VLOOKUP(Table2[[#This Row],[Course Title]],'TSD-Data'!$A$1:$G$80,7,FALSE)</f>
        <v>N3</v>
      </c>
    </row>
    <row r="148" spans="2:40" s="428" customFormat="1" ht="15" customHeight="1" x14ac:dyDescent="0.25">
      <c r="B148" s="438"/>
      <c r="C148" s="342" t="s">
        <v>61</v>
      </c>
      <c r="D148" s="316" t="str">
        <f>VLOOKUP(Table2[[#This Row],[Course Title]],'TSD-Data'!$A$1:$E$80,2,FALSE)</f>
        <v>A-493-0012</v>
      </c>
      <c r="E148" s="316">
        <f>VLOOKUP(Table2[[#This Row],[Course Title]],'TSD-Data'!$A$1:$E$80,3,FALSE)</f>
        <v>3682</v>
      </c>
      <c r="F148" s="342" t="s">
        <v>171</v>
      </c>
      <c r="G148" s="317">
        <v>46034</v>
      </c>
      <c r="H148" s="317">
        <v>46038</v>
      </c>
      <c r="I148" s="125" t="s">
        <v>163</v>
      </c>
      <c r="J148" s="318">
        <v>0.33333333333333331</v>
      </c>
      <c r="K148" s="345"/>
      <c r="L148" s="344"/>
      <c r="M148" s="344"/>
      <c r="N148" s="344"/>
      <c r="O148" s="344"/>
      <c r="P148" s="344"/>
      <c r="Q148" s="321" t="s">
        <v>438</v>
      </c>
      <c r="R148" s="321"/>
      <c r="S148" s="321"/>
      <c r="T148" s="316">
        <f>VLOOKUP(Table2[[#This Row],[Course Title]],'TSD-Data'!$A$1:$E$80,4,FALSE)</f>
        <v>40</v>
      </c>
      <c r="U148" s="316">
        <f>VLOOKUP(Table2[[#This Row],[Course Title]],'TSD-Data'!$A$1:$F$80,6,FALSE)</f>
        <v>40</v>
      </c>
      <c r="V148" s="323">
        <f>VLOOKUP(Table2[[#This Row],[Course Title]],'TSD-Data'!$A$1:$F$80,5,FALSE)</f>
        <v>5</v>
      </c>
      <c r="W148" s="316">
        <v>42</v>
      </c>
      <c r="X148" s="316">
        <f>Table2[[#This Row],[Quotas]]-Table2[[#This Row],[Open Quotas]]</f>
        <v>25</v>
      </c>
      <c r="Y148" s="316"/>
      <c r="Z148" s="323"/>
      <c r="AA148" s="323"/>
      <c r="AB148" s="316"/>
      <c r="AC148" s="316"/>
      <c r="AD148" s="316"/>
      <c r="AE148" s="316"/>
      <c r="AF148" s="323">
        <f ca="1">Table2[[#This Row],[End Date]]+2-TODAY()</f>
        <v>33</v>
      </c>
      <c r="AG148" s="316">
        <f>IF(ISBLANK(Table2[[#This Row],[Roster Received by]]),1,0)</f>
        <v>1</v>
      </c>
      <c r="AH148" s="316">
        <f ca="1">IF(Table2[[#This Row],[Start Date]]&gt;TODAY(),1,)</f>
        <v>1</v>
      </c>
      <c r="AI148" s="316">
        <f>IF(ISBLANK(Table2[[#This Row],[Primary Instructor]]),0,1)</f>
        <v>1</v>
      </c>
      <c r="AJ148" s="316">
        <f>IF(ISBLANK(Table2[[#This Row],[Instructor 2]]),0,1)</f>
        <v>0</v>
      </c>
      <c r="AK148" s="316">
        <f>Table2[[#This Row],[Course Length (Hours)]]/(SUM(Table2[[#This Row],[1]:[2]]))</f>
        <v>40</v>
      </c>
      <c r="AL148" s="124">
        <v>15</v>
      </c>
      <c r="AM148" s="433">
        <v>2</v>
      </c>
      <c r="AN148" s="363" t="str">
        <f>VLOOKUP(Table2[[#This Row],[Course Title]],'TSD-Data'!$A$1:$G$80,7,FALSE)</f>
        <v>N4</v>
      </c>
    </row>
    <row r="149" spans="2:40" s="428" customFormat="1" ht="15" customHeight="1" x14ac:dyDescent="0.25">
      <c r="B149" s="315"/>
      <c r="C149" s="94" t="s">
        <v>77</v>
      </c>
      <c r="D149" s="70" t="str">
        <f>VLOOKUP(Table2[[#This Row],[Course Title]],'TSD-Data'!$A$1:$E$80,2,FALSE)</f>
        <v>A-493-0077</v>
      </c>
      <c r="E149" s="70" t="str">
        <f>VLOOKUP(Table2[[#This Row],[Course Title]],'TSD-Data'!$A$1:$E$80,3,FALSE)</f>
        <v>0381</v>
      </c>
      <c r="F149" s="94" t="s">
        <v>176</v>
      </c>
      <c r="G149" s="72">
        <v>46034</v>
      </c>
      <c r="H149" s="72">
        <v>46036</v>
      </c>
      <c r="I149" s="317" t="s">
        <v>163</v>
      </c>
      <c r="J149" s="318">
        <v>0.33333333333333331</v>
      </c>
      <c r="K149" s="318"/>
      <c r="L149" s="344"/>
      <c r="M149" s="317"/>
      <c r="N149" s="317"/>
      <c r="O149" s="317"/>
      <c r="P149" s="317"/>
      <c r="Q149" s="321" t="s">
        <v>168</v>
      </c>
      <c r="R149" s="321"/>
      <c r="S149" s="321"/>
      <c r="T149" s="316">
        <f>VLOOKUP(Table2[[#This Row],[Course Title]],'TSD-Data'!$A$1:$E$80,4,FALSE)</f>
        <v>25</v>
      </c>
      <c r="U149" s="316">
        <f>VLOOKUP(Table2[[#This Row],[Course Title]],'TSD-Data'!$A$1:$F$80,6,FALSE)</f>
        <v>24</v>
      </c>
      <c r="V149" s="323">
        <f>VLOOKUP(Table2[[#This Row],[Course Title]],'TSD-Data'!$A$1:$F$80,5,FALSE)</f>
        <v>3</v>
      </c>
      <c r="W149" s="323">
        <v>59</v>
      </c>
      <c r="X149" s="316">
        <f>Table2[[#This Row],[Quotas]]-Table2[[#This Row],[Open Quotas]]</f>
        <v>25</v>
      </c>
      <c r="Y149" s="316"/>
      <c r="Z149" s="323"/>
      <c r="AA149" s="323"/>
      <c r="AB149" s="363"/>
      <c r="AC149" s="363"/>
      <c r="AD149" s="316"/>
      <c r="AE149" s="316"/>
      <c r="AF149" s="323">
        <f ca="1">Table2[[#This Row],[End Date]]+2-TODAY()</f>
        <v>31</v>
      </c>
      <c r="AG149" s="316">
        <f>IF(ISBLANK(Table2[[#This Row],[Roster Received by]]),1,0)</f>
        <v>1</v>
      </c>
      <c r="AH149" s="316">
        <f ca="1">IF(Table2[[#This Row],[Start Date]]&gt;TODAY(),1,)</f>
        <v>1</v>
      </c>
      <c r="AI149" s="316">
        <f>IF(ISBLANK(Table2[[#This Row],[Primary Instructor]]),0,1)</f>
        <v>1</v>
      </c>
      <c r="AJ149" s="316">
        <f>IF(ISBLANK(Table2[[#This Row],[Instructor 2]]),0,1)</f>
        <v>0</v>
      </c>
      <c r="AK149" s="316">
        <f>Table2[[#This Row],[Course Length (Hours)]]/(SUM(Table2[[#This Row],[1]:[2]]))</f>
        <v>24</v>
      </c>
      <c r="AL149" s="638">
        <v>0</v>
      </c>
      <c r="AM149" s="433">
        <v>2</v>
      </c>
      <c r="AN149" s="363" t="str">
        <f>VLOOKUP(Table2[[#This Row],[Course Title]],'TSD-Data'!$A$1:$G$80,7,FALSE)</f>
        <v>N4</v>
      </c>
    </row>
    <row r="150" spans="2:40" s="428" customFormat="1" ht="15" customHeight="1" x14ac:dyDescent="0.25">
      <c r="B150" s="315" t="s">
        <v>451</v>
      </c>
      <c r="C150" s="364" t="s">
        <v>108</v>
      </c>
      <c r="D150" s="316" t="str">
        <f>VLOOKUP(Table2[[#This Row],[Course Title]],'TSD-Data'!$A$1:$E$80,2,FALSE)</f>
        <v>A-493-0085</v>
      </c>
      <c r="E150" s="316">
        <f>VLOOKUP(Table2[[#This Row],[Course Title]],'TSD-Data'!$A$1:$E$80,3,FALSE)</f>
        <v>3555</v>
      </c>
      <c r="F150" s="364" t="s">
        <v>25</v>
      </c>
      <c r="G150" s="344">
        <v>46034</v>
      </c>
      <c r="H150" s="344">
        <v>46037</v>
      </c>
      <c r="I150" s="317" t="s">
        <v>163</v>
      </c>
      <c r="J150" s="318"/>
      <c r="K150" s="429">
        <v>0.5</v>
      </c>
      <c r="L150" s="429">
        <v>0.375</v>
      </c>
      <c r="M150" s="429">
        <v>0.83333333333333337</v>
      </c>
      <c r="N150" s="429">
        <v>0.75</v>
      </c>
      <c r="O150" s="429">
        <v>0.29166666666666669</v>
      </c>
      <c r="P150" s="429">
        <v>8.3333333333333329E-2</v>
      </c>
      <c r="Q150" s="321" t="s">
        <v>175</v>
      </c>
      <c r="R150" s="321"/>
      <c r="S150" s="321"/>
      <c r="T150" s="316">
        <f>VLOOKUP(Table2[[#This Row],[Course Title]],'TSD-Data'!$A$1:$E$80,4,FALSE)</f>
        <v>45</v>
      </c>
      <c r="U150" s="316">
        <f>VLOOKUP(Table2[[#This Row],[Course Title]],'TSD-Data'!$A$1:$F$80,6,FALSE)</f>
        <v>32</v>
      </c>
      <c r="V150" s="323">
        <f>VLOOKUP(Table2[[#This Row],[Course Title]],'TSD-Data'!$A$1:$F$80,5,FALSE)</f>
        <v>4</v>
      </c>
      <c r="W150" s="323">
        <v>688</v>
      </c>
      <c r="X150" s="316">
        <f>Table2[[#This Row],[Quotas]]-Table2[[#This Row],[Open Quotas]]</f>
        <v>14</v>
      </c>
      <c r="Y150" s="316">
        <v>0</v>
      </c>
      <c r="Z150" s="323"/>
      <c r="AA150" s="323"/>
      <c r="AB150" s="316"/>
      <c r="AC150" s="316"/>
      <c r="AD150" s="316"/>
      <c r="AE150" s="316"/>
      <c r="AF150" s="323">
        <f ca="1">Table2[[#This Row],[End Date]]+2-TODAY()</f>
        <v>32</v>
      </c>
      <c r="AG150" s="316">
        <f>IF(ISBLANK(Table2[[#This Row],[Roster Received by]]),1,0)</f>
        <v>1</v>
      </c>
      <c r="AH150" s="316">
        <f ca="1">IF(Table2[[#This Row],[Start Date]]&gt;TODAY(),1,)</f>
        <v>1</v>
      </c>
      <c r="AI150" s="316">
        <f>IF(ISBLANK(Table2[[#This Row],[Primary Instructor]]),0,1)</f>
        <v>1</v>
      </c>
      <c r="AJ150" s="316">
        <f>IF(ISBLANK(Table2[[#This Row],[Instructor 2]]),0,1)</f>
        <v>0</v>
      </c>
      <c r="AK150" s="316">
        <f>Table2[[#This Row],[Course Length (Hours)]]/(SUM(Table2[[#This Row],[1]:[2]]))</f>
        <v>32</v>
      </c>
      <c r="AL150" s="124">
        <v>31</v>
      </c>
      <c r="AM150" s="433">
        <v>2</v>
      </c>
      <c r="AN150" s="363" t="str">
        <f>VLOOKUP(Table2[[#This Row],[Course Title]],'TSD-Data'!$A$1:$G$80,7,FALSE)</f>
        <v>N3</v>
      </c>
    </row>
    <row r="151" spans="2:40" s="428" customFormat="1" ht="15" customHeight="1" x14ac:dyDescent="0.25">
      <c r="B151" s="315"/>
      <c r="C151" s="94" t="s">
        <v>110</v>
      </c>
      <c r="D151" s="70" t="str">
        <f>VLOOKUP(Table2[[#This Row],[Course Title]],'TSD-Data'!$A$1:$E$80,2,FALSE)</f>
        <v>A-493-2501</v>
      </c>
      <c r="E151" s="70" t="str">
        <f>VLOOKUP(Table2[[#This Row],[Course Title]],'TSD-Data'!$A$1:$E$80,3,FALSE)</f>
        <v>05ZE</v>
      </c>
      <c r="F151" s="94" t="s">
        <v>263</v>
      </c>
      <c r="G151" s="72">
        <v>46034</v>
      </c>
      <c r="H151" s="72">
        <v>46034</v>
      </c>
      <c r="I151" s="317" t="s">
        <v>163</v>
      </c>
      <c r="J151" s="318">
        <v>0.33333333333333331</v>
      </c>
      <c r="K151" s="318"/>
      <c r="L151" s="344"/>
      <c r="M151" s="317"/>
      <c r="N151" s="317"/>
      <c r="O151" s="317"/>
      <c r="P151" s="317"/>
      <c r="Q151" s="321" t="s">
        <v>168</v>
      </c>
      <c r="R151" s="321"/>
      <c r="S151" s="321"/>
      <c r="T151" s="316">
        <f>VLOOKUP(Table2[[#This Row],[Course Title]],'TSD-Data'!$A$1:$E$80,4,FALSE)</f>
        <v>30</v>
      </c>
      <c r="U151" s="316">
        <f>VLOOKUP(Table2[[#This Row],[Course Title]],'TSD-Data'!$A$1:$F$80,6,FALSE)</f>
        <v>8</v>
      </c>
      <c r="V151" s="323">
        <f>VLOOKUP(Table2[[#This Row],[Course Title]],'TSD-Data'!$A$1:$F$80,5,FALSE)</f>
        <v>1</v>
      </c>
      <c r="W151" s="323">
        <v>47</v>
      </c>
      <c r="X151" s="316">
        <f>Table2[[#This Row],[Quotas]]-Table2[[#This Row],[Open Quotas]]</f>
        <v>0</v>
      </c>
      <c r="Y151" s="316"/>
      <c r="Z151" s="323"/>
      <c r="AA151" s="323"/>
      <c r="AB151" s="363"/>
      <c r="AC151" s="363"/>
      <c r="AD151" s="316"/>
      <c r="AE151" s="316"/>
      <c r="AF151" s="323">
        <f ca="1">Table2[[#This Row],[End Date]]+2-TODAY()</f>
        <v>29</v>
      </c>
      <c r="AG151" s="316">
        <f>IF(ISBLANK(Table2[[#This Row],[Roster Received by]]),1,0)</f>
        <v>1</v>
      </c>
      <c r="AH151" s="316">
        <f ca="1">IF(Table2[[#This Row],[Start Date]]&gt;TODAY(),1,)</f>
        <v>1</v>
      </c>
      <c r="AI151" s="316">
        <f>IF(ISBLANK(Table2[[#This Row],[Primary Instructor]]),0,1)</f>
        <v>1</v>
      </c>
      <c r="AJ151" s="316">
        <f>IF(ISBLANK(Table2[[#This Row],[Instructor 2]]),0,1)</f>
        <v>0</v>
      </c>
      <c r="AK151" s="316">
        <f>Table2[[#This Row],[Course Length (Hours)]]/(SUM(Table2[[#This Row],[1]:[2]]))</f>
        <v>8</v>
      </c>
      <c r="AL151" s="638">
        <v>30</v>
      </c>
      <c r="AM151" s="433">
        <v>2</v>
      </c>
      <c r="AN151" s="363" t="str">
        <f>VLOOKUP(Table2[[#This Row],[Course Title]],'TSD-Data'!$A$1:$G$80,7,FALSE)</f>
        <v>N4</v>
      </c>
    </row>
    <row r="152" spans="2:40" s="428" customFormat="1" ht="15" customHeight="1" x14ac:dyDescent="0.25">
      <c r="B152" s="315"/>
      <c r="C152" s="364" t="s">
        <v>113</v>
      </c>
      <c r="D152" s="316" t="str">
        <f>VLOOKUP(Table2[[#This Row],[Course Title]],'TSD-Data'!$A$1:$E$80,2,FALSE)</f>
        <v>A-570-0100</v>
      </c>
      <c r="E152" s="316" t="str">
        <f>VLOOKUP(Table2[[#This Row],[Course Title]],'TSD-Data'!$A$1:$E$80,3,FALSE)</f>
        <v>18B7</v>
      </c>
      <c r="F152" s="315" t="s">
        <v>25</v>
      </c>
      <c r="G152" s="344">
        <v>46034</v>
      </c>
      <c r="H152" s="344">
        <v>46035</v>
      </c>
      <c r="I152" s="317" t="s">
        <v>163</v>
      </c>
      <c r="J152" s="318"/>
      <c r="K152" s="345">
        <v>0.33333333333333331</v>
      </c>
      <c r="L152" s="345">
        <v>0.20833333333333334</v>
      </c>
      <c r="M152" s="434">
        <v>1600</v>
      </c>
      <c r="N152" s="434">
        <v>1400</v>
      </c>
      <c r="O152" s="345">
        <v>0.125</v>
      </c>
      <c r="P152" s="434">
        <v>2200</v>
      </c>
      <c r="Q152" s="321" t="s">
        <v>431</v>
      </c>
      <c r="R152" s="321"/>
      <c r="S152" s="321"/>
      <c r="T152" s="316">
        <f>VLOOKUP(Table2[[#This Row],[Course Title]],'TSD-Data'!$A$1:$E$80,4,FALSE)</f>
        <v>45</v>
      </c>
      <c r="U152" s="316">
        <f>VLOOKUP(Table2[[#This Row],[Course Title]],'TSD-Data'!$A$1:$F$80,6,FALSE)</f>
        <v>16</v>
      </c>
      <c r="V152" s="323">
        <f>VLOOKUP(Table2[[#This Row],[Course Title]],'TSD-Data'!$A$1:$F$80,5,FALSE)</f>
        <v>2</v>
      </c>
      <c r="W152" s="323">
        <v>326</v>
      </c>
      <c r="X152" s="316">
        <f>Table2[[#This Row],[Quotas]]-Table2[[#This Row],[Open Quotas]]</f>
        <v>18</v>
      </c>
      <c r="Y152" s="316">
        <v>0</v>
      </c>
      <c r="Z152" s="323"/>
      <c r="AA152" s="323"/>
      <c r="AB152" s="316"/>
      <c r="AC152" s="316"/>
      <c r="AD152" s="316"/>
      <c r="AE152" s="316"/>
      <c r="AF152" s="323">
        <f ca="1">Table2[[#This Row],[End Date]]+2-TODAY()</f>
        <v>30</v>
      </c>
      <c r="AG152" s="316">
        <f>IF(ISBLANK(Table2[[#This Row],[Roster Received by]]),1,0)</f>
        <v>1</v>
      </c>
      <c r="AH152" s="316">
        <f ca="1">IF(Table2[[#This Row],[Start Date]]&gt;TODAY(),1,)</f>
        <v>1</v>
      </c>
      <c r="AI152" s="316">
        <f>IF(ISBLANK(Table2[[#This Row],[Primary Instructor]]),0,1)</f>
        <v>1</v>
      </c>
      <c r="AJ152" s="316">
        <f>IF(ISBLANK(Table2[[#This Row],[Instructor 2]]),0,1)</f>
        <v>0</v>
      </c>
      <c r="AK152" s="316">
        <f>Table2[[#This Row],[Course Length (Hours)]]/(SUM(Table2[[#This Row],[1]:[2]]))</f>
        <v>16</v>
      </c>
      <c r="AL152" s="124">
        <v>27</v>
      </c>
      <c r="AM152" s="433">
        <v>2</v>
      </c>
      <c r="AN152" s="363" t="str">
        <f>VLOOKUP(Table2[[#This Row],[Course Title]],'TSD-Data'!$A$1:$G$80,7,FALSE)</f>
        <v>N8</v>
      </c>
    </row>
    <row r="153" spans="2:40" s="428" customFormat="1" ht="15" customHeight="1" x14ac:dyDescent="0.25">
      <c r="B153" s="315"/>
      <c r="C153" s="364" t="s">
        <v>116</v>
      </c>
      <c r="D153" s="316" t="str">
        <f>VLOOKUP(Table2[[#This Row],[Course Title]],'TSD-Data'!$A$1:$E$80,2,FALSE)</f>
        <v>A-493-0072</v>
      </c>
      <c r="E153" s="316" t="str">
        <f>VLOOKUP(Table2[[#This Row],[Course Title]],'TSD-Data'!$A$1:$E$80,3,FALSE)</f>
        <v>713U</v>
      </c>
      <c r="F153" s="364" t="s">
        <v>258</v>
      </c>
      <c r="G153" s="344">
        <v>46034</v>
      </c>
      <c r="H153" s="344">
        <v>46038</v>
      </c>
      <c r="I153" s="317" t="s">
        <v>163</v>
      </c>
      <c r="J153" s="318">
        <v>0.33333333333333331</v>
      </c>
      <c r="K153" s="345"/>
      <c r="L153" s="344"/>
      <c r="M153" s="344"/>
      <c r="N153" s="344"/>
      <c r="O153" s="344"/>
      <c r="P153" s="344"/>
      <c r="Q153" s="321" t="s">
        <v>174</v>
      </c>
      <c r="R153" s="321"/>
      <c r="S153" s="321" t="s">
        <v>172</v>
      </c>
      <c r="T153" s="316">
        <f>VLOOKUP(Table2[[#This Row],[Course Title]],'TSD-Data'!$A$1:$E$80,4,FALSE)</f>
        <v>30</v>
      </c>
      <c r="U153" s="316">
        <f>VLOOKUP(Table2[[#This Row],[Course Title]],'TSD-Data'!$A$1:$F$80,6,FALSE)</f>
        <v>40</v>
      </c>
      <c r="V153" s="323">
        <f>VLOOKUP(Table2[[#This Row],[Course Title]],'TSD-Data'!$A$1:$F$80,5,FALSE)</f>
        <v>5</v>
      </c>
      <c r="W153" s="323">
        <v>56</v>
      </c>
      <c r="X153" s="316">
        <f>Table2[[#This Row],[Quotas]]-Table2[[#This Row],[Open Quotas]]</f>
        <v>28</v>
      </c>
      <c r="Y153" s="316">
        <v>0</v>
      </c>
      <c r="Z153" s="323"/>
      <c r="AA153" s="323"/>
      <c r="AB153" s="316"/>
      <c r="AC153" s="316"/>
      <c r="AD153" s="316"/>
      <c r="AE153" s="316"/>
      <c r="AF153" s="323">
        <f ca="1">Table2[[#This Row],[End Date]]+2-TODAY()</f>
        <v>33</v>
      </c>
      <c r="AG153" s="316">
        <f>IF(ISBLANK(Table2[[#This Row],[Roster Received by]]),1,0)</f>
        <v>1</v>
      </c>
      <c r="AH153" s="316">
        <f ca="1">IF(Table2[[#This Row],[Start Date]]&gt;TODAY(),1,)</f>
        <v>1</v>
      </c>
      <c r="AI153" s="316">
        <f>IF(ISBLANK(Table2[[#This Row],[Primary Instructor]]),0,1)</f>
        <v>1</v>
      </c>
      <c r="AJ153" s="316">
        <f>IF(ISBLANK(Table2[[#This Row],[Instructor 2]]),0,1)</f>
        <v>0</v>
      </c>
      <c r="AK153" s="316">
        <f>Table2[[#This Row],[Course Length (Hours)]]/(SUM(Table2[[#This Row],[1]:[2]]))</f>
        <v>40</v>
      </c>
      <c r="AL153" s="124">
        <v>2</v>
      </c>
      <c r="AM153" s="433">
        <v>2</v>
      </c>
      <c r="AN153" s="363" t="str">
        <f>VLOOKUP(Table2[[#This Row],[Course Title]],'TSD-Data'!$A$1:$G$80,7,FALSE)</f>
        <v>N3</v>
      </c>
    </row>
    <row r="154" spans="2:40" s="428" customFormat="1" ht="15" customHeight="1" x14ac:dyDescent="0.25">
      <c r="B154" s="315"/>
      <c r="C154" s="364" t="s">
        <v>395</v>
      </c>
      <c r="D154" s="363" t="str">
        <f>VLOOKUP(Table2[[#This Row],[Course Title]],'TSD-Data'!$A$1:$E$80,2,FALSE)</f>
        <v>A-493-3002</v>
      </c>
      <c r="E154" s="363" t="str">
        <f>VLOOKUP(Table2[[#This Row],[Course Title]],'TSD-Data'!$A$1:$E$80,3,FALSE)</f>
        <v>31V4</v>
      </c>
      <c r="F154" s="364" t="s">
        <v>25</v>
      </c>
      <c r="G154" s="344">
        <v>46034</v>
      </c>
      <c r="H154" s="344">
        <v>46034</v>
      </c>
      <c r="I154" s="317" t="s">
        <v>163</v>
      </c>
      <c r="J154" s="318"/>
      <c r="K154" s="345">
        <v>0.33333333333333331</v>
      </c>
      <c r="L154" s="345">
        <v>0.20833333333333334</v>
      </c>
      <c r="M154" s="345">
        <v>0.66666666666666663</v>
      </c>
      <c r="N154" s="345">
        <v>0.58333333333333337</v>
      </c>
      <c r="O154" s="345">
        <v>0.125</v>
      </c>
      <c r="P154" s="345">
        <v>0.91666666666666663</v>
      </c>
      <c r="Q154" s="321" t="s">
        <v>439</v>
      </c>
      <c r="R154" s="321"/>
      <c r="S154" s="321"/>
      <c r="T154" s="363">
        <f>VLOOKUP(Table2[[#This Row],[Course Title]],'TSD-Data'!$A$1:$E$80,4,FALSE)</f>
        <v>1000</v>
      </c>
      <c r="U154" s="363">
        <f>VLOOKUP(Table2[[#This Row],[Course Title]],'TSD-Data'!$A$1:$F$80,6,FALSE)</f>
        <v>4</v>
      </c>
      <c r="V154" s="323">
        <f>VLOOKUP(Table2[[#This Row],[Course Title]],'TSD-Data'!$A$1:$F$80,5,FALSE)</f>
        <v>0.5</v>
      </c>
      <c r="W154" s="323"/>
      <c r="X154" s="316">
        <f>Table2[[#This Row],[Quotas]]-Table2[[#This Row],[Open Quotas]]</f>
        <v>1</v>
      </c>
      <c r="Y154" s="316">
        <v>0</v>
      </c>
      <c r="Z154" s="323"/>
      <c r="AA154" s="323"/>
      <c r="AB154" s="363"/>
      <c r="AC154" s="363"/>
      <c r="AD154" s="316"/>
      <c r="AE154" s="316"/>
      <c r="AF154" s="323">
        <f ca="1">Table2[[#This Row],[End Date]]+2-TODAY()</f>
        <v>29</v>
      </c>
      <c r="AG154" s="363">
        <f>IF(ISBLANK(Table2[[#This Row],[Roster Received by]]),1,0)</f>
        <v>1</v>
      </c>
      <c r="AH154" s="363">
        <f ca="1">IF(Table2[[#This Row],[Start Date]]&gt;TODAY(),1,)</f>
        <v>1</v>
      </c>
      <c r="AI154" s="363">
        <f>IF(ISBLANK(Table2[[#This Row],[Primary Instructor]]),0,1)</f>
        <v>1</v>
      </c>
      <c r="AJ154" s="363">
        <f>IF(ISBLANK(Table2[[#This Row],[Instructor 2]]),0,1)</f>
        <v>0</v>
      </c>
      <c r="AK154" s="363">
        <f>Table2[[#This Row],[Course Length (Hours)]]/(SUM(Table2[[#This Row],[1]:[2]]))</f>
        <v>4</v>
      </c>
      <c r="AL154" s="638">
        <v>999</v>
      </c>
      <c r="AM154" s="363">
        <v>2</v>
      </c>
      <c r="AN154" s="363" t="str">
        <f>VLOOKUP(Table2[[#This Row],[Course Title]],'TSD-Data'!$A$1:$G$80,7,FALSE)</f>
        <v>N8</v>
      </c>
    </row>
    <row r="155" spans="2:40" s="428" customFormat="1" ht="15" customHeight="1" x14ac:dyDescent="0.25">
      <c r="B155" s="315"/>
      <c r="C155" s="364" t="s">
        <v>401</v>
      </c>
      <c r="D155" s="363" t="str">
        <f>VLOOKUP(Table2[[#This Row],[Course Title]],'TSD-Data'!$A$1:$E$80,2,FALSE)</f>
        <v>A-493-3003</v>
      </c>
      <c r="E155" s="363" t="str">
        <f>VLOOKUP(Table2[[#This Row],[Course Title]],'TSD-Data'!$A$1:$E$80,3,FALSE)</f>
        <v>31V5</v>
      </c>
      <c r="F155" s="315" t="s">
        <v>25</v>
      </c>
      <c r="G155" s="344">
        <v>46034</v>
      </c>
      <c r="H155" s="344">
        <v>46034</v>
      </c>
      <c r="I155" s="317" t="s">
        <v>163</v>
      </c>
      <c r="J155" s="318"/>
      <c r="K155" s="318">
        <v>0.625</v>
      </c>
      <c r="L155" s="345">
        <v>0.5</v>
      </c>
      <c r="M155" s="318">
        <v>0.95833333333333337</v>
      </c>
      <c r="N155" s="318">
        <v>0.875</v>
      </c>
      <c r="O155" s="318">
        <v>0.41666666666666669</v>
      </c>
      <c r="P155" s="318">
        <v>0.20833333333333334</v>
      </c>
      <c r="Q155" s="321" t="s">
        <v>439</v>
      </c>
      <c r="R155" s="321"/>
      <c r="S155" s="321"/>
      <c r="T155" s="363">
        <f>VLOOKUP(Table2[[#This Row],[Course Title]],'TSD-Data'!$A$1:$E$80,4,FALSE)</f>
        <v>1000</v>
      </c>
      <c r="U155" s="363">
        <f>VLOOKUP(Table2[[#This Row],[Course Title]],'TSD-Data'!$A$1:$F$80,6,FALSE)</f>
        <v>0.75</v>
      </c>
      <c r="V155" s="323">
        <f>VLOOKUP(Table2[[#This Row],[Course Title]],'TSD-Data'!$A$1:$F$80,5,FALSE)</f>
        <v>0.1</v>
      </c>
      <c r="W155" s="323"/>
      <c r="X155" s="316">
        <f>Table2[[#This Row],[Quotas]]-Table2[[#This Row],[Open Quotas]]</f>
        <v>1</v>
      </c>
      <c r="Y155" s="316">
        <v>0</v>
      </c>
      <c r="Z155" s="323"/>
      <c r="AA155" s="323"/>
      <c r="AB155" s="363"/>
      <c r="AC155" s="363"/>
      <c r="AD155" s="316"/>
      <c r="AE155" s="316"/>
      <c r="AF155" s="323">
        <f ca="1">Table2[[#This Row],[End Date]]+2-TODAY()</f>
        <v>29</v>
      </c>
      <c r="AG155" s="363">
        <f>IF(ISBLANK(Table2[[#This Row],[Roster Received by]]),1,0)</f>
        <v>1</v>
      </c>
      <c r="AH155" s="363">
        <f ca="1">IF(Table2[[#This Row],[Start Date]]&gt;TODAY(),1,)</f>
        <v>1</v>
      </c>
      <c r="AI155" s="363">
        <f>IF(ISBLANK(Table2[[#This Row],[Primary Instructor]]),0,1)</f>
        <v>1</v>
      </c>
      <c r="AJ155" s="363">
        <f>IF(ISBLANK(Table2[[#This Row],[Instructor 2]]),0,1)</f>
        <v>0</v>
      </c>
      <c r="AK155" s="363">
        <f>Table2[[#This Row],[Course Length (Hours)]]/(SUM(Table2[[#This Row],[1]:[2]]))</f>
        <v>0.75</v>
      </c>
      <c r="AL155" s="638">
        <v>999</v>
      </c>
      <c r="AM155" s="363">
        <v>2</v>
      </c>
      <c r="AN155" s="363" t="str">
        <f>VLOOKUP(Table2[[#This Row],[Course Title]],'TSD-Data'!$A$1:$G$80,7,FALSE)</f>
        <v>N8</v>
      </c>
    </row>
    <row r="156" spans="2:40" s="428" customFormat="1" ht="15" customHeight="1" x14ac:dyDescent="0.25">
      <c r="B156" s="315"/>
      <c r="C156" s="364" t="s">
        <v>404</v>
      </c>
      <c r="D156" s="363" t="str">
        <f>VLOOKUP(Table2[[#This Row],[Course Title]],'TSD-Data'!$A$1:$E$80,2,FALSE)</f>
        <v>A-493-3006</v>
      </c>
      <c r="E156" s="363" t="str">
        <f>VLOOKUP(Table2[[#This Row],[Course Title]],'TSD-Data'!$A$1:$E$80,3,FALSE)</f>
        <v>31V8</v>
      </c>
      <c r="F156" s="364" t="s">
        <v>25</v>
      </c>
      <c r="G156" s="344">
        <v>46034</v>
      </c>
      <c r="H156" s="344">
        <v>46034</v>
      </c>
      <c r="I156" s="317" t="s">
        <v>163</v>
      </c>
      <c r="J156" s="318"/>
      <c r="K156" s="345">
        <v>0.54166666666666663</v>
      </c>
      <c r="L156" s="345">
        <v>0.41666666666666669</v>
      </c>
      <c r="M156" s="345">
        <v>0.875</v>
      </c>
      <c r="N156" s="345">
        <v>0.79166666666666663</v>
      </c>
      <c r="O156" s="345">
        <v>0.33333333333333331</v>
      </c>
      <c r="P156" s="345">
        <v>0.125</v>
      </c>
      <c r="Q156" s="321" t="s">
        <v>439</v>
      </c>
      <c r="R156" s="321"/>
      <c r="S156" s="321"/>
      <c r="T156" s="363">
        <f>VLOOKUP(Table2[[#This Row],[Course Title]],'TSD-Data'!$A$1:$E$80,4,FALSE)</f>
        <v>1000</v>
      </c>
      <c r="U156" s="363">
        <f>VLOOKUP(Table2[[#This Row],[Course Title]],'TSD-Data'!$A$1:$F$80,6,FALSE)</f>
        <v>0.75</v>
      </c>
      <c r="V156" s="323">
        <f>VLOOKUP(Table2[[#This Row],[Course Title]],'TSD-Data'!$A$1:$F$80,5,FALSE)</f>
        <v>0.1</v>
      </c>
      <c r="W156" s="323"/>
      <c r="X156" s="316">
        <f>Table2[[#This Row],[Quotas]]-Table2[[#This Row],[Open Quotas]]</f>
        <v>1</v>
      </c>
      <c r="Y156" s="316">
        <v>0</v>
      </c>
      <c r="Z156" s="323"/>
      <c r="AA156" s="323"/>
      <c r="AB156" s="363"/>
      <c r="AC156" s="363"/>
      <c r="AD156" s="316"/>
      <c r="AE156" s="316"/>
      <c r="AF156" s="323">
        <f ca="1">Table2[[#This Row],[End Date]]+2-TODAY()</f>
        <v>29</v>
      </c>
      <c r="AG156" s="363">
        <f>IF(ISBLANK(Table2[[#This Row],[Roster Received by]]),1,0)</f>
        <v>1</v>
      </c>
      <c r="AH156" s="363">
        <f ca="1">IF(Table2[[#This Row],[Start Date]]&gt;TODAY(),1,)</f>
        <v>1</v>
      </c>
      <c r="AI156" s="363">
        <f>IF(ISBLANK(Table2[[#This Row],[Primary Instructor]]),0,1)</f>
        <v>1</v>
      </c>
      <c r="AJ156" s="363">
        <f>IF(ISBLANK(Table2[[#This Row],[Instructor 2]]),0,1)</f>
        <v>0</v>
      </c>
      <c r="AK156" s="363">
        <f>Table2[[#This Row],[Course Length (Hours)]]/(SUM(Table2[[#This Row],[1]:[2]]))</f>
        <v>0.75</v>
      </c>
      <c r="AL156" s="638">
        <v>999</v>
      </c>
      <c r="AM156" s="363">
        <v>2</v>
      </c>
      <c r="AN156" s="363" t="str">
        <f>VLOOKUP(Table2[[#This Row],[Course Title]],'TSD-Data'!$A$1:$G$80,7,FALSE)</f>
        <v>N8</v>
      </c>
    </row>
    <row r="157" spans="2:40" s="428" customFormat="1" ht="15" customHeight="1" x14ac:dyDescent="0.25">
      <c r="B157" s="315"/>
      <c r="C157" s="364" t="s">
        <v>407</v>
      </c>
      <c r="D157" s="363" t="str">
        <f>VLOOKUP(Table2[[#This Row],[Course Title]],'TSD-Data'!$A$1:$E$80,2,FALSE)</f>
        <v>A-493-3007</v>
      </c>
      <c r="E157" s="363" t="str">
        <f>VLOOKUP(Table2[[#This Row],[Course Title]],'TSD-Data'!$A$1:$E$80,3,FALSE)</f>
        <v>31V9</v>
      </c>
      <c r="F157" s="315" t="s">
        <v>25</v>
      </c>
      <c r="G157" s="344">
        <v>46034</v>
      </c>
      <c r="H157" s="344">
        <v>46034</v>
      </c>
      <c r="I157" s="317" t="s">
        <v>163</v>
      </c>
      <c r="J157" s="318"/>
      <c r="K157" s="318">
        <v>0.58333333333333337</v>
      </c>
      <c r="L157" s="318">
        <v>0.45833333333333331</v>
      </c>
      <c r="M157" s="318">
        <v>0.91666666666666663</v>
      </c>
      <c r="N157" s="318">
        <v>0.83333333333333337</v>
      </c>
      <c r="O157" s="318">
        <v>0.375</v>
      </c>
      <c r="P157" s="318">
        <v>0.16666666666666666</v>
      </c>
      <c r="Q157" s="321" t="s">
        <v>439</v>
      </c>
      <c r="R157" s="321"/>
      <c r="S157" s="321"/>
      <c r="T157" s="363">
        <f>VLOOKUP(Table2[[#This Row],[Course Title]],'TSD-Data'!$A$1:$E$80,4,FALSE)</f>
        <v>1000</v>
      </c>
      <c r="U157" s="363">
        <f>VLOOKUP(Table2[[#This Row],[Course Title]],'TSD-Data'!$A$1:$F$80,6,FALSE)</f>
        <v>0.75</v>
      </c>
      <c r="V157" s="323">
        <f>VLOOKUP(Table2[[#This Row],[Course Title]],'TSD-Data'!$A$1:$F$80,5,FALSE)</f>
        <v>0.1</v>
      </c>
      <c r="W157" s="323"/>
      <c r="X157" s="316">
        <f>Table2[[#This Row],[Quotas]]-Table2[[#This Row],[Open Quotas]]</f>
        <v>1</v>
      </c>
      <c r="Y157" s="316">
        <v>0</v>
      </c>
      <c r="Z157" s="323"/>
      <c r="AA157" s="323"/>
      <c r="AB157" s="363"/>
      <c r="AC157" s="363"/>
      <c r="AD157" s="316"/>
      <c r="AE157" s="316"/>
      <c r="AF157" s="323">
        <f ca="1">Table2[[#This Row],[End Date]]+2-TODAY()</f>
        <v>29</v>
      </c>
      <c r="AG157" s="363">
        <f>IF(ISBLANK(Table2[[#This Row],[Roster Received by]]),1,0)</f>
        <v>1</v>
      </c>
      <c r="AH157" s="363">
        <f ca="1">IF(Table2[[#This Row],[Start Date]]&gt;TODAY(),1,)</f>
        <v>1</v>
      </c>
      <c r="AI157" s="363">
        <f>IF(ISBLANK(Table2[[#This Row],[Primary Instructor]]),0,1)</f>
        <v>1</v>
      </c>
      <c r="AJ157" s="363">
        <f>IF(ISBLANK(Table2[[#This Row],[Instructor 2]]),0,1)</f>
        <v>0</v>
      </c>
      <c r="AK157" s="363">
        <f>Table2[[#This Row],[Course Length (Hours)]]/(SUM(Table2[[#This Row],[1]:[2]]))</f>
        <v>0.75</v>
      </c>
      <c r="AL157" s="638">
        <v>999</v>
      </c>
      <c r="AM157" s="363">
        <v>2</v>
      </c>
      <c r="AN157" s="363" t="str">
        <f>VLOOKUP(Table2[[#This Row],[Course Title]],'TSD-Data'!$A$1:$G$80,7,FALSE)</f>
        <v>N8</v>
      </c>
    </row>
    <row r="158" spans="2:40" s="428" customFormat="1" ht="15" customHeight="1" x14ac:dyDescent="0.25">
      <c r="B158" s="315" t="s">
        <v>451</v>
      </c>
      <c r="C158" s="364" t="s">
        <v>119</v>
      </c>
      <c r="D158" s="363" t="str">
        <f>VLOOKUP(Table2[[#This Row],[Course Title]],'TSD-Data'!$A$1:$E$80,2,FALSE)</f>
        <v>A-493-2098</v>
      </c>
      <c r="E158" s="363" t="str">
        <f>VLOOKUP(Table2[[#This Row],[Course Title]],'TSD-Data'!$A$1:$E$80,3,FALSE)</f>
        <v>09WW</v>
      </c>
      <c r="F158" s="364" t="s">
        <v>25</v>
      </c>
      <c r="G158" s="344">
        <v>46034</v>
      </c>
      <c r="H158" s="344">
        <v>46036</v>
      </c>
      <c r="I158" s="317" t="s">
        <v>163</v>
      </c>
      <c r="J158" s="318"/>
      <c r="K158" s="318">
        <v>0.33333333333333331</v>
      </c>
      <c r="L158" s="345">
        <v>0.20833333333333334</v>
      </c>
      <c r="M158" s="433">
        <v>1600</v>
      </c>
      <c r="N158" s="433">
        <v>1400</v>
      </c>
      <c r="O158" s="318">
        <v>0.125</v>
      </c>
      <c r="P158" s="433">
        <v>2200</v>
      </c>
      <c r="Q158" s="321" t="s">
        <v>432</v>
      </c>
      <c r="R158" s="321"/>
      <c r="S158" s="321"/>
      <c r="T158" s="316">
        <f>VLOOKUP(Table2[[#This Row],[Course Title]],'TSD-Data'!$A$1:$E$80,4,FALSE)</f>
        <v>100</v>
      </c>
      <c r="U158" s="316">
        <f>VLOOKUP(Table2[[#This Row],[Course Title]],'TSD-Data'!$A$1:$F$80,6,FALSE)</f>
        <v>16</v>
      </c>
      <c r="V158" s="323">
        <f>VLOOKUP(Table2[[#This Row],[Course Title]],'TSD-Data'!$A$1:$F$80,5,FALSE)</f>
        <v>3</v>
      </c>
      <c r="W158" s="323"/>
      <c r="X158" s="316">
        <f>Table2[[#This Row],[Quotas]]-Table2[[#This Row],[Open Quotas]]</f>
        <v>77</v>
      </c>
      <c r="Y158" s="316">
        <v>0</v>
      </c>
      <c r="Z158" s="323"/>
      <c r="AA158" s="323"/>
      <c r="AB158" s="363"/>
      <c r="AC158" s="363"/>
      <c r="AD158" s="316"/>
      <c r="AE158" s="316"/>
      <c r="AF158" s="323">
        <f ca="1">Table2[[#This Row],[End Date]]+2-TODAY()</f>
        <v>31</v>
      </c>
      <c r="AG158" s="316">
        <f>IF(ISBLANK(Table2[[#This Row],[Roster Received by]]),1,0)</f>
        <v>1</v>
      </c>
      <c r="AH158" s="316">
        <f ca="1">IF(Table2[[#This Row],[Start Date]]&gt;TODAY(),1,)</f>
        <v>1</v>
      </c>
      <c r="AI158" s="316">
        <f>IF(ISBLANK(Table2[[#This Row],[Primary Instructor]]),0,1)</f>
        <v>1</v>
      </c>
      <c r="AJ158" s="316">
        <f>IF(ISBLANK(Table2[[#This Row],[Instructor 2]]),0,1)</f>
        <v>0</v>
      </c>
      <c r="AK158" s="316">
        <f>Table2[[#This Row],[Course Length (Hours)]]/(SUM(Table2[[#This Row],[1]:[2]]))</f>
        <v>16</v>
      </c>
      <c r="AL158" s="638">
        <v>23</v>
      </c>
      <c r="AM158" s="433">
        <v>2</v>
      </c>
      <c r="AN158" s="363" t="str">
        <f>VLOOKUP(Table2[[#This Row],[Course Title]],'TSD-Data'!$A$1:$G$80,7,FALSE)</f>
        <v>N8</v>
      </c>
    </row>
    <row r="159" spans="2:40" s="428" customFormat="1" ht="15" customHeight="1" x14ac:dyDescent="0.25">
      <c r="B159" s="315"/>
      <c r="C159" s="364" t="s">
        <v>122</v>
      </c>
      <c r="D159" s="421" t="str">
        <f>VLOOKUP(Table2[[#This Row],[Course Title]],'TSD-Data'!$A$1:$E$80,2,FALSE)</f>
        <v>F-4J-0023</v>
      </c>
      <c r="E159" s="421" t="str">
        <f>VLOOKUP(Table2[[#This Row],[Course Title]],'TSD-Data'!$A$1:$E$80,3,FALSE)</f>
        <v>11A2</v>
      </c>
      <c r="F159" s="364" t="s">
        <v>25</v>
      </c>
      <c r="G159" s="344">
        <v>46034</v>
      </c>
      <c r="H159" s="344">
        <v>46035</v>
      </c>
      <c r="I159" s="317" t="s">
        <v>163</v>
      </c>
      <c r="J159" s="318"/>
      <c r="K159" s="318">
        <v>0.33333333333333331</v>
      </c>
      <c r="L159" s="345">
        <v>0.20833333333333334</v>
      </c>
      <c r="M159" s="433">
        <v>1600</v>
      </c>
      <c r="N159" s="433">
        <v>1400</v>
      </c>
      <c r="O159" s="318">
        <v>0.125</v>
      </c>
      <c r="P159" s="433">
        <v>2200</v>
      </c>
      <c r="Q159" s="321" t="s">
        <v>446</v>
      </c>
      <c r="R159" s="321"/>
      <c r="S159" s="321"/>
      <c r="T159" s="316">
        <f>VLOOKUP(Table2[[#This Row],[Course Title]],'TSD-Data'!$A$1:$E$80,4,FALSE)</f>
        <v>45</v>
      </c>
      <c r="U159" s="316">
        <f>VLOOKUP(Table2[[#This Row],[Course Title]],'TSD-Data'!$A$1:$F$80,6,FALSE)</f>
        <v>16</v>
      </c>
      <c r="V159" s="323">
        <f>VLOOKUP(Table2[[#This Row],[Course Title]],'TSD-Data'!$A$1:$F$80,5,FALSE)</f>
        <v>2</v>
      </c>
      <c r="W159" s="323">
        <v>28</v>
      </c>
      <c r="X159" s="316">
        <f>Table2[[#This Row],[Quotas]]-Table2[[#This Row],[Open Quotas]]</f>
        <v>6</v>
      </c>
      <c r="Y159" s="316">
        <v>0</v>
      </c>
      <c r="Z159" s="323"/>
      <c r="AA159" s="323"/>
      <c r="AB159" s="316"/>
      <c r="AC159" s="316"/>
      <c r="AD159" s="316"/>
      <c r="AE159" s="316"/>
      <c r="AF159" s="323">
        <f ca="1">Table2[[#This Row],[End Date]]+2-TODAY()</f>
        <v>30</v>
      </c>
      <c r="AG159" s="316">
        <f>IF(ISBLANK(Table2[[#This Row],[Roster Received by]]),1,0)</f>
        <v>1</v>
      </c>
      <c r="AH159" s="316">
        <f ca="1">IF(Table2[[#This Row],[Start Date]]&gt;TODAY(),1,)</f>
        <v>1</v>
      </c>
      <c r="AI159" s="316">
        <f>IF(ISBLANK(Table2[[#This Row],[Primary Instructor]]),0,1)</f>
        <v>1</v>
      </c>
      <c r="AJ159" s="316">
        <f>IF(ISBLANK(Table2[[#This Row],[Instructor 2]]),0,1)</f>
        <v>0</v>
      </c>
      <c r="AK159" s="316">
        <f>Table2[[#This Row],[Course Length (Hours)]]/(SUM(Table2[[#This Row],[1]:[2]]))</f>
        <v>16</v>
      </c>
      <c r="AL159" s="124">
        <v>39</v>
      </c>
      <c r="AM159" s="433">
        <v>2</v>
      </c>
      <c r="AN159" s="363" t="str">
        <f>VLOOKUP(Table2[[#This Row],[Course Title]],'TSD-Data'!$A$1:$G$80,7,FALSE)</f>
        <v>N8</v>
      </c>
    </row>
    <row r="160" spans="2:40" s="428" customFormat="1" ht="15" customHeight="1" x14ac:dyDescent="0.25">
      <c r="B160" s="315"/>
      <c r="C160" s="364" t="s">
        <v>100</v>
      </c>
      <c r="D160" s="316" t="str">
        <f>VLOOKUP(Table2[[#This Row],[Course Title]],'TSD-Data'!$A$1:$E$80,2,FALSE)</f>
        <v>A-493-0550</v>
      </c>
      <c r="E160" s="316" t="str">
        <f>VLOOKUP(Table2[[#This Row],[Course Title]],'TSD-Data'!$A$1:$E$80,3,FALSE)</f>
        <v>09K5</v>
      </c>
      <c r="F160" s="364" t="s">
        <v>25</v>
      </c>
      <c r="G160" s="344">
        <v>46034</v>
      </c>
      <c r="H160" s="344">
        <v>46037</v>
      </c>
      <c r="I160" s="317" t="s">
        <v>163</v>
      </c>
      <c r="J160" s="318"/>
      <c r="K160" s="345">
        <v>0.33333333333333331</v>
      </c>
      <c r="L160" s="345">
        <v>0.20833333333333334</v>
      </c>
      <c r="M160" s="434">
        <v>1600</v>
      </c>
      <c r="N160" s="434">
        <v>1400</v>
      </c>
      <c r="O160" s="345">
        <v>0.125</v>
      </c>
      <c r="P160" s="434">
        <v>2200</v>
      </c>
      <c r="Q160" s="321" t="s">
        <v>426</v>
      </c>
      <c r="R160" s="321"/>
      <c r="S160" s="321"/>
      <c r="T160" s="316">
        <f>VLOOKUP(Table2[[#This Row],[Course Title]],'TSD-Data'!$A$1:$E$80,4,FALSE)</f>
        <v>45</v>
      </c>
      <c r="U160" s="316">
        <f>VLOOKUP(Table2[[#This Row],[Course Title]],'TSD-Data'!$A$1:$F$80,6,FALSE)</f>
        <v>32</v>
      </c>
      <c r="V160" s="323">
        <f>VLOOKUP(Table2[[#This Row],[Course Title]],'TSD-Data'!$A$1:$F$80,5,FALSE)</f>
        <v>4</v>
      </c>
      <c r="W160" s="323">
        <v>455</v>
      </c>
      <c r="X160" s="316">
        <f>Table2[[#This Row],[Quotas]]-Table2[[#This Row],[Open Quotas]]</f>
        <v>43</v>
      </c>
      <c r="Y160" s="316">
        <v>0</v>
      </c>
      <c r="Z160" s="323"/>
      <c r="AA160" s="323"/>
      <c r="AB160" s="316"/>
      <c r="AC160" s="316"/>
      <c r="AD160" s="316"/>
      <c r="AE160" s="316"/>
      <c r="AF160" s="323">
        <f ca="1">Table2[[#This Row],[End Date]]+2-TODAY()</f>
        <v>32</v>
      </c>
      <c r="AG160" s="316">
        <f>IF(ISBLANK(Table2[[#This Row],[Roster Received by]]),1,0)</f>
        <v>1</v>
      </c>
      <c r="AH160" s="316">
        <f ca="1">IF(Table2[[#This Row],[Start Date]]&gt;TODAY(),1,)</f>
        <v>1</v>
      </c>
      <c r="AI160" s="316">
        <f>IF(ISBLANK(Table2[[#This Row],[Primary Instructor]]),0,1)</f>
        <v>1</v>
      </c>
      <c r="AJ160" s="316">
        <f>IF(ISBLANK(Table2[[#This Row],[Instructor 2]]),0,1)</f>
        <v>0</v>
      </c>
      <c r="AK160" s="316">
        <f>Table2[[#This Row],[Course Length (Hours)]]/(SUM(Table2[[#This Row],[1]:[2]]))</f>
        <v>32</v>
      </c>
      <c r="AL160" s="124">
        <v>2</v>
      </c>
      <c r="AM160" s="433">
        <v>2</v>
      </c>
      <c r="AN160" s="363" t="str">
        <f>VLOOKUP(Table2[[#This Row],[Course Title]],'TSD-Data'!$A$1:$G$80,7,FALSE)</f>
        <v>N5</v>
      </c>
    </row>
    <row r="161" spans="2:40" s="428" customFormat="1" ht="15" customHeight="1" x14ac:dyDescent="0.25">
      <c r="B161" s="315"/>
      <c r="C161" s="364" t="s">
        <v>106</v>
      </c>
      <c r="D161" s="316" t="str">
        <f>VLOOKUP(Table2[[#This Row],[Course Title]],'TSD-Data'!$A$1:$E$80,2,FALSE)</f>
        <v>A-493-0078</v>
      </c>
      <c r="E161" s="316">
        <f>VLOOKUP(Table2[[#This Row],[Course Title]],'TSD-Data'!$A$1:$E$80,3,FALSE)</f>
        <v>1228</v>
      </c>
      <c r="F161" s="364" t="s">
        <v>25</v>
      </c>
      <c r="G161" s="344">
        <v>46034</v>
      </c>
      <c r="H161" s="344">
        <v>46037</v>
      </c>
      <c r="I161" s="317" t="s">
        <v>163</v>
      </c>
      <c r="J161" s="318"/>
      <c r="K161" s="660">
        <v>0.5</v>
      </c>
      <c r="L161" s="660">
        <v>0.375</v>
      </c>
      <c r="M161" s="660">
        <v>0.83333333333333337</v>
      </c>
      <c r="N161" s="660">
        <v>0.75</v>
      </c>
      <c r="O161" s="660">
        <v>0.29166666666666669</v>
      </c>
      <c r="P161" s="660">
        <v>8.3333333333333329E-2</v>
      </c>
      <c r="Q161" s="321" t="s">
        <v>172</v>
      </c>
      <c r="R161" s="321"/>
      <c r="S161" s="321"/>
      <c r="T161" s="316">
        <f>VLOOKUP(Table2[[#This Row],[Course Title]],'TSD-Data'!$A$1:$E$80,4,FALSE)</f>
        <v>45</v>
      </c>
      <c r="U161" s="316">
        <f>VLOOKUP(Table2[[#This Row],[Course Title]],'TSD-Data'!$A$1:$F$80,6,FALSE)</f>
        <v>32</v>
      </c>
      <c r="V161" s="323">
        <f>VLOOKUP(Table2[[#This Row],[Course Title]],'TSD-Data'!$A$1:$F$80,5,FALSE)</f>
        <v>4</v>
      </c>
      <c r="W161" s="323">
        <v>0</v>
      </c>
      <c r="X161" s="316">
        <f>Table2[[#This Row],[Quotas]]-Table2[[#This Row],[Open Quotas]]</f>
        <v>11</v>
      </c>
      <c r="Y161" s="316">
        <v>0</v>
      </c>
      <c r="Z161" s="323"/>
      <c r="AA161" s="323"/>
      <c r="AB161" s="316"/>
      <c r="AC161" s="316"/>
      <c r="AD161" s="316"/>
      <c r="AE161" s="316"/>
      <c r="AF161" s="323">
        <f ca="1">Table2[[#This Row],[End Date]]+2-TODAY()</f>
        <v>32</v>
      </c>
      <c r="AG161" s="316">
        <f>IF(ISBLANK(Table2[[#This Row],[Roster Received by]]),1,0)</f>
        <v>1</v>
      </c>
      <c r="AH161" s="316">
        <f ca="1">IF(Table2[[#This Row],[Start Date]]&gt;TODAY(),1,)</f>
        <v>1</v>
      </c>
      <c r="AI161" s="316">
        <f>IF(ISBLANK(Table2[[#This Row],[Primary Instructor]]),0,1)</f>
        <v>1</v>
      </c>
      <c r="AJ161" s="316">
        <f>IF(ISBLANK(Table2[[#This Row],[Instructor 2]]),0,1)</f>
        <v>0</v>
      </c>
      <c r="AK161" s="316">
        <f>Table2[[#This Row],[Course Length (Hours)]]/(SUM(Table2[[#This Row],[1]:[2]]))</f>
        <v>32</v>
      </c>
      <c r="AL161" s="124">
        <v>34</v>
      </c>
      <c r="AM161" s="433">
        <v>2</v>
      </c>
      <c r="AN161" s="363" t="str">
        <f>VLOOKUP(Table2[[#This Row],[Course Title]],'TSD-Data'!$A$1:$G$80,7,FALSE)</f>
        <v>N5</v>
      </c>
    </row>
    <row r="162" spans="2:40" s="428" customFormat="1" ht="15" customHeight="1" x14ac:dyDescent="0.25">
      <c r="B162" s="315"/>
      <c r="C162" s="94" t="s">
        <v>77</v>
      </c>
      <c r="D162" s="70" t="str">
        <f>VLOOKUP(Table2[[#This Row],[Course Title]],'TSD-Data'!$A$1:$E$80,2,FALSE)</f>
        <v>A-493-0077</v>
      </c>
      <c r="E162" s="70" t="str">
        <f>VLOOKUP(Table2[[#This Row],[Course Title]],'TSD-Data'!$A$1:$E$80,3,FALSE)</f>
        <v>0381</v>
      </c>
      <c r="F162" s="94" t="s">
        <v>328</v>
      </c>
      <c r="G162" s="72">
        <v>46035</v>
      </c>
      <c r="H162" s="72">
        <v>46037</v>
      </c>
      <c r="I162" s="317" t="s">
        <v>163</v>
      </c>
      <c r="J162" s="318">
        <v>0.33333333333333331</v>
      </c>
      <c r="K162" s="318"/>
      <c r="L162" s="344"/>
      <c r="M162" s="317"/>
      <c r="N162" s="317"/>
      <c r="O162" s="317"/>
      <c r="P162" s="317"/>
      <c r="Q162" s="321" t="s">
        <v>168</v>
      </c>
      <c r="R162" s="321"/>
      <c r="S162" s="321"/>
      <c r="T162" s="316">
        <f>VLOOKUP(Table2[[#This Row],[Course Title]],'TSD-Data'!$A$1:$E$80,4,FALSE)</f>
        <v>25</v>
      </c>
      <c r="U162" s="316">
        <f>VLOOKUP(Table2[[#This Row],[Course Title]],'TSD-Data'!$A$1:$F$80,6,FALSE)</f>
        <v>24</v>
      </c>
      <c r="V162" s="323">
        <f>VLOOKUP(Table2[[#This Row],[Course Title]],'TSD-Data'!$A$1:$F$80,5,FALSE)</f>
        <v>3</v>
      </c>
      <c r="W162" s="323">
        <v>28</v>
      </c>
      <c r="X162" s="316">
        <f>Table2[[#This Row],[Quotas]]-Table2[[#This Row],[Open Quotas]]</f>
        <v>6</v>
      </c>
      <c r="Y162" s="316"/>
      <c r="Z162" s="323"/>
      <c r="AA162" s="323"/>
      <c r="AB162" s="363"/>
      <c r="AC162" s="363"/>
      <c r="AD162" s="316"/>
      <c r="AE162" s="316"/>
      <c r="AF162" s="323">
        <f ca="1">Table2[[#This Row],[End Date]]+2-TODAY()</f>
        <v>32</v>
      </c>
      <c r="AG162" s="316">
        <f>IF(ISBLANK(Table2[[#This Row],[Roster Received by]]),1,0)</f>
        <v>1</v>
      </c>
      <c r="AH162" s="316">
        <f ca="1">IF(Table2[[#This Row],[Start Date]]&gt;TODAY(),1,)</f>
        <v>1</v>
      </c>
      <c r="AI162" s="316">
        <f>IF(ISBLANK(Table2[[#This Row],[Primary Instructor]]),0,1)</f>
        <v>1</v>
      </c>
      <c r="AJ162" s="316">
        <f>IF(ISBLANK(Table2[[#This Row],[Instructor 2]]),0,1)</f>
        <v>0</v>
      </c>
      <c r="AK162" s="316">
        <f>Table2[[#This Row],[Course Length (Hours)]]/(SUM(Table2[[#This Row],[1]:[2]]))</f>
        <v>24</v>
      </c>
      <c r="AL162" s="638">
        <v>19</v>
      </c>
      <c r="AM162" s="433">
        <v>2</v>
      </c>
      <c r="AN162" s="363" t="str">
        <f>VLOOKUP(Table2[[#This Row],[Course Title]],'TSD-Data'!$A$1:$G$80,7,FALSE)</f>
        <v>N4</v>
      </c>
    </row>
    <row r="163" spans="2:40" s="428" customFormat="1" ht="15" customHeight="1" x14ac:dyDescent="0.25">
      <c r="B163" s="315"/>
      <c r="C163" s="364" t="s">
        <v>393</v>
      </c>
      <c r="D163" s="363" t="str">
        <f>VLOOKUP(Table2[[#This Row],[Course Title]],'TSD-Data'!$A$1:$E$80,2,FALSE)</f>
        <v>A-493-3011</v>
      </c>
      <c r="E163" s="363" t="str">
        <f>VLOOKUP(Table2[[#This Row],[Course Title]],'TSD-Data'!$A$1:$E$80,3,FALSE)</f>
        <v>31VD</v>
      </c>
      <c r="F163" s="315" t="s">
        <v>25</v>
      </c>
      <c r="G163" s="344">
        <v>46035</v>
      </c>
      <c r="H163" s="344">
        <v>46035</v>
      </c>
      <c r="I163" s="125" t="s">
        <v>163</v>
      </c>
      <c r="J163" s="318"/>
      <c r="K163" s="318">
        <v>0.54166666666666663</v>
      </c>
      <c r="L163" s="345">
        <v>0.41666666666666669</v>
      </c>
      <c r="M163" s="318">
        <v>0.875</v>
      </c>
      <c r="N163" s="318">
        <v>0.79166666666666663</v>
      </c>
      <c r="O163" s="318">
        <v>0.33333333333333331</v>
      </c>
      <c r="P163" s="318">
        <v>0.125</v>
      </c>
      <c r="Q163" s="321" t="s">
        <v>439</v>
      </c>
      <c r="R163" s="321"/>
      <c r="S163" s="321"/>
      <c r="T163" s="363">
        <f>VLOOKUP(Table2[[#This Row],[Course Title]],'TSD-Data'!$A$1:$E$80,4,FALSE)</f>
        <v>1000</v>
      </c>
      <c r="U163" s="363">
        <f>VLOOKUP(Table2[[#This Row],[Course Title]],'TSD-Data'!$A$1:$F$80,6,FALSE)</f>
        <v>2.5</v>
      </c>
      <c r="V163" s="323">
        <f>VLOOKUP(Table2[[#This Row],[Course Title]],'TSD-Data'!$A$1:$F$80,5,FALSE)</f>
        <v>0.3</v>
      </c>
      <c r="W163" s="323"/>
      <c r="X163" s="316">
        <f>Table2[[#This Row],[Quotas]]-Table2[[#This Row],[Open Quotas]]</f>
        <v>1</v>
      </c>
      <c r="Y163" s="316">
        <v>0</v>
      </c>
      <c r="Z163" s="323"/>
      <c r="AA163" s="323"/>
      <c r="AB163" s="363"/>
      <c r="AC163" s="363"/>
      <c r="AD163" s="316"/>
      <c r="AE163" s="316"/>
      <c r="AF163" s="323">
        <f ca="1">Table2[[#This Row],[End Date]]+2-TODAY()</f>
        <v>30</v>
      </c>
      <c r="AG163" s="363">
        <f>IF(ISBLANK(Table2[[#This Row],[Roster Received by]]),1,0)</f>
        <v>1</v>
      </c>
      <c r="AH163" s="363">
        <f ca="1">IF(Table2[[#This Row],[Start Date]]&gt;TODAY(),1,)</f>
        <v>1</v>
      </c>
      <c r="AI163" s="363">
        <f>IF(ISBLANK(Table2[[#This Row],[Primary Instructor]]),0,1)</f>
        <v>1</v>
      </c>
      <c r="AJ163" s="363">
        <f>IF(ISBLANK(Table2[[#This Row],[Instructor 2]]),0,1)</f>
        <v>0</v>
      </c>
      <c r="AK163" s="363">
        <f>Table2[[#This Row],[Course Length (Hours)]]/(SUM(Table2[[#This Row],[1]:[2]]))</f>
        <v>2.5</v>
      </c>
      <c r="AL163" s="638">
        <v>999</v>
      </c>
      <c r="AM163" s="363">
        <v>2</v>
      </c>
      <c r="AN163" s="363" t="str">
        <f>VLOOKUP(Table2[[#This Row],[Course Title]],'TSD-Data'!$A$1:$G$80,7,FALSE)</f>
        <v>N8</v>
      </c>
    </row>
    <row r="164" spans="2:40" s="428" customFormat="1" ht="15" customHeight="1" x14ac:dyDescent="0.25">
      <c r="B164" s="315"/>
      <c r="C164" s="364" t="s">
        <v>394</v>
      </c>
      <c r="D164" s="363" t="str">
        <f>VLOOKUP(Table2[[#This Row],[Course Title]],'TSD-Data'!$A$1:$E$80,2,FALSE)</f>
        <v>A-493-3010</v>
      </c>
      <c r="E164" s="363" t="str">
        <f>VLOOKUP(Table2[[#This Row],[Course Title]],'TSD-Data'!$A$1:$E$80,3,FALSE)</f>
        <v>31VC</v>
      </c>
      <c r="F164" s="315" t="s">
        <v>25</v>
      </c>
      <c r="G164" s="344">
        <v>46035</v>
      </c>
      <c r="H164" s="344">
        <v>46035</v>
      </c>
      <c r="I164" s="125" t="s">
        <v>163</v>
      </c>
      <c r="J164" s="318"/>
      <c r="K164" s="318">
        <v>0.33333333333333331</v>
      </c>
      <c r="L164" s="345">
        <v>0.20833333333333334</v>
      </c>
      <c r="M164" s="318">
        <v>0.66666666666666663</v>
      </c>
      <c r="N164" s="318">
        <v>0.58333333333333337</v>
      </c>
      <c r="O164" s="318">
        <v>0.125</v>
      </c>
      <c r="P164" s="318">
        <v>0.91666666666666663</v>
      </c>
      <c r="Q164" s="321" t="s">
        <v>439</v>
      </c>
      <c r="R164" s="321"/>
      <c r="S164" s="321"/>
      <c r="T164" s="363">
        <f>VLOOKUP(Table2[[#This Row],[Course Title]],'TSD-Data'!$A$1:$E$80,4,FALSE)</f>
        <v>1000</v>
      </c>
      <c r="U164" s="363">
        <f>VLOOKUP(Table2[[#This Row],[Course Title]],'TSD-Data'!$A$1:$F$80,6,FALSE)</f>
        <v>3.5</v>
      </c>
      <c r="V164" s="323">
        <f>VLOOKUP(Table2[[#This Row],[Course Title]],'TSD-Data'!$A$1:$F$80,5,FALSE)</f>
        <v>0.4</v>
      </c>
      <c r="W164" s="323"/>
      <c r="X164" s="316">
        <f>Table2[[#This Row],[Quotas]]-Table2[[#This Row],[Open Quotas]]</f>
        <v>1</v>
      </c>
      <c r="Y164" s="316">
        <v>0</v>
      </c>
      <c r="Z164" s="323"/>
      <c r="AA164" s="323"/>
      <c r="AB164" s="363"/>
      <c r="AC164" s="363"/>
      <c r="AD164" s="316"/>
      <c r="AE164" s="316"/>
      <c r="AF164" s="323">
        <f ca="1">Table2[[#This Row],[End Date]]+2-TODAY()</f>
        <v>30</v>
      </c>
      <c r="AG164" s="363">
        <f>IF(ISBLANK(Table2[[#This Row],[Roster Received by]]),1,0)</f>
        <v>1</v>
      </c>
      <c r="AH164" s="363">
        <f ca="1">IF(Table2[[#This Row],[Start Date]]&gt;TODAY(),1,)</f>
        <v>1</v>
      </c>
      <c r="AI164" s="363">
        <f>IF(ISBLANK(Table2[[#This Row],[Primary Instructor]]),0,1)</f>
        <v>1</v>
      </c>
      <c r="AJ164" s="363">
        <f>IF(ISBLANK(Table2[[#This Row],[Instructor 2]]),0,1)</f>
        <v>0</v>
      </c>
      <c r="AK164" s="363">
        <f>Table2[[#This Row],[Course Length (Hours)]]/(SUM(Table2[[#This Row],[1]:[2]]))</f>
        <v>3.5</v>
      </c>
      <c r="AL164" s="638">
        <v>999</v>
      </c>
      <c r="AM164" s="363">
        <v>2</v>
      </c>
      <c r="AN164" s="363" t="str">
        <f>VLOOKUP(Table2[[#This Row],[Course Title]],'TSD-Data'!$A$1:$G$80,7,FALSE)</f>
        <v>N8</v>
      </c>
    </row>
    <row r="165" spans="2:40" s="428" customFormat="1" ht="15" customHeight="1" x14ac:dyDescent="0.25">
      <c r="B165" s="315"/>
      <c r="C165" s="364" t="s">
        <v>65</v>
      </c>
      <c r="D165" s="316" t="str">
        <f>VLOOKUP(Table2[[#This Row],[Course Title]],'TSD-Data'!$A$1:$E$80,2,FALSE)</f>
        <v>A-493-0099</v>
      </c>
      <c r="E165" s="316" t="str">
        <f>VLOOKUP(Table2[[#This Row],[Course Title]],'TSD-Data'!$A$1:$E$80,3,FALSE)</f>
        <v>12JW</v>
      </c>
      <c r="F165" s="364" t="s">
        <v>25</v>
      </c>
      <c r="G165" s="344">
        <v>46035</v>
      </c>
      <c r="H165" s="344">
        <v>46037</v>
      </c>
      <c r="I165" s="317" t="s">
        <v>163</v>
      </c>
      <c r="J165" s="318"/>
      <c r="K165" s="429">
        <v>0.5</v>
      </c>
      <c r="L165" s="429">
        <v>0.375</v>
      </c>
      <c r="M165" s="429">
        <v>0.83333333333333337</v>
      </c>
      <c r="N165" s="429">
        <v>0.75</v>
      </c>
      <c r="O165" s="429">
        <v>0.29166666666666669</v>
      </c>
      <c r="P165" s="429">
        <v>8.3333333333333329E-2</v>
      </c>
      <c r="Q165" s="321" t="s">
        <v>273</v>
      </c>
      <c r="R165" s="321"/>
      <c r="S165" s="321"/>
      <c r="T165" s="316">
        <f>VLOOKUP(Table2[[#This Row],[Course Title]],'TSD-Data'!$A$1:$E$80,4,FALSE)</f>
        <v>45</v>
      </c>
      <c r="U165" s="316">
        <f>VLOOKUP(Table2[[#This Row],[Course Title]],'TSD-Data'!$A$1:$F$80,6,FALSE)</f>
        <v>24</v>
      </c>
      <c r="V165" s="323">
        <f>VLOOKUP(Table2[[#This Row],[Course Title]],'TSD-Data'!$A$1:$F$80,5,FALSE)</f>
        <v>3</v>
      </c>
      <c r="W165" s="323">
        <v>1041</v>
      </c>
      <c r="X165" s="316">
        <f>Table2[[#This Row],[Quotas]]-Table2[[#This Row],[Open Quotas]]</f>
        <v>45</v>
      </c>
      <c r="Y165" s="316">
        <v>0</v>
      </c>
      <c r="Z165" s="323"/>
      <c r="AA165" s="323"/>
      <c r="AB165" s="316"/>
      <c r="AC165" s="316"/>
      <c r="AD165" s="316"/>
      <c r="AE165" s="316"/>
      <c r="AF165" s="323">
        <f ca="1">Table2[[#This Row],[End Date]]+2-TODAY()</f>
        <v>32</v>
      </c>
      <c r="AG165" s="316">
        <f>IF(ISBLANK(Table2[[#This Row],[Roster Received by]]),1,0)</f>
        <v>1</v>
      </c>
      <c r="AH165" s="316">
        <f ca="1">IF(Table2[[#This Row],[Start Date]]&gt;TODAY(),1,)</f>
        <v>1</v>
      </c>
      <c r="AI165" s="316">
        <f>IF(ISBLANK(Table2[[#This Row],[Primary Instructor]]),0,1)</f>
        <v>1</v>
      </c>
      <c r="AJ165" s="316">
        <f>IF(ISBLANK(Table2[[#This Row],[Instructor 2]]),0,1)</f>
        <v>0</v>
      </c>
      <c r="AK165" s="316">
        <f>Table2[[#This Row],[Course Length (Hours)]]/(SUM(Table2[[#This Row],[1]:[2]]))</f>
        <v>24</v>
      </c>
      <c r="AL165" s="124">
        <v>0</v>
      </c>
      <c r="AM165" s="433">
        <v>2</v>
      </c>
      <c r="AN165" s="363" t="str">
        <f>VLOOKUP(Table2[[#This Row],[Course Title]],'TSD-Data'!$A$1:$G$80,7,FALSE)</f>
        <v>N5</v>
      </c>
    </row>
    <row r="166" spans="2:40" s="428" customFormat="1" ht="15" customHeight="1" x14ac:dyDescent="0.25">
      <c r="B166" s="315"/>
      <c r="C166" s="94" t="s">
        <v>110</v>
      </c>
      <c r="D166" s="70" t="str">
        <f>VLOOKUP(Table2[[#This Row],[Course Title]],'TSD-Data'!$A$1:$E$80,2,FALSE)</f>
        <v>A-493-2501</v>
      </c>
      <c r="E166" s="70" t="str">
        <f>VLOOKUP(Table2[[#This Row],[Course Title]],'TSD-Data'!$A$1:$E$80,3,FALSE)</f>
        <v>05ZE</v>
      </c>
      <c r="F166" s="94" t="s">
        <v>332</v>
      </c>
      <c r="G166" s="72">
        <v>46036</v>
      </c>
      <c r="H166" s="72">
        <v>46036</v>
      </c>
      <c r="I166" s="317" t="s">
        <v>163</v>
      </c>
      <c r="J166" s="318">
        <v>0.33333333333333331</v>
      </c>
      <c r="K166" s="345"/>
      <c r="L166" s="344"/>
      <c r="M166" s="344"/>
      <c r="N166" s="344"/>
      <c r="O166" s="344"/>
      <c r="P166" s="344"/>
      <c r="Q166" s="321" t="s">
        <v>168</v>
      </c>
      <c r="R166" s="321"/>
      <c r="S166" s="321"/>
      <c r="T166" s="316">
        <f>VLOOKUP(Table2[[#This Row],[Course Title]],'TSD-Data'!$A$1:$E$80,4,FALSE)</f>
        <v>30</v>
      </c>
      <c r="U166" s="316">
        <f>VLOOKUP(Table2[[#This Row],[Course Title]],'TSD-Data'!$A$1:$F$80,6,FALSE)</f>
        <v>8</v>
      </c>
      <c r="V166" s="323">
        <f>VLOOKUP(Table2[[#This Row],[Course Title]],'TSD-Data'!$A$1:$F$80,5,FALSE)</f>
        <v>1</v>
      </c>
      <c r="W166" s="323">
        <v>29</v>
      </c>
      <c r="X166" s="316">
        <f>Table2[[#This Row],[Quotas]]-Table2[[#This Row],[Open Quotas]]</f>
        <v>0</v>
      </c>
      <c r="Y166" s="316"/>
      <c r="Z166" s="323"/>
      <c r="AA166" s="323"/>
      <c r="AB166" s="363"/>
      <c r="AC166" s="363"/>
      <c r="AD166" s="316"/>
      <c r="AE166" s="316"/>
      <c r="AF166" s="323">
        <f ca="1">Table2[[#This Row],[End Date]]+2-TODAY()</f>
        <v>31</v>
      </c>
      <c r="AG166" s="316">
        <f>IF(ISBLANK(Table2[[#This Row],[Roster Received by]]),1,0)</f>
        <v>1</v>
      </c>
      <c r="AH166" s="316">
        <f ca="1">IF(Table2[[#This Row],[Start Date]]&gt;TODAY(),1,)</f>
        <v>1</v>
      </c>
      <c r="AI166" s="316">
        <f>IF(ISBLANK(Table2[[#This Row],[Primary Instructor]]),0,1)</f>
        <v>1</v>
      </c>
      <c r="AJ166" s="316">
        <f>IF(ISBLANK(Table2[[#This Row],[Instructor 2]]),0,1)</f>
        <v>0</v>
      </c>
      <c r="AK166" s="316">
        <f>Table2[[#This Row],[Course Length (Hours)]]/(SUM(Table2[[#This Row],[1]:[2]]))</f>
        <v>8</v>
      </c>
      <c r="AL166" s="638">
        <v>30</v>
      </c>
      <c r="AM166" s="433">
        <v>2</v>
      </c>
      <c r="AN166" s="363" t="str">
        <f>VLOOKUP(Table2[[#This Row],[Course Title]],'TSD-Data'!$A$1:$G$80,7,FALSE)</f>
        <v>N4</v>
      </c>
    </row>
    <row r="167" spans="2:40" s="428" customFormat="1" ht="15" customHeight="1" x14ac:dyDescent="0.25">
      <c r="B167" s="315"/>
      <c r="C167" s="364" t="s">
        <v>390</v>
      </c>
      <c r="D167" s="363" t="str">
        <f>VLOOKUP(Table2[[#This Row],[Course Title]],'TSD-Data'!$A$1:$E$80,2,FALSE)</f>
        <v>A-493-3018</v>
      </c>
      <c r="E167" s="363" t="str">
        <f>VLOOKUP(Table2[[#This Row],[Course Title]],'TSD-Data'!$A$1:$E$80,3,FALSE)</f>
        <v>31YM</v>
      </c>
      <c r="F167" s="364" t="s">
        <v>25</v>
      </c>
      <c r="G167" s="344">
        <v>46036</v>
      </c>
      <c r="H167" s="344">
        <v>46036</v>
      </c>
      <c r="I167" s="317" t="s">
        <v>163</v>
      </c>
      <c r="J167" s="318"/>
      <c r="K167" s="345">
        <v>0.60416666666666663</v>
      </c>
      <c r="L167" s="345">
        <v>0.47916666666666669</v>
      </c>
      <c r="M167" s="345">
        <v>0.9375</v>
      </c>
      <c r="N167" s="345">
        <v>0.85416666666666663</v>
      </c>
      <c r="O167" s="345">
        <v>0.39583333333333331</v>
      </c>
      <c r="P167" s="345">
        <v>0.1875</v>
      </c>
      <c r="Q167" s="321" t="s">
        <v>439</v>
      </c>
      <c r="R167" s="321"/>
      <c r="S167" s="321"/>
      <c r="T167" s="363">
        <f>VLOOKUP(Table2[[#This Row],[Course Title]],'TSD-Data'!$A$1:$E$80,4,FALSE)</f>
        <v>1000</v>
      </c>
      <c r="U167" s="363">
        <f>VLOOKUP(Table2[[#This Row],[Course Title]],'TSD-Data'!$A$1:$F$80,6,FALSE)</f>
        <v>2.5</v>
      </c>
      <c r="V167" s="323">
        <f>VLOOKUP(Table2[[#This Row],[Course Title]],'TSD-Data'!$A$1:$F$80,5,FALSE)</f>
        <v>0.3</v>
      </c>
      <c r="W167" s="323"/>
      <c r="X167" s="316">
        <f>Table2[[#This Row],[Quotas]]-Table2[[#This Row],[Open Quotas]]</f>
        <v>1</v>
      </c>
      <c r="Y167" s="316">
        <v>0</v>
      </c>
      <c r="Z167" s="323"/>
      <c r="AA167" s="323"/>
      <c r="AB167" s="363"/>
      <c r="AC167" s="363"/>
      <c r="AD167" s="316"/>
      <c r="AE167" s="316"/>
      <c r="AF167" s="323">
        <f ca="1">Table2[[#This Row],[End Date]]+2-TODAY()</f>
        <v>31</v>
      </c>
      <c r="AG167" s="363">
        <f>IF(ISBLANK(Table2[[#This Row],[Roster Received by]]),1,0)</f>
        <v>1</v>
      </c>
      <c r="AH167" s="363">
        <f ca="1">IF(Table2[[#This Row],[Start Date]]&gt;TODAY(),1,)</f>
        <v>1</v>
      </c>
      <c r="AI167" s="363">
        <f>IF(ISBLANK(Table2[[#This Row],[Primary Instructor]]),0,1)</f>
        <v>1</v>
      </c>
      <c r="AJ167" s="363">
        <f>IF(ISBLANK(Table2[[#This Row],[Instructor 2]]),0,1)</f>
        <v>0</v>
      </c>
      <c r="AK167" s="363">
        <f>Table2[[#This Row],[Course Length (Hours)]]/(SUM(Table2[[#This Row],[1]:[2]]))</f>
        <v>2.5</v>
      </c>
      <c r="AL167" s="638">
        <v>999</v>
      </c>
      <c r="AM167" s="363">
        <v>2</v>
      </c>
      <c r="AN167" s="363" t="str">
        <f>VLOOKUP(Table2[[#This Row],[Course Title]],'TSD-Data'!$A$1:$G$80,7,FALSE)</f>
        <v>N8</v>
      </c>
    </row>
    <row r="168" spans="2:40" s="428" customFormat="1" ht="15" customHeight="1" x14ac:dyDescent="0.25">
      <c r="B168" s="315"/>
      <c r="C168" s="364" t="s">
        <v>392</v>
      </c>
      <c r="D168" s="363" t="str">
        <f>VLOOKUP(Table2[[#This Row],[Course Title]],'TSD-Data'!$A$1:$E$80,2,FALSE)</f>
        <v>A-493-3004</v>
      </c>
      <c r="E168" s="363" t="str">
        <f>VLOOKUP(Table2[[#This Row],[Course Title]],'TSD-Data'!$A$1:$E$80,3,FALSE)</f>
        <v>31V6</v>
      </c>
      <c r="F168" s="364" t="s">
        <v>25</v>
      </c>
      <c r="G168" s="344">
        <v>46036</v>
      </c>
      <c r="H168" s="344">
        <v>46036</v>
      </c>
      <c r="I168" s="317" t="s">
        <v>163</v>
      </c>
      <c r="J168" s="318"/>
      <c r="K168" s="318">
        <v>0.52083333333333337</v>
      </c>
      <c r="L168" s="345">
        <v>0.39583333333333331</v>
      </c>
      <c r="M168" s="318">
        <v>0.85416666666666663</v>
      </c>
      <c r="N168" s="318">
        <v>0.77083333333333337</v>
      </c>
      <c r="O168" s="318">
        <v>0.8125</v>
      </c>
      <c r="P168" s="318">
        <v>0.10416666666666667</v>
      </c>
      <c r="Q168" s="321" t="s">
        <v>439</v>
      </c>
      <c r="R168" s="321"/>
      <c r="S168" s="321"/>
      <c r="T168" s="363">
        <f>VLOOKUP(Table2[[#This Row],[Course Title]],'TSD-Data'!$A$1:$E$80,4,FALSE)</f>
        <v>1000</v>
      </c>
      <c r="U168" s="363">
        <f>VLOOKUP(Table2[[#This Row],[Course Title]],'TSD-Data'!$A$1:$F$80,6,FALSE)</f>
        <v>1.5</v>
      </c>
      <c r="V168" s="323">
        <f>VLOOKUP(Table2[[#This Row],[Course Title]],'TSD-Data'!$A$1:$F$80,5,FALSE)</f>
        <v>0.2</v>
      </c>
      <c r="W168" s="323"/>
      <c r="X168" s="316">
        <f>Table2[[#This Row],[Quotas]]-Table2[[#This Row],[Open Quotas]]</f>
        <v>1</v>
      </c>
      <c r="Y168" s="316">
        <v>0</v>
      </c>
      <c r="Z168" s="323"/>
      <c r="AA168" s="323"/>
      <c r="AB168" s="363"/>
      <c r="AC168" s="363"/>
      <c r="AD168" s="316"/>
      <c r="AE168" s="316"/>
      <c r="AF168" s="323">
        <f ca="1">Table2[[#This Row],[End Date]]+2-TODAY()</f>
        <v>31</v>
      </c>
      <c r="AG168" s="363">
        <f>IF(ISBLANK(Table2[[#This Row],[Roster Received by]]),1,0)</f>
        <v>1</v>
      </c>
      <c r="AH168" s="363">
        <f ca="1">IF(Table2[[#This Row],[Start Date]]&gt;TODAY(),1,)</f>
        <v>1</v>
      </c>
      <c r="AI168" s="363">
        <f>IF(ISBLANK(Table2[[#This Row],[Primary Instructor]]),0,1)</f>
        <v>1</v>
      </c>
      <c r="AJ168" s="363">
        <f>IF(ISBLANK(Table2[[#This Row],[Instructor 2]]),0,1)</f>
        <v>0</v>
      </c>
      <c r="AK168" s="363">
        <f>Table2[[#This Row],[Course Length (Hours)]]/(SUM(Table2[[#This Row],[1]:[2]]))</f>
        <v>1.5</v>
      </c>
      <c r="AL168" s="638">
        <v>999</v>
      </c>
      <c r="AM168" s="363">
        <v>2</v>
      </c>
      <c r="AN168" s="363" t="str">
        <f>VLOOKUP(Table2[[#This Row],[Course Title]],'TSD-Data'!$A$1:$G$80,7,FALSE)</f>
        <v>N8</v>
      </c>
    </row>
    <row r="169" spans="2:40" s="428" customFormat="1" ht="15" customHeight="1" x14ac:dyDescent="0.25">
      <c r="B169" s="315"/>
      <c r="C169" s="364" t="s">
        <v>403</v>
      </c>
      <c r="D169" s="363" t="str">
        <f>VLOOKUP(Table2[[#This Row],[Course Title]],'TSD-Data'!$A$1:$E$80,2,FALSE)</f>
        <v>A-493-3001</v>
      </c>
      <c r="E169" s="363" t="str">
        <f>VLOOKUP(Table2[[#This Row],[Course Title]],'TSD-Data'!$A$1:$E$80,3,FALSE)</f>
        <v>31V3</v>
      </c>
      <c r="F169" s="315" t="s">
        <v>25</v>
      </c>
      <c r="G169" s="344">
        <v>46036</v>
      </c>
      <c r="H169" s="344">
        <v>46036</v>
      </c>
      <c r="I169" s="317" t="s">
        <v>163</v>
      </c>
      <c r="J169" s="318"/>
      <c r="K169" s="318">
        <v>0.33333333333333331</v>
      </c>
      <c r="L169" s="345">
        <v>0.20833333333333334</v>
      </c>
      <c r="M169" s="318">
        <v>0.66666666666666663</v>
      </c>
      <c r="N169" s="318">
        <v>0.58333333333333337</v>
      </c>
      <c r="O169" s="318">
        <v>0.125</v>
      </c>
      <c r="P169" s="318">
        <v>0.91666666666666663</v>
      </c>
      <c r="Q169" s="321" t="s">
        <v>439</v>
      </c>
      <c r="R169" s="321"/>
      <c r="S169" s="321"/>
      <c r="T169" s="363">
        <f>VLOOKUP(Table2[[#This Row],[Course Title]],'TSD-Data'!$A$1:$E$80,4,FALSE)</f>
        <v>1000</v>
      </c>
      <c r="U169" s="363">
        <f>VLOOKUP(Table2[[#This Row],[Course Title]],'TSD-Data'!$A$1:$F$80,6,FALSE)</f>
        <v>2</v>
      </c>
      <c r="V169" s="323">
        <f>VLOOKUP(Table2[[#This Row],[Course Title]],'TSD-Data'!$A$1:$F$80,5,FALSE)</f>
        <v>0.25</v>
      </c>
      <c r="W169" s="323"/>
      <c r="X169" s="316">
        <f>Table2[[#This Row],[Quotas]]-Table2[[#This Row],[Open Quotas]]</f>
        <v>1</v>
      </c>
      <c r="Y169" s="316">
        <v>0</v>
      </c>
      <c r="Z169" s="323"/>
      <c r="AA169" s="323"/>
      <c r="AB169" s="363"/>
      <c r="AC169" s="363"/>
      <c r="AD169" s="316"/>
      <c r="AE169" s="316"/>
      <c r="AF169" s="323">
        <f ca="1">Table2[[#This Row],[End Date]]+2-TODAY()</f>
        <v>31</v>
      </c>
      <c r="AG169" s="363">
        <f>IF(ISBLANK(Table2[[#This Row],[Roster Received by]]),1,0)</f>
        <v>1</v>
      </c>
      <c r="AH169" s="363">
        <f ca="1">IF(Table2[[#This Row],[Start Date]]&gt;TODAY(),1,)</f>
        <v>1</v>
      </c>
      <c r="AI169" s="363">
        <f>IF(ISBLANK(Table2[[#This Row],[Primary Instructor]]),0,1)</f>
        <v>1</v>
      </c>
      <c r="AJ169" s="363">
        <f>IF(ISBLANK(Table2[[#This Row],[Instructor 2]]),0,1)</f>
        <v>0</v>
      </c>
      <c r="AK169" s="363">
        <f>Table2[[#This Row],[Course Length (Hours)]]/(SUM(Table2[[#This Row],[1]:[2]]))</f>
        <v>2</v>
      </c>
      <c r="AL169" s="638">
        <v>999</v>
      </c>
      <c r="AM169" s="363">
        <v>2</v>
      </c>
      <c r="AN169" s="363" t="str">
        <f>VLOOKUP(Table2[[#This Row],[Course Title]],'TSD-Data'!$A$1:$G$80,7,FALSE)</f>
        <v>N8</v>
      </c>
    </row>
    <row r="170" spans="2:40" s="428" customFormat="1" ht="15" customHeight="1" x14ac:dyDescent="0.25">
      <c r="B170" s="315"/>
      <c r="C170" s="94" t="s">
        <v>110</v>
      </c>
      <c r="D170" s="70" t="str">
        <f>VLOOKUP(Table2[[#This Row],[Course Title]],'TSD-Data'!$A$1:$E$80,2,FALSE)</f>
        <v>A-493-2501</v>
      </c>
      <c r="E170" s="70" t="str">
        <f>VLOOKUP(Table2[[#This Row],[Course Title]],'TSD-Data'!$A$1:$E$80,3,FALSE)</f>
        <v>05ZE</v>
      </c>
      <c r="F170" s="94" t="s">
        <v>171</v>
      </c>
      <c r="G170" s="72">
        <v>46037</v>
      </c>
      <c r="H170" s="72">
        <v>46037</v>
      </c>
      <c r="I170" s="317" t="s">
        <v>163</v>
      </c>
      <c r="J170" s="318">
        <v>0.33333333333333331</v>
      </c>
      <c r="K170" s="345"/>
      <c r="L170" s="344"/>
      <c r="M170" s="317"/>
      <c r="N170" s="317"/>
      <c r="O170" s="317"/>
      <c r="P170" s="317"/>
      <c r="Q170" s="321" t="s">
        <v>168</v>
      </c>
      <c r="R170" s="321"/>
      <c r="S170" s="321"/>
      <c r="T170" s="316">
        <f>VLOOKUP(Table2[[#This Row],[Course Title]],'TSD-Data'!$A$1:$E$80,4,FALSE)</f>
        <v>30</v>
      </c>
      <c r="U170" s="316">
        <f>VLOOKUP(Table2[[#This Row],[Course Title]],'TSD-Data'!$A$1:$F$80,6,FALSE)</f>
        <v>8</v>
      </c>
      <c r="V170" s="323">
        <f>VLOOKUP(Table2[[#This Row],[Course Title]],'TSD-Data'!$A$1:$F$80,5,FALSE)</f>
        <v>1</v>
      </c>
      <c r="W170" s="323">
        <v>40</v>
      </c>
      <c r="X170" s="316">
        <f>Table2[[#This Row],[Quotas]]-Table2[[#This Row],[Open Quotas]]</f>
        <v>0</v>
      </c>
      <c r="Y170" s="316"/>
      <c r="Z170" s="323"/>
      <c r="AA170" s="323"/>
      <c r="AB170" s="363"/>
      <c r="AC170" s="363"/>
      <c r="AD170" s="316"/>
      <c r="AE170" s="316"/>
      <c r="AF170" s="323">
        <f ca="1">Table2[[#This Row],[End Date]]+2-TODAY()</f>
        <v>32</v>
      </c>
      <c r="AG170" s="316">
        <f>IF(ISBLANK(Table2[[#This Row],[Roster Received by]]),1,0)</f>
        <v>1</v>
      </c>
      <c r="AH170" s="316">
        <f ca="1">IF(Table2[[#This Row],[Start Date]]&gt;TODAY(),1,)</f>
        <v>1</v>
      </c>
      <c r="AI170" s="316">
        <f>IF(ISBLANK(Table2[[#This Row],[Primary Instructor]]),0,1)</f>
        <v>1</v>
      </c>
      <c r="AJ170" s="316">
        <f>IF(ISBLANK(Table2[[#This Row],[Instructor 2]]),0,1)</f>
        <v>0</v>
      </c>
      <c r="AK170" s="316">
        <f>Table2[[#This Row],[Course Length (Hours)]]/(SUM(Table2[[#This Row],[1]:[2]]))</f>
        <v>8</v>
      </c>
      <c r="AL170" s="638">
        <v>30</v>
      </c>
      <c r="AM170" s="433">
        <v>2</v>
      </c>
      <c r="AN170" s="363" t="str">
        <f>VLOOKUP(Table2[[#This Row],[Course Title]],'TSD-Data'!$A$1:$G$80,7,FALSE)</f>
        <v>N4</v>
      </c>
    </row>
    <row r="171" spans="2:40" s="428" customFormat="1" ht="15" customHeight="1" x14ac:dyDescent="0.25">
      <c r="B171" s="315"/>
      <c r="C171" s="364" t="s">
        <v>397</v>
      </c>
      <c r="D171" s="363" t="str">
        <f>VLOOKUP(Table2[[#This Row],[Course Title]],'TSD-Data'!$A$1:$E$80,2,FALSE)</f>
        <v>A-493-3013</v>
      </c>
      <c r="E171" s="363" t="str">
        <f>VLOOKUP(Table2[[#This Row],[Course Title]],'TSD-Data'!$A$1:$E$80,3,FALSE)</f>
        <v>31YG</v>
      </c>
      <c r="F171" s="364" t="s">
        <v>25</v>
      </c>
      <c r="G171" s="344">
        <v>46037</v>
      </c>
      <c r="H171" s="344">
        <v>46037</v>
      </c>
      <c r="I171" s="317" t="s">
        <v>163</v>
      </c>
      <c r="J171" s="318"/>
      <c r="K171" s="318">
        <v>0.4375</v>
      </c>
      <c r="L171" s="345">
        <v>0.3125</v>
      </c>
      <c r="M171" s="318">
        <v>0.77083333333333337</v>
      </c>
      <c r="N171" s="318">
        <v>0.6875</v>
      </c>
      <c r="O171" s="318">
        <v>0.22916666666666666</v>
      </c>
      <c r="P171" s="318">
        <v>2.0833333333333332E-2</v>
      </c>
      <c r="Q171" s="321" t="s">
        <v>439</v>
      </c>
      <c r="R171" s="321"/>
      <c r="S171" s="321"/>
      <c r="T171" s="363">
        <f>VLOOKUP(Table2[[#This Row],[Course Title]],'TSD-Data'!$A$1:$E$80,4,FALSE)</f>
        <v>1000</v>
      </c>
      <c r="U171" s="363">
        <f>VLOOKUP(Table2[[#This Row],[Course Title]],'TSD-Data'!$A$1:$F$80,6,FALSE)</f>
        <v>1</v>
      </c>
      <c r="V171" s="323">
        <f>VLOOKUP(Table2[[#This Row],[Course Title]],'TSD-Data'!$A$1:$F$80,5,FALSE)</f>
        <v>0.1</v>
      </c>
      <c r="W171" s="323"/>
      <c r="X171" s="316">
        <f>Table2[[#This Row],[Quotas]]-Table2[[#This Row],[Open Quotas]]</f>
        <v>1</v>
      </c>
      <c r="Y171" s="316">
        <v>0</v>
      </c>
      <c r="Z171" s="323"/>
      <c r="AA171" s="323"/>
      <c r="AB171" s="363"/>
      <c r="AC171" s="363"/>
      <c r="AD171" s="316"/>
      <c r="AE171" s="316"/>
      <c r="AF171" s="323">
        <f ca="1">Table2[[#This Row],[End Date]]+2-TODAY()</f>
        <v>32</v>
      </c>
      <c r="AG171" s="363">
        <f>IF(ISBLANK(Table2[[#This Row],[Roster Received by]]),1,0)</f>
        <v>1</v>
      </c>
      <c r="AH171" s="363">
        <f ca="1">IF(Table2[[#This Row],[Start Date]]&gt;TODAY(),1,)</f>
        <v>1</v>
      </c>
      <c r="AI171" s="363">
        <f>IF(ISBLANK(Table2[[#This Row],[Primary Instructor]]),0,1)</f>
        <v>1</v>
      </c>
      <c r="AJ171" s="363">
        <f>IF(ISBLANK(Table2[[#This Row],[Instructor 2]]),0,1)</f>
        <v>0</v>
      </c>
      <c r="AK171" s="363">
        <f>Table2[[#This Row],[Course Length (Hours)]]/(SUM(Table2[[#This Row],[1]:[2]]))</f>
        <v>1</v>
      </c>
      <c r="AL171" s="638">
        <v>999</v>
      </c>
      <c r="AM171" s="363">
        <v>2</v>
      </c>
      <c r="AN171" s="363" t="str">
        <f>VLOOKUP(Table2[[#This Row],[Course Title]],'TSD-Data'!$A$1:$G$80,7,FALSE)</f>
        <v>N8</v>
      </c>
    </row>
    <row r="172" spans="2:40" s="428" customFormat="1" ht="15" customHeight="1" x14ac:dyDescent="0.25">
      <c r="B172" s="315"/>
      <c r="C172" s="364" t="s">
        <v>398</v>
      </c>
      <c r="D172" s="363" t="str">
        <f>VLOOKUP(Table2[[#This Row],[Course Title]],'TSD-Data'!$A$1:$E$80,2,FALSE)</f>
        <v>A-493-3014</v>
      </c>
      <c r="E172" s="363" t="str">
        <f>VLOOKUP(Table2[[#This Row],[Course Title]],'TSD-Data'!$A$1:$E$80,3,FALSE)</f>
        <v>31Yh</v>
      </c>
      <c r="F172" s="364" t="s">
        <v>25</v>
      </c>
      <c r="G172" s="344">
        <v>46037</v>
      </c>
      <c r="H172" s="344">
        <v>46037</v>
      </c>
      <c r="I172" s="317" t="s">
        <v>163</v>
      </c>
      <c r="J172" s="318"/>
      <c r="K172" s="318">
        <v>0.60416666666666663</v>
      </c>
      <c r="L172" s="345">
        <v>0.47916666666666669</v>
      </c>
      <c r="M172" s="318">
        <v>0.9375</v>
      </c>
      <c r="N172" s="318">
        <v>0.85416666666666663</v>
      </c>
      <c r="O172" s="318">
        <v>0.39583333333333331</v>
      </c>
      <c r="P172" s="318">
        <v>0.1875</v>
      </c>
      <c r="Q172" s="321" t="s">
        <v>439</v>
      </c>
      <c r="R172" s="321"/>
      <c r="S172" s="321"/>
      <c r="T172" s="363">
        <f>VLOOKUP(Table2[[#This Row],[Course Title]],'TSD-Data'!$A$1:$E$80,4,FALSE)</f>
        <v>1000</v>
      </c>
      <c r="U172" s="363">
        <f>VLOOKUP(Table2[[#This Row],[Course Title]],'TSD-Data'!$A$1:$F$80,6,FALSE)</f>
        <v>0.75</v>
      </c>
      <c r="V172" s="323">
        <f>VLOOKUP(Table2[[#This Row],[Course Title]],'TSD-Data'!$A$1:$F$80,5,FALSE)</f>
        <v>0.1</v>
      </c>
      <c r="W172" s="323"/>
      <c r="X172" s="316">
        <f>Table2[[#This Row],[Quotas]]-Table2[[#This Row],[Open Quotas]]</f>
        <v>1</v>
      </c>
      <c r="Y172" s="316">
        <v>0</v>
      </c>
      <c r="Z172" s="323"/>
      <c r="AA172" s="323"/>
      <c r="AB172" s="363"/>
      <c r="AC172" s="363"/>
      <c r="AD172" s="316"/>
      <c r="AE172" s="316"/>
      <c r="AF172" s="323">
        <f ca="1">Table2[[#This Row],[End Date]]+2-TODAY()</f>
        <v>32</v>
      </c>
      <c r="AG172" s="363">
        <f>IF(ISBLANK(Table2[[#This Row],[Roster Received by]]),1,0)</f>
        <v>1</v>
      </c>
      <c r="AH172" s="363">
        <f ca="1">IF(Table2[[#This Row],[Start Date]]&gt;TODAY(),1,)</f>
        <v>1</v>
      </c>
      <c r="AI172" s="363">
        <f>IF(ISBLANK(Table2[[#This Row],[Primary Instructor]]),0,1)</f>
        <v>1</v>
      </c>
      <c r="AJ172" s="363">
        <f>IF(ISBLANK(Table2[[#This Row],[Instructor 2]]),0,1)</f>
        <v>0</v>
      </c>
      <c r="AK172" s="363">
        <f>Table2[[#This Row],[Course Length (Hours)]]/(SUM(Table2[[#This Row],[1]:[2]]))</f>
        <v>0.75</v>
      </c>
      <c r="AL172" s="638">
        <v>999</v>
      </c>
      <c r="AM172" s="363">
        <v>2</v>
      </c>
      <c r="AN172" s="363" t="str">
        <f>VLOOKUP(Table2[[#This Row],[Course Title]],'TSD-Data'!$A$1:$G$80,7,FALSE)</f>
        <v>N8</v>
      </c>
    </row>
    <row r="173" spans="2:40" s="428" customFormat="1" ht="15" customHeight="1" x14ac:dyDescent="0.25">
      <c r="B173" s="315"/>
      <c r="C173" s="364" t="s">
        <v>399</v>
      </c>
      <c r="D173" s="363" t="str">
        <f>VLOOKUP(Table2[[#This Row],[Course Title]],'TSD-Data'!$A$1:$E$80,2,FALSE)</f>
        <v>A-493-3015</v>
      </c>
      <c r="E173" s="363" t="str">
        <f>VLOOKUP(Table2[[#This Row],[Course Title]],'TSD-Data'!$A$1:$E$80,3,FALSE)</f>
        <v>31YJ</v>
      </c>
      <c r="F173" s="364" t="s">
        <v>25</v>
      </c>
      <c r="G173" s="344">
        <v>46037</v>
      </c>
      <c r="H173" s="344">
        <v>46037</v>
      </c>
      <c r="I173" s="317" t="s">
        <v>163</v>
      </c>
      <c r="J173" s="318"/>
      <c r="K173" s="318">
        <v>0.33333333333333331</v>
      </c>
      <c r="L173" s="345">
        <v>0.20833333333333334</v>
      </c>
      <c r="M173" s="318">
        <v>0.66666666666666663</v>
      </c>
      <c r="N173" s="318">
        <v>0.58333333333333337</v>
      </c>
      <c r="O173" s="318">
        <v>0.125</v>
      </c>
      <c r="P173" s="318">
        <v>0.91666666666666663</v>
      </c>
      <c r="Q173" s="321" t="s">
        <v>439</v>
      </c>
      <c r="R173" s="321"/>
      <c r="S173" s="321"/>
      <c r="T173" s="363">
        <f>VLOOKUP(Table2[[#This Row],[Course Title]],'TSD-Data'!$A$1:$E$80,4,FALSE)</f>
        <v>1000</v>
      </c>
      <c r="U173" s="363">
        <f>VLOOKUP(Table2[[#This Row],[Course Title]],'TSD-Data'!$A$1:$F$80,6,FALSE)</f>
        <v>1</v>
      </c>
      <c r="V173" s="323">
        <f>VLOOKUP(Table2[[#This Row],[Course Title]],'TSD-Data'!$A$1:$F$80,5,FALSE)</f>
        <v>0.1</v>
      </c>
      <c r="W173" s="323"/>
      <c r="X173" s="316">
        <f>Table2[[#This Row],[Quotas]]-Table2[[#This Row],[Open Quotas]]</f>
        <v>1</v>
      </c>
      <c r="Y173" s="316">
        <v>0</v>
      </c>
      <c r="Z173" s="323"/>
      <c r="AA173" s="323"/>
      <c r="AB173" s="363"/>
      <c r="AC173" s="363"/>
      <c r="AD173" s="316"/>
      <c r="AE173" s="316"/>
      <c r="AF173" s="323">
        <f ca="1">Table2[[#This Row],[End Date]]+2-TODAY()</f>
        <v>32</v>
      </c>
      <c r="AG173" s="363">
        <f>IF(ISBLANK(Table2[[#This Row],[Roster Received by]]),1,0)</f>
        <v>1</v>
      </c>
      <c r="AH173" s="363">
        <f ca="1">IF(Table2[[#This Row],[Start Date]]&gt;TODAY(),1,)</f>
        <v>1</v>
      </c>
      <c r="AI173" s="363">
        <f>IF(ISBLANK(Table2[[#This Row],[Primary Instructor]]),0,1)</f>
        <v>1</v>
      </c>
      <c r="AJ173" s="363">
        <f>IF(ISBLANK(Table2[[#This Row],[Instructor 2]]),0,1)</f>
        <v>0</v>
      </c>
      <c r="AK173" s="363">
        <f>Table2[[#This Row],[Course Length (Hours)]]/(SUM(Table2[[#This Row],[1]:[2]]))</f>
        <v>1</v>
      </c>
      <c r="AL173" s="638">
        <v>999</v>
      </c>
      <c r="AM173" s="363">
        <v>2</v>
      </c>
      <c r="AN173" s="363" t="str">
        <f>VLOOKUP(Table2[[#This Row],[Course Title]],'TSD-Data'!$A$1:$G$80,7,FALSE)</f>
        <v>N8</v>
      </c>
    </row>
    <row r="174" spans="2:40" s="428" customFormat="1" ht="15" customHeight="1" x14ac:dyDescent="0.25">
      <c r="B174" s="315"/>
      <c r="C174" s="364" t="s">
        <v>400</v>
      </c>
      <c r="D174" s="363" t="str">
        <f>VLOOKUP(Table2[[#This Row],[Course Title]],'TSD-Data'!$A$1:$E$80,2,FALSE)</f>
        <v>A-493-3016</v>
      </c>
      <c r="E174" s="363" t="str">
        <f>VLOOKUP(Table2[[#This Row],[Course Title]],'TSD-Data'!$A$1:$E$80,3,FALSE)</f>
        <v>31Yk</v>
      </c>
      <c r="F174" s="364" t="s">
        <v>25</v>
      </c>
      <c r="G174" s="344">
        <v>46037</v>
      </c>
      <c r="H174" s="344">
        <v>46037</v>
      </c>
      <c r="I174" s="317" t="s">
        <v>163</v>
      </c>
      <c r="J174" s="318"/>
      <c r="K174" s="318">
        <v>0.52083333333333337</v>
      </c>
      <c r="L174" s="345">
        <v>0.39583333333333331</v>
      </c>
      <c r="M174" s="318">
        <v>0.85416666666666663</v>
      </c>
      <c r="N174" s="318">
        <v>0.77083333333333337</v>
      </c>
      <c r="O174" s="318">
        <v>0.8125</v>
      </c>
      <c r="P174" s="318">
        <v>0.10416666666666667</v>
      </c>
      <c r="Q174" s="321" t="s">
        <v>439</v>
      </c>
      <c r="R174" s="321"/>
      <c r="S174" s="321"/>
      <c r="T174" s="363">
        <f>VLOOKUP(Table2[[#This Row],[Course Title]],'TSD-Data'!$A$1:$E$80,4,FALSE)</f>
        <v>1000</v>
      </c>
      <c r="U174" s="363">
        <f>VLOOKUP(Table2[[#This Row],[Course Title]],'TSD-Data'!$A$1:$F$80,6,FALSE)</f>
        <v>1</v>
      </c>
      <c r="V174" s="323">
        <f>VLOOKUP(Table2[[#This Row],[Course Title]],'TSD-Data'!$A$1:$F$80,5,FALSE)</f>
        <v>0.1</v>
      </c>
      <c r="W174" s="323"/>
      <c r="X174" s="316">
        <f>Table2[[#This Row],[Quotas]]-Table2[[#This Row],[Open Quotas]]</f>
        <v>1</v>
      </c>
      <c r="Y174" s="316">
        <v>0</v>
      </c>
      <c r="Z174" s="323"/>
      <c r="AA174" s="323"/>
      <c r="AB174" s="363"/>
      <c r="AC174" s="363"/>
      <c r="AD174" s="316"/>
      <c r="AE174" s="316"/>
      <c r="AF174" s="323">
        <f ca="1">Table2[[#This Row],[End Date]]+2-TODAY()</f>
        <v>32</v>
      </c>
      <c r="AG174" s="363">
        <f>IF(ISBLANK(Table2[[#This Row],[Roster Received by]]),1,0)</f>
        <v>1</v>
      </c>
      <c r="AH174" s="363">
        <f ca="1">IF(Table2[[#This Row],[Start Date]]&gt;TODAY(),1,)</f>
        <v>1</v>
      </c>
      <c r="AI174" s="363">
        <f>IF(ISBLANK(Table2[[#This Row],[Primary Instructor]]),0,1)</f>
        <v>1</v>
      </c>
      <c r="AJ174" s="363">
        <f>IF(ISBLANK(Table2[[#This Row],[Instructor 2]]),0,1)</f>
        <v>0</v>
      </c>
      <c r="AK174" s="363">
        <f>Table2[[#This Row],[Course Length (Hours)]]/(SUM(Table2[[#This Row],[1]:[2]]))</f>
        <v>1</v>
      </c>
      <c r="AL174" s="638">
        <v>999</v>
      </c>
      <c r="AM174" s="363">
        <v>2</v>
      </c>
      <c r="AN174" s="363" t="str">
        <f>VLOOKUP(Table2[[#This Row],[Course Title]],'TSD-Data'!$A$1:$G$80,7,FALSE)</f>
        <v>N8</v>
      </c>
    </row>
    <row r="175" spans="2:40" s="428" customFormat="1" ht="15" customHeight="1" x14ac:dyDescent="0.25">
      <c r="B175" s="315"/>
      <c r="C175" s="94" t="s">
        <v>80</v>
      </c>
      <c r="D175" s="70" t="str">
        <f>VLOOKUP(Table2[[#This Row],[Course Title]],'TSD-Data'!$A$1:$E$80,2,FALSE)</f>
        <v>A-493-0083</v>
      </c>
      <c r="E175" s="70" t="str">
        <f>VLOOKUP(Table2[[#This Row],[Course Title]],'TSD-Data'!$A$1:$E$80,3,FALSE)</f>
        <v>339E</v>
      </c>
      <c r="F175" s="94" t="s">
        <v>328</v>
      </c>
      <c r="G175" s="72">
        <v>46038</v>
      </c>
      <c r="H175" s="72">
        <v>46038</v>
      </c>
      <c r="I175" s="317" t="s">
        <v>163</v>
      </c>
      <c r="J175" s="318">
        <v>0.33333333333333331</v>
      </c>
      <c r="K175" s="345"/>
      <c r="L175" s="344"/>
      <c r="M175" s="344"/>
      <c r="N175" s="344"/>
      <c r="O175" s="344"/>
      <c r="P175" s="344"/>
      <c r="Q175" s="321" t="s">
        <v>168</v>
      </c>
      <c r="R175" s="321"/>
      <c r="S175" s="321"/>
      <c r="T175" s="316">
        <f>VLOOKUP(Table2[[#This Row],[Course Title]],'TSD-Data'!$A$1:$E$80,4,FALSE)</f>
        <v>30</v>
      </c>
      <c r="U175" s="316">
        <f>VLOOKUP(Table2[[#This Row],[Course Title]],'TSD-Data'!$A$1:$F$80,6,FALSE)</f>
        <v>8</v>
      </c>
      <c r="V175" s="323">
        <f>VLOOKUP(Table2[[#This Row],[Course Title]],'TSD-Data'!$A$1:$F$80,5,FALSE)</f>
        <v>1</v>
      </c>
      <c r="W175" s="323">
        <v>34</v>
      </c>
      <c r="X175" s="316">
        <f>Table2[[#This Row],[Quotas]]-Table2[[#This Row],[Open Quotas]]</f>
        <v>26</v>
      </c>
      <c r="Y175" s="316"/>
      <c r="Z175" s="323"/>
      <c r="AA175" s="323"/>
      <c r="AB175" s="363"/>
      <c r="AC175" s="363"/>
      <c r="AD175" s="316"/>
      <c r="AE175" s="316"/>
      <c r="AF175" s="323">
        <f ca="1">Table2[[#This Row],[End Date]]+2-TODAY()</f>
        <v>33</v>
      </c>
      <c r="AG175" s="316">
        <f>IF(ISBLANK(Table2[[#This Row],[Roster Received by]]),1,0)</f>
        <v>1</v>
      </c>
      <c r="AH175" s="316">
        <f ca="1">IF(Table2[[#This Row],[Start Date]]&gt;TODAY(),1,)</f>
        <v>1</v>
      </c>
      <c r="AI175" s="316">
        <f>IF(ISBLANK(Table2[[#This Row],[Primary Instructor]]),0,1)</f>
        <v>1</v>
      </c>
      <c r="AJ175" s="316">
        <f>IF(ISBLANK(Table2[[#This Row],[Instructor 2]]),0,1)</f>
        <v>0</v>
      </c>
      <c r="AK175" s="316">
        <f>Table2[[#This Row],[Course Length (Hours)]]/(SUM(Table2[[#This Row],[1]:[2]]))</f>
        <v>8</v>
      </c>
      <c r="AL175" s="638">
        <v>4</v>
      </c>
      <c r="AM175" s="433">
        <v>2</v>
      </c>
      <c r="AN175" s="363" t="str">
        <f>VLOOKUP(Table2[[#This Row],[Course Title]],'TSD-Data'!$A$1:$G$80,7,FALSE)</f>
        <v>N4</v>
      </c>
    </row>
    <row r="176" spans="2:40" s="428" customFormat="1" ht="15" customHeight="1" x14ac:dyDescent="0.25">
      <c r="B176" s="315"/>
      <c r="C176" s="364" t="s">
        <v>391</v>
      </c>
      <c r="D176" s="363" t="str">
        <f>VLOOKUP(Table2[[#This Row],[Course Title]],'TSD-Data'!$A$1:$E$80,2,FALSE)</f>
        <v>A-493-3005</v>
      </c>
      <c r="E176" s="363" t="str">
        <f>VLOOKUP(Table2[[#This Row],[Course Title]],'TSD-Data'!$A$1:$E$80,3,FALSE)</f>
        <v>31V7</v>
      </c>
      <c r="F176" s="364" t="s">
        <v>25</v>
      </c>
      <c r="G176" s="344">
        <v>46038</v>
      </c>
      <c r="H176" s="344">
        <v>46038</v>
      </c>
      <c r="I176" s="317" t="s">
        <v>163</v>
      </c>
      <c r="J176" s="318"/>
      <c r="K176" s="318">
        <v>0.48958333333333331</v>
      </c>
      <c r="L176" s="345">
        <v>0.36458333333333331</v>
      </c>
      <c r="M176" s="318">
        <v>0.82291666666666663</v>
      </c>
      <c r="N176" s="318">
        <v>0.73958333333333337</v>
      </c>
      <c r="O176" s="318">
        <v>0.28125</v>
      </c>
      <c r="P176" s="318">
        <v>7.2916666666666671E-2</v>
      </c>
      <c r="Q176" s="321" t="s">
        <v>439</v>
      </c>
      <c r="R176" s="321"/>
      <c r="S176" s="321"/>
      <c r="T176" s="363">
        <f>VLOOKUP(Table2[[#This Row],[Course Title]],'TSD-Data'!$A$1:$E$80,4,FALSE)</f>
        <v>1000</v>
      </c>
      <c r="U176" s="363">
        <f>VLOOKUP(Table2[[#This Row],[Course Title]],'TSD-Data'!$A$1:$F$80,6,FALSE)</f>
        <v>2</v>
      </c>
      <c r="V176" s="323">
        <f>VLOOKUP(Table2[[#This Row],[Course Title]],'TSD-Data'!$A$1:$F$80,5,FALSE)</f>
        <v>0.25</v>
      </c>
      <c r="W176" s="323"/>
      <c r="X176" s="316">
        <f>Table2[[#This Row],[Quotas]]-Table2[[#This Row],[Open Quotas]]</f>
        <v>1</v>
      </c>
      <c r="Y176" s="316">
        <v>0</v>
      </c>
      <c r="Z176" s="323"/>
      <c r="AA176" s="323"/>
      <c r="AB176" s="363"/>
      <c r="AC176" s="363"/>
      <c r="AD176" s="316"/>
      <c r="AE176" s="316"/>
      <c r="AF176" s="323">
        <f ca="1">Table2[[#This Row],[End Date]]+2-TODAY()</f>
        <v>33</v>
      </c>
      <c r="AG176" s="363">
        <f>IF(ISBLANK(Table2[[#This Row],[Roster Received by]]),1,0)</f>
        <v>1</v>
      </c>
      <c r="AH176" s="363">
        <f ca="1">IF(Table2[[#This Row],[Start Date]]&gt;TODAY(),1,)</f>
        <v>1</v>
      </c>
      <c r="AI176" s="363">
        <f>IF(ISBLANK(Table2[[#This Row],[Primary Instructor]]),0,1)</f>
        <v>1</v>
      </c>
      <c r="AJ176" s="363">
        <f>IF(ISBLANK(Table2[[#This Row],[Instructor 2]]),0,1)</f>
        <v>0</v>
      </c>
      <c r="AK176" s="363">
        <f>Table2[[#This Row],[Course Length (Hours)]]/(SUM(Table2[[#This Row],[1]:[2]]))</f>
        <v>2</v>
      </c>
      <c r="AL176" s="638">
        <v>999</v>
      </c>
      <c r="AM176" s="363">
        <v>2</v>
      </c>
      <c r="AN176" s="363" t="str">
        <f>VLOOKUP(Table2[[#This Row],[Course Title]],'TSD-Data'!$A$1:$G$80,7,FALSE)</f>
        <v>N8</v>
      </c>
    </row>
    <row r="177" spans="2:40" s="428" customFormat="1" ht="15" customHeight="1" x14ac:dyDescent="0.25">
      <c r="B177" s="315"/>
      <c r="C177" s="364" t="s">
        <v>396</v>
      </c>
      <c r="D177" s="363" t="str">
        <f>VLOOKUP(Table2[[#This Row],[Course Title]],'TSD-Data'!$A$1:$E$80,2,FALSE)</f>
        <v>A-493-3017</v>
      </c>
      <c r="E177" s="363" t="str">
        <f>VLOOKUP(Table2[[#This Row],[Course Title]],'TSD-Data'!$A$1:$E$80,3,FALSE)</f>
        <v>31YL</v>
      </c>
      <c r="F177" s="364" t="s">
        <v>25</v>
      </c>
      <c r="G177" s="344">
        <v>46038</v>
      </c>
      <c r="H177" s="344">
        <v>46038</v>
      </c>
      <c r="I177" s="317" t="s">
        <v>163</v>
      </c>
      <c r="J177" s="318"/>
      <c r="K177" s="318">
        <v>0.53125</v>
      </c>
      <c r="L177" s="345">
        <v>0.40625</v>
      </c>
      <c r="M177" s="318">
        <v>0.86458333333333337</v>
      </c>
      <c r="N177" s="318">
        <v>0.78125</v>
      </c>
      <c r="O177" s="318">
        <v>0.32291666666666669</v>
      </c>
      <c r="P177" s="318">
        <v>0.11458333333333333</v>
      </c>
      <c r="Q177" s="321" t="s">
        <v>439</v>
      </c>
      <c r="R177" s="321"/>
      <c r="S177" s="321"/>
      <c r="T177" s="363">
        <f>VLOOKUP(Table2[[#This Row],[Course Title]],'TSD-Data'!$A$1:$E$80,4,FALSE)</f>
        <v>1000</v>
      </c>
      <c r="U177" s="363">
        <f>VLOOKUP(Table2[[#This Row],[Course Title]],'TSD-Data'!$A$1:$F$80,6,FALSE)</f>
        <v>2.5</v>
      </c>
      <c r="V177" s="323">
        <f>VLOOKUP(Table2[[#This Row],[Course Title]],'TSD-Data'!$A$1:$F$80,5,FALSE)</f>
        <v>0.3</v>
      </c>
      <c r="W177" s="323"/>
      <c r="X177" s="316">
        <f>Table2[[#This Row],[Quotas]]-Table2[[#This Row],[Open Quotas]]</f>
        <v>1</v>
      </c>
      <c r="Y177" s="316">
        <v>0</v>
      </c>
      <c r="Z177" s="323"/>
      <c r="AA177" s="323"/>
      <c r="AB177" s="363"/>
      <c r="AC177" s="363"/>
      <c r="AD177" s="316"/>
      <c r="AE177" s="316"/>
      <c r="AF177" s="323">
        <f ca="1">Table2[[#This Row],[End Date]]+2-TODAY()</f>
        <v>33</v>
      </c>
      <c r="AG177" s="363">
        <f>IF(ISBLANK(Table2[[#This Row],[Roster Received by]]),1,0)</f>
        <v>1</v>
      </c>
      <c r="AH177" s="363">
        <f ca="1">IF(Table2[[#This Row],[Start Date]]&gt;TODAY(),1,)</f>
        <v>1</v>
      </c>
      <c r="AI177" s="363">
        <f>IF(ISBLANK(Table2[[#This Row],[Primary Instructor]]),0,1)</f>
        <v>1</v>
      </c>
      <c r="AJ177" s="363">
        <f>IF(ISBLANK(Table2[[#This Row],[Instructor 2]]),0,1)</f>
        <v>0</v>
      </c>
      <c r="AK177" s="363">
        <f>Table2[[#This Row],[Course Length (Hours)]]/(SUM(Table2[[#This Row],[1]:[2]]))</f>
        <v>2.5</v>
      </c>
      <c r="AL177" s="638">
        <v>999</v>
      </c>
      <c r="AM177" s="363">
        <v>2</v>
      </c>
      <c r="AN177" s="363" t="str">
        <f>VLOOKUP(Table2[[#This Row],[Course Title]],'TSD-Data'!$A$1:$G$80,7,FALSE)</f>
        <v>N8</v>
      </c>
    </row>
    <row r="178" spans="2:40" s="428" customFormat="1" ht="15" customHeight="1" x14ac:dyDescent="0.25">
      <c r="B178" s="315"/>
      <c r="C178" s="364" t="s">
        <v>402</v>
      </c>
      <c r="D178" s="363" t="str">
        <f>VLOOKUP(Table2[[#This Row],[Course Title]],'TSD-Data'!$A$1:$E$80,2,FALSE)</f>
        <v>A-493-3008</v>
      </c>
      <c r="E178" s="363" t="str">
        <f>VLOOKUP(Table2[[#This Row],[Course Title]],'TSD-Data'!$A$1:$E$80,3,FALSE)</f>
        <v>31VA</v>
      </c>
      <c r="F178" s="364" t="s">
        <v>25</v>
      </c>
      <c r="G178" s="344">
        <v>46038</v>
      </c>
      <c r="H178" s="344">
        <v>46038</v>
      </c>
      <c r="I178" s="317" t="s">
        <v>163</v>
      </c>
      <c r="J178" s="318"/>
      <c r="K178" s="318">
        <v>0.375</v>
      </c>
      <c r="L178" s="345">
        <v>0.25</v>
      </c>
      <c r="M178" s="318">
        <v>0.70833333333333337</v>
      </c>
      <c r="N178" s="318">
        <v>0.625</v>
      </c>
      <c r="O178" s="318">
        <v>0.16666666666666666</v>
      </c>
      <c r="P178" s="318">
        <v>0.95833333333333337</v>
      </c>
      <c r="Q178" s="321" t="s">
        <v>439</v>
      </c>
      <c r="R178" s="321"/>
      <c r="S178" s="321"/>
      <c r="T178" s="363">
        <f>VLOOKUP(Table2[[#This Row],[Course Title]],'TSD-Data'!$A$1:$E$80,4,FALSE)</f>
        <v>1000</v>
      </c>
      <c r="U178" s="363">
        <f>VLOOKUP(Table2[[#This Row],[Course Title]],'TSD-Data'!$A$1:$F$80,6,FALSE)</f>
        <v>1</v>
      </c>
      <c r="V178" s="323">
        <f>VLOOKUP(Table2[[#This Row],[Course Title]],'TSD-Data'!$A$1:$F$80,5,FALSE)</f>
        <v>0.1</v>
      </c>
      <c r="W178" s="323"/>
      <c r="X178" s="316">
        <f>Table2[[#This Row],[Quotas]]-Table2[[#This Row],[Open Quotas]]</f>
        <v>1</v>
      </c>
      <c r="Y178" s="316">
        <v>0</v>
      </c>
      <c r="Z178" s="323"/>
      <c r="AA178" s="323"/>
      <c r="AB178" s="363"/>
      <c r="AC178" s="363"/>
      <c r="AD178" s="316"/>
      <c r="AE178" s="316"/>
      <c r="AF178" s="323">
        <f ca="1">Table2[[#This Row],[End Date]]+2-TODAY()</f>
        <v>33</v>
      </c>
      <c r="AG178" s="363">
        <f>IF(ISBLANK(Table2[[#This Row],[Roster Received by]]),1,0)</f>
        <v>1</v>
      </c>
      <c r="AH178" s="363">
        <f ca="1">IF(Table2[[#This Row],[Start Date]]&gt;TODAY(),1,)</f>
        <v>1</v>
      </c>
      <c r="AI178" s="363">
        <f>IF(ISBLANK(Table2[[#This Row],[Primary Instructor]]),0,1)</f>
        <v>1</v>
      </c>
      <c r="AJ178" s="363">
        <f>IF(ISBLANK(Table2[[#This Row],[Instructor 2]]),0,1)</f>
        <v>0</v>
      </c>
      <c r="AK178" s="363">
        <f>Table2[[#This Row],[Course Length (Hours)]]/(SUM(Table2[[#This Row],[1]:[2]]))</f>
        <v>1</v>
      </c>
      <c r="AL178" s="638">
        <v>999</v>
      </c>
      <c r="AM178" s="363">
        <v>2</v>
      </c>
      <c r="AN178" s="363" t="str">
        <f>VLOOKUP(Table2[[#This Row],[Course Title]],'TSD-Data'!$A$1:$G$80,7,FALSE)</f>
        <v>N8</v>
      </c>
    </row>
    <row r="179" spans="2:40" s="428" customFormat="1" ht="15" customHeight="1" x14ac:dyDescent="0.25">
      <c r="B179" s="315"/>
      <c r="C179" s="364" t="s">
        <v>405</v>
      </c>
      <c r="D179" s="363" t="str">
        <f>VLOOKUP(Table2[[#This Row],[Course Title]],'TSD-Data'!$A$1:$E$80,2,FALSE)</f>
        <v>A-493-3012</v>
      </c>
      <c r="E179" s="363" t="str">
        <f>VLOOKUP(Table2[[#This Row],[Course Title]],'TSD-Data'!$A$1:$E$80,3,FALSE)</f>
        <v>31YF</v>
      </c>
      <c r="F179" s="364" t="s">
        <v>25</v>
      </c>
      <c r="G179" s="344">
        <v>46038</v>
      </c>
      <c r="H179" s="344">
        <v>46038</v>
      </c>
      <c r="I179" s="317" t="s">
        <v>163</v>
      </c>
      <c r="J179" s="318"/>
      <c r="K179" s="318">
        <v>0.33333333333333331</v>
      </c>
      <c r="L179" s="345">
        <v>0.20833333333333334</v>
      </c>
      <c r="M179" s="318">
        <v>0.66666666666666663</v>
      </c>
      <c r="N179" s="318">
        <v>0.58333333333333337</v>
      </c>
      <c r="O179" s="318">
        <v>0.125</v>
      </c>
      <c r="P179" s="318">
        <v>0.91666666666666663</v>
      </c>
      <c r="Q179" s="321" t="s">
        <v>439</v>
      </c>
      <c r="R179" s="321"/>
      <c r="S179" s="321"/>
      <c r="T179" s="363">
        <f>VLOOKUP(Table2[[#This Row],[Course Title]],'TSD-Data'!$A$1:$E$80,4,FALSE)</f>
        <v>1000</v>
      </c>
      <c r="U179" s="363">
        <f>VLOOKUP(Table2[[#This Row],[Course Title]],'TSD-Data'!$A$1:$F$80,6,FALSE)</f>
        <v>1</v>
      </c>
      <c r="V179" s="323">
        <f>VLOOKUP(Table2[[#This Row],[Course Title]],'TSD-Data'!$A$1:$F$80,5,FALSE)</f>
        <v>0.1</v>
      </c>
      <c r="W179" s="323"/>
      <c r="X179" s="316">
        <f>Table2[[#This Row],[Quotas]]-Table2[[#This Row],[Open Quotas]]</f>
        <v>1</v>
      </c>
      <c r="Y179" s="316">
        <v>0</v>
      </c>
      <c r="Z179" s="323"/>
      <c r="AA179" s="323"/>
      <c r="AB179" s="363"/>
      <c r="AC179" s="363"/>
      <c r="AD179" s="316"/>
      <c r="AE179" s="316"/>
      <c r="AF179" s="323">
        <f ca="1">Table2[[#This Row],[End Date]]+2-TODAY()</f>
        <v>33</v>
      </c>
      <c r="AG179" s="363">
        <f>IF(ISBLANK(Table2[[#This Row],[Roster Received by]]),1,0)</f>
        <v>1</v>
      </c>
      <c r="AH179" s="363">
        <f ca="1">IF(Table2[[#This Row],[Start Date]]&gt;TODAY(),1,)</f>
        <v>1</v>
      </c>
      <c r="AI179" s="363">
        <f>IF(ISBLANK(Table2[[#This Row],[Primary Instructor]]),0,1)</f>
        <v>1</v>
      </c>
      <c r="AJ179" s="363">
        <f>IF(ISBLANK(Table2[[#This Row],[Instructor 2]]),0,1)</f>
        <v>0</v>
      </c>
      <c r="AK179" s="363">
        <f>Table2[[#This Row],[Course Length (Hours)]]/(SUM(Table2[[#This Row],[1]:[2]]))</f>
        <v>1</v>
      </c>
      <c r="AL179" s="638">
        <v>999</v>
      </c>
      <c r="AM179" s="363">
        <v>2</v>
      </c>
      <c r="AN179" s="363" t="str">
        <f>VLOOKUP(Table2[[#This Row],[Course Title]],'TSD-Data'!$A$1:$G$80,7,FALSE)</f>
        <v>N8</v>
      </c>
    </row>
    <row r="180" spans="2:40" s="428" customFormat="1" ht="15" customHeight="1" x14ac:dyDescent="0.25">
      <c r="B180" s="315"/>
      <c r="C180" s="364" t="s">
        <v>406</v>
      </c>
      <c r="D180" s="363" t="str">
        <f>VLOOKUP(Table2[[#This Row],[Course Title]],'TSD-Data'!$A$1:$E$80,2,FALSE)</f>
        <v>A-493-3009</v>
      </c>
      <c r="E180" s="363" t="str">
        <f>VLOOKUP(Table2[[#This Row],[Course Title]],'TSD-Data'!$A$1:$E$80,3,FALSE)</f>
        <v>31VB</v>
      </c>
      <c r="F180" s="364" t="s">
        <v>25</v>
      </c>
      <c r="G180" s="344">
        <v>46038</v>
      </c>
      <c r="H180" s="344">
        <v>46038</v>
      </c>
      <c r="I180" s="317" t="s">
        <v>163</v>
      </c>
      <c r="J180" s="318"/>
      <c r="K180" s="318">
        <v>0.4375</v>
      </c>
      <c r="L180" s="345">
        <v>0.3125</v>
      </c>
      <c r="M180" s="318">
        <v>0.77083333333333337</v>
      </c>
      <c r="N180" s="318">
        <v>0.6875</v>
      </c>
      <c r="O180" s="318">
        <v>0.22916666666666666</v>
      </c>
      <c r="P180" s="318">
        <v>2.0833333333333332E-2</v>
      </c>
      <c r="Q180" s="321" t="s">
        <v>439</v>
      </c>
      <c r="R180" s="321"/>
      <c r="S180" s="321"/>
      <c r="T180" s="363">
        <f>VLOOKUP(Table2[[#This Row],[Course Title]],'TSD-Data'!$A$1:$E$80,4,FALSE)</f>
        <v>1000</v>
      </c>
      <c r="U180" s="363">
        <f>VLOOKUP(Table2[[#This Row],[Course Title]],'TSD-Data'!$A$1:$F$80,6,FALSE)</f>
        <v>1</v>
      </c>
      <c r="V180" s="323">
        <f>VLOOKUP(Table2[[#This Row],[Course Title]],'TSD-Data'!$A$1:$F$80,5,FALSE)</f>
        <v>0.1</v>
      </c>
      <c r="W180" s="323"/>
      <c r="X180" s="316">
        <f>Table2[[#This Row],[Quotas]]-Table2[[#This Row],[Open Quotas]]</f>
        <v>1</v>
      </c>
      <c r="Y180" s="316">
        <v>0</v>
      </c>
      <c r="Z180" s="323"/>
      <c r="AA180" s="323"/>
      <c r="AB180" s="363"/>
      <c r="AC180" s="363"/>
      <c r="AD180" s="316"/>
      <c r="AE180" s="316"/>
      <c r="AF180" s="323">
        <f ca="1">Table2[[#This Row],[End Date]]+2-TODAY()</f>
        <v>33</v>
      </c>
      <c r="AG180" s="363">
        <f>IF(ISBLANK(Table2[[#This Row],[Roster Received by]]),1,0)</f>
        <v>1</v>
      </c>
      <c r="AH180" s="363">
        <f ca="1">IF(Table2[[#This Row],[Start Date]]&gt;TODAY(),1,)</f>
        <v>1</v>
      </c>
      <c r="AI180" s="363">
        <f>IF(ISBLANK(Table2[[#This Row],[Primary Instructor]]),0,1)</f>
        <v>1</v>
      </c>
      <c r="AJ180" s="363">
        <f>IF(ISBLANK(Table2[[#This Row],[Instructor 2]]),0,1)</f>
        <v>0</v>
      </c>
      <c r="AK180" s="363">
        <f>Table2[[#This Row],[Course Length (Hours)]]/(SUM(Table2[[#This Row],[1]:[2]]))</f>
        <v>1</v>
      </c>
      <c r="AL180" s="638">
        <v>999</v>
      </c>
      <c r="AM180" s="363">
        <v>2</v>
      </c>
      <c r="AN180" s="363" t="str">
        <f>VLOOKUP(Table2[[#This Row],[Course Title]],'TSD-Data'!$A$1:$G$80,7,FALSE)</f>
        <v>N8</v>
      </c>
    </row>
    <row r="181" spans="2:40" s="428" customFormat="1" ht="15" customHeight="1" x14ac:dyDescent="0.25">
      <c r="B181" s="432" t="s">
        <v>243</v>
      </c>
      <c r="C181" s="439" t="s">
        <v>238</v>
      </c>
      <c r="D181" s="316" t="str">
        <f>VLOOKUP(Table2[[#This Row],[Course Title]],'TSD-Data'!$A$1:$E$80,2,FALSE)</f>
        <v>Holiday</v>
      </c>
      <c r="E181" s="316" t="str">
        <f>VLOOKUP(Table2[[#This Row],[Course Title]],'TSD-Data'!$A$1:$E$80,3,FALSE)</f>
        <v>Holiday</v>
      </c>
      <c r="F181" s="439" t="s">
        <v>238</v>
      </c>
      <c r="G181" s="344">
        <v>46041</v>
      </c>
      <c r="H181" s="344">
        <v>46041</v>
      </c>
      <c r="I181" s="317" t="s">
        <v>433</v>
      </c>
      <c r="J181" s="433"/>
      <c r="K181" s="433"/>
      <c r="L181" s="433"/>
      <c r="M181" s="433"/>
      <c r="N181" s="433"/>
      <c r="O181" s="433"/>
      <c r="P181" s="433"/>
      <c r="Q181" s="435" t="s">
        <v>434</v>
      </c>
      <c r="R181" s="435"/>
      <c r="S181" s="435"/>
      <c r="T181" s="316">
        <f>VLOOKUP(Table2[[#This Row],[Course Title]],'TSD-Data'!$A$1:$E$80,4,FALSE)</f>
        <v>0</v>
      </c>
      <c r="U181" s="316">
        <f>VLOOKUP(Table2[[#This Row],[Course Title]],'TSD-Data'!$A$1:$F$80,6,FALSE)</f>
        <v>0</v>
      </c>
      <c r="V181" s="323">
        <f>VLOOKUP(Table2[[#This Row],[Course Title]],'TSD-Data'!$A$1:$F$80,5,FALSE)</f>
        <v>0</v>
      </c>
      <c r="W181" s="436">
        <v>0</v>
      </c>
      <c r="X181" s="316">
        <f>Table2[[#This Row],[Quotas]]-Table2[[#This Row],[Open Quotas]]</f>
        <v>0</v>
      </c>
      <c r="Y181" s="433">
        <v>0</v>
      </c>
      <c r="Z181" s="433">
        <v>0</v>
      </c>
      <c r="AA181" s="433">
        <v>0</v>
      </c>
      <c r="AB181" s="433">
        <v>0</v>
      </c>
      <c r="AC181" s="433">
        <v>0</v>
      </c>
      <c r="AD181" s="433">
        <v>0</v>
      </c>
      <c r="AE181" s="433" t="s">
        <v>435</v>
      </c>
      <c r="AF181" s="323">
        <f ca="1">Table2[[#This Row],[End Date]]+2-TODAY()</f>
        <v>36</v>
      </c>
      <c r="AG181" s="316">
        <f>IF(ISBLANK(Table2[[#This Row],[Roster Received by]]),1,0)</f>
        <v>0</v>
      </c>
      <c r="AH181" s="316">
        <f ca="1">IF(Table2[[#This Row],[Start Date]]&gt;TODAY(),1,)</f>
        <v>1</v>
      </c>
      <c r="AI181" s="316">
        <f>IF(ISBLANK(Table2[[#This Row],[Primary Instructor]]),0,1)</f>
        <v>1</v>
      </c>
      <c r="AJ181" s="316">
        <f>IF(ISBLANK(Table2[[#This Row],[Instructor 2]]),0,1)</f>
        <v>0</v>
      </c>
      <c r="AK181" s="316">
        <f>Table2[[#This Row],[Course Length (Hours)]]/(SUM(Table2[[#This Row],[1]:[2]]))</f>
        <v>0</v>
      </c>
      <c r="AL181" s="639">
        <v>0</v>
      </c>
      <c r="AM181" s="433">
        <v>2</v>
      </c>
      <c r="AN181" s="363" t="str">
        <f>VLOOKUP(Table2[[#This Row],[Course Title]],'TSD-Data'!$A$1:$G$80,7,FALSE)</f>
        <v>TSD</v>
      </c>
    </row>
    <row r="182" spans="2:40" s="428" customFormat="1" ht="15" customHeight="1" x14ac:dyDescent="0.25">
      <c r="B182" s="315" t="s">
        <v>455</v>
      </c>
      <c r="C182" s="364" t="s">
        <v>456</v>
      </c>
      <c r="D182" s="685" t="str">
        <f>VLOOKUP(Table2[[#This Row],[Course Title]],'TSD-Data'!$A$1:$E$80,2,FALSE)</f>
        <v>Reserved</v>
      </c>
      <c r="E182" s="685" t="str">
        <f>VLOOKUP(Table2[[#This Row],[Course Title]],'TSD-Data'!$A$1:$E$80,3,FALSE)</f>
        <v xml:space="preserve">Reserved </v>
      </c>
      <c r="F182" s="364" t="s">
        <v>173</v>
      </c>
      <c r="G182" s="344">
        <v>46042</v>
      </c>
      <c r="H182" s="344">
        <v>46059</v>
      </c>
      <c r="I182" s="317" t="s">
        <v>433</v>
      </c>
      <c r="J182" s="318"/>
      <c r="K182" s="345"/>
      <c r="L182" s="344"/>
      <c r="M182" s="344"/>
      <c r="N182" s="344"/>
      <c r="O182" s="344"/>
      <c r="P182" s="344"/>
      <c r="Q182" s="321"/>
      <c r="R182" s="321"/>
      <c r="S182" s="321"/>
      <c r="T182" s="363">
        <f>VLOOKUP(Table2[[#This Row],[Course Title]],'TSD-Data'!$A$1:$E$80,4,FALSE)</f>
        <v>0</v>
      </c>
      <c r="U182" s="363">
        <f>VLOOKUP(Table2[[#This Row],[Course Title]],'TSD-Data'!$A$1:$F$80,6,FALSE)</f>
        <v>0</v>
      </c>
      <c r="V182" s="323">
        <f>VLOOKUP(Table2[[#This Row],[Course Title]],'TSD-Data'!$A$1:$F$80,5,FALSE)</f>
        <v>0</v>
      </c>
      <c r="W182" s="323">
        <v>0</v>
      </c>
      <c r="X182" s="316">
        <v>0</v>
      </c>
      <c r="Y182" s="316">
        <v>0</v>
      </c>
      <c r="Z182" s="323">
        <v>0</v>
      </c>
      <c r="AA182" s="323">
        <v>0</v>
      </c>
      <c r="AB182" s="363">
        <v>0</v>
      </c>
      <c r="AC182" s="363">
        <v>0</v>
      </c>
      <c r="AD182" s="316">
        <v>0</v>
      </c>
      <c r="AE182" s="316" t="s">
        <v>435</v>
      </c>
      <c r="AF182" s="323">
        <f ca="1">Table2[[#This Row],[End Date]]+2-TODAY()</f>
        <v>54</v>
      </c>
      <c r="AG182" s="363">
        <f>IF(ISBLANK(Table2[[#This Row],[Roster Received by]]),1,0)</f>
        <v>0</v>
      </c>
      <c r="AH182" s="363">
        <f ca="1">IF(Table2[[#This Row],[Start Date]]&gt;TODAY(),1,)</f>
        <v>1</v>
      </c>
      <c r="AI182" s="363">
        <f>IF(ISBLANK(Table2[[#This Row],[Primary Instructor]]),0,1)</f>
        <v>0</v>
      </c>
      <c r="AJ182" s="363">
        <f>IF(ISBLANK(Table2[[#This Row],[Instructor 2]]),0,1)</f>
        <v>0</v>
      </c>
      <c r="AK182" s="363" t="e">
        <f>Table2[[#This Row],[Course Length (Hours)]]/(SUM(Table2[[#This Row],[1]:[2]]))</f>
        <v>#DIV/0!</v>
      </c>
      <c r="AL182" s="638"/>
      <c r="AM182" s="363"/>
      <c r="AN182" s="363" t="str">
        <f>VLOOKUP(Table2[[#This Row],[Course Title]],'TSD-Data'!$A$1:$G$80,7,FALSE)</f>
        <v>TSD</v>
      </c>
    </row>
    <row r="183" spans="2:40" s="428" customFormat="1" ht="15" customHeight="1" x14ac:dyDescent="0.25">
      <c r="B183" s="364" t="s">
        <v>457</v>
      </c>
      <c r="C183" s="94" t="s">
        <v>63</v>
      </c>
      <c r="D183" s="70" t="str">
        <f>VLOOKUP(Table2[[#This Row],[Course Title]],'TSD-Data'!$A$1:$E$80,2,FALSE)</f>
        <v>A-493-0013</v>
      </c>
      <c r="E183" s="70">
        <f>VLOOKUP(Table2[[#This Row],[Course Title]],'TSD-Data'!$A$1:$E$80,3,FALSE)</f>
        <v>3683</v>
      </c>
      <c r="F183" s="94" t="s">
        <v>314</v>
      </c>
      <c r="G183" s="72">
        <v>46042</v>
      </c>
      <c r="H183" s="72">
        <v>46044</v>
      </c>
      <c r="I183" s="317" t="s">
        <v>163</v>
      </c>
      <c r="J183" s="318">
        <v>0.33333333333333331</v>
      </c>
      <c r="K183" s="345"/>
      <c r="L183" s="344"/>
      <c r="M183" s="344"/>
      <c r="N183" s="344"/>
      <c r="O183" s="344"/>
      <c r="P183" s="344"/>
      <c r="Q183" s="321" t="s">
        <v>453</v>
      </c>
      <c r="R183" s="321"/>
      <c r="S183" s="321"/>
      <c r="T183" s="316">
        <f>VLOOKUP(Table2[[#This Row],[Course Title]],'TSD-Data'!$A$1:$E$80,4,FALSE)</f>
        <v>40</v>
      </c>
      <c r="U183" s="316">
        <f>VLOOKUP(Table2[[#This Row],[Course Title]],'TSD-Data'!$A$1:$F$80,6,FALSE)</f>
        <v>24</v>
      </c>
      <c r="V183" s="323">
        <f>VLOOKUP(Table2[[#This Row],[Course Title]],'TSD-Data'!$A$1:$F$80,5,FALSE)</f>
        <v>3</v>
      </c>
      <c r="W183" s="323">
        <v>20</v>
      </c>
      <c r="X183" s="316">
        <f>Table2[[#This Row],[Quotas]]-Table2[[#This Row],[Open Quotas]]</f>
        <v>18</v>
      </c>
      <c r="Y183" s="316"/>
      <c r="Z183" s="323"/>
      <c r="AA183" s="323"/>
      <c r="AB183" s="363"/>
      <c r="AC183" s="363"/>
      <c r="AD183" s="316"/>
      <c r="AE183" s="316"/>
      <c r="AF183" s="323">
        <f ca="1">Table2[[#This Row],[End Date]]+2-TODAY()</f>
        <v>39</v>
      </c>
      <c r="AG183" s="316">
        <f>IF(ISBLANK(Table2[[#This Row],[Roster Received by]]),1,0)</f>
        <v>1</v>
      </c>
      <c r="AH183" s="316">
        <f ca="1">IF(Table2[[#This Row],[Start Date]]&gt;TODAY(),1,)</f>
        <v>1</v>
      </c>
      <c r="AI183" s="316">
        <f>IF(ISBLANK(Table2[[#This Row],[Primary Instructor]]),0,1)</f>
        <v>1</v>
      </c>
      <c r="AJ183" s="316">
        <f>IF(ISBLANK(Table2[[#This Row],[Instructor 2]]),0,1)</f>
        <v>0</v>
      </c>
      <c r="AK183" s="316">
        <f>Table2[[#This Row],[Course Length (Hours)]]/(SUM(Table2[[#This Row],[1]:[2]]))</f>
        <v>24</v>
      </c>
      <c r="AL183" s="638">
        <v>22</v>
      </c>
      <c r="AM183" s="433">
        <v>2</v>
      </c>
      <c r="AN183" s="363" t="str">
        <f>VLOOKUP(Table2[[#This Row],[Course Title]],'TSD-Data'!$A$1:$G$80,7,FALSE)</f>
        <v>N4</v>
      </c>
    </row>
    <row r="184" spans="2:40" s="428" customFormat="1" ht="15" customHeight="1" x14ac:dyDescent="0.25">
      <c r="B184" s="315"/>
      <c r="C184" s="439" t="s">
        <v>94</v>
      </c>
      <c r="D184" s="316" t="str">
        <f>VLOOKUP(Table2[[#This Row],[Course Title]],'TSD-Data'!$A$1:$E$80,2,FALSE)</f>
        <v>A-493-0331</v>
      </c>
      <c r="E184" s="316" t="str">
        <f>VLOOKUP(Table2[[#This Row],[Course Title]],'TSD-Data'!$A$1:$E$80,3,FALSE)</f>
        <v>10UG</v>
      </c>
      <c r="F184" s="364" t="s">
        <v>25</v>
      </c>
      <c r="G184" s="344">
        <v>46042</v>
      </c>
      <c r="H184" s="344">
        <v>46044</v>
      </c>
      <c r="I184" s="317" t="s">
        <v>163</v>
      </c>
      <c r="J184" s="318"/>
      <c r="K184" s="318">
        <v>0.33333333333333331</v>
      </c>
      <c r="L184" s="345">
        <v>0.20833333333333334</v>
      </c>
      <c r="M184" s="433">
        <v>1600</v>
      </c>
      <c r="N184" s="433">
        <v>1400</v>
      </c>
      <c r="O184" s="318">
        <v>0.125</v>
      </c>
      <c r="P184" s="433">
        <v>2200</v>
      </c>
      <c r="Q184" s="321" t="s">
        <v>436</v>
      </c>
      <c r="R184" s="321"/>
      <c r="S184" s="321"/>
      <c r="T184" s="316">
        <f>VLOOKUP(Table2[[#This Row],[Course Title]],'TSD-Data'!$A$1:$E$80,4,FALSE)</f>
        <v>45</v>
      </c>
      <c r="U184" s="316">
        <f>VLOOKUP(Table2[[#This Row],[Course Title]],'TSD-Data'!$A$1:$F$80,6,FALSE)</f>
        <v>24</v>
      </c>
      <c r="V184" s="323">
        <f>VLOOKUP(Table2[[#This Row],[Course Title]],'TSD-Data'!$A$1:$F$80,5,FALSE)</f>
        <v>3</v>
      </c>
      <c r="W184" s="323">
        <v>470</v>
      </c>
      <c r="X184" s="316">
        <f>Table2[[#This Row],[Quotas]]-Table2[[#This Row],[Open Quotas]]</f>
        <v>45</v>
      </c>
      <c r="Y184" s="316">
        <v>5</v>
      </c>
      <c r="Z184" s="323"/>
      <c r="AA184" s="323"/>
      <c r="AB184" s="316"/>
      <c r="AC184" s="316"/>
      <c r="AD184" s="316"/>
      <c r="AE184" s="316"/>
      <c r="AF184" s="323">
        <f ca="1">Table2[[#This Row],[End Date]]+2-TODAY()</f>
        <v>39</v>
      </c>
      <c r="AG184" s="316">
        <f>IF(ISBLANK(Table2[[#This Row],[Roster Received by]]),1,0)</f>
        <v>1</v>
      </c>
      <c r="AH184" s="316">
        <f ca="1">IF(Table2[[#This Row],[Start Date]]&gt;TODAY(),1,)</f>
        <v>1</v>
      </c>
      <c r="AI184" s="316">
        <f>IF(ISBLANK(Table2[[#This Row],[Primary Instructor]]),0,1)</f>
        <v>1</v>
      </c>
      <c r="AJ184" s="316">
        <f>IF(ISBLANK(Table2[[#This Row],[Instructor 2]]),0,1)</f>
        <v>0</v>
      </c>
      <c r="AK184" s="316">
        <f>Table2[[#This Row],[Course Length (Hours)]]/(SUM(Table2[[#This Row],[1]:[2]]))</f>
        <v>24</v>
      </c>
      <c r="AL184" s="124">
        <v>0</v>
      </c>
      <c r="AM184" s="433">
        <v>2</v>
      </c>
      <c r="AN184" s="363" t="str">
        <f>VLOOKUP(Table2[[#This Row],[Course Title]],'TSD-Data'!$A$1:$G$80,7,FALSE)</f>
        <v>N3</v>
      </c>
    </row>
    <row r="185" spans="2:40" s="428" customFormat="1" ht="15" customHeight="1" x14ac:dyDescent="0.25">
      <c r="B185" s="315"/>
      <c r="C185" s="364" t="s">
        <v>97</v>
      </c>
      <c r="D185" s="421" t="str">
        <f>VLOOKUP(Table2[[#This Row],[Course Title]],'TSD-Data'!$A$1:$E$80,2,FALSE)</f>
        <v>A-493-0335</v>
      </c>
      <c r="E185" s="421" t="str">
        <f>VLOOKUP(Table2[[#This Row],[Course Title]],'TSD-Data'!$A$1:$E$80,3,FALSE)</f>
        <v>09ND</v>
      </c>
      <c r="F185" s="364" t="s">
        <v>25</v>
      </c>
      <c r="G185" s="344">
        <v>46042</v>
      </c>
      <c r="H185" s="344">
        <v>46045</v>
      </c>
      <c r="I185" s="317" t="s">
        <v>163</v>
      </c>
      <c r="J185" s="318"/>
      <c r="K185" s="318">
        <v>0.33333333333333331</v>
      </c>
      <c r="L185" s="318">
        <v>0.20833333333333334</v>
      </c>
      <c r="M185" s="433">
        <v>1600</v>
      </c>
      <c r="N185" s="433">
        <v>1400</v>
      </c>
      <c r="O185" s="318">
        <v>0.125</v>
      </c>
      <c r="P185" s="433">
        <v>2200</v>
      </c>
      <c r="Q185" s="321" t="s">
        <v>445</v>
      </c>
      <c r="R185" s="321"/>
      <c r="S185" s="321"/>
      <c r="T185" s="316">
        <f>VLOOKUP(Table2[[#This Row],[Course Title]],'TSD-Data'!$A$1:$E$80,4,FALSE)</f>
        <v>45</v>
      </c>
      <c r="U185" s="316">
        <f>VLOOKUP(Table2[[#This Row],[Course Title]],'TSD-Data'!$A$1:$F$80,6,FALSE)</f>
        <v>32</v>
      </c>
      <c r="V185" s="323">
        <f>VLOOKUP(Table2[[#This Row],[Course Title]],'TSD-Data'!$A$1:$F$80,5,FALSE)</f>
        <v>4</v>
      </c>
      <c r="W185" s="323">
        <v>301</v>
      </c>
      <c r="X185" s="316">
        <f>Table2[[#This Row],[Quotas]]-Table2[[#This Row],[Open Quotas]]</f>
        <v>16</v>
      </c>
      <c r="Y185" s="316">
        <v>0</v>
      </c>
      <c r="Z185" s="323"/>
      <c r="AA185" s="323"/>
      <c r="AB185" s="316"/>
      <c r="AC185" s="316"/>
      <c r="AD185" s="316"/>
      <c r="AE185" s="316"/>
      <c r="AF185" s="323">
        <f ca="1">Table2[[#This Row],[End Date]]+2-TODAY()</f>
        <v>40</v>
      </c>
      <c r="AG185" s="316">
        <f>IF(ISBLANK(Table2[[#This Row],[Roster Received by]]),1,0)</f>
        <v>1</v>
      </c>
      <c r="AH185" s="316">
        <f ca="1">IF(Table2[[#This Row],[Start Date]]&gt;TODAY(),1,)</f>
        <v>1</v>
      </c>
      <c r="AI185" s="316">
        <f>IF(ISBLANK(Table2[[#This Row],[Primary Instructor]]),0,1)</f>
        <v>1</v>
      </c>
      <c r="AJ185" s="316">
        <f>IF(ISBLANK(Table2[[#This Row],[Instructor 2]]),0,1)</f>
        <v>0</v>
      </c>
      <c r="AK185" s="316">
        <f>Table2[[#This Row],[Course Length (Hours)]]/(SUM(Table2[[#This Row],[1]:[2]]))</f>
        <v>32</v>
      </c>
      <c r="AL185" s="124">
        <v>29</v>
      </c>
      <c r="AM185" s="433">
        <v>2</v>
      </c>
      <c r="AN185" s="363" t="str">
        <f>VLOOKUP(Table2[[#This Row],[Course Title]],'TSD-Data'!$A$1:$G$80,7,FALSE)</f>
        <v>N3</v>
      </c>
    </row>
    <row r="186" spans="2:40" s="428" customFormat="1" ht="15" customHeight="1" x14ac:dyDescent="0.25">
      <c r="B186" s="315"/>
      <c r="C186" s="364" t="s">
        <v>106</v>
      </c>
      <c r="D186" s="316" t="str">
        <f>VLOOKUP(Table2[[#This Row],[Course Title]],'TSD-Data'!$A$1:$E$80,2,FALSE)</f>
        <v>A-493-0078</v>
      </c>
      <c r="E186" s="316">
        <f>VLOOKUP(Table2[[#This Row],[Course Title]],'TSD-Data'!$A$1:$E$80,3,FALSE)</f>
        <v>1228</v>
      </c>
      <c r="F186" s="364" t="s">
        <v>25</v>
      </c>
      <c r="G186" s="344">
        <v>46042</v>
      </c>
      <c r="H186" s="344">
        <v>46045</v>
      </c>
      <c r="I186" s="317" t="s">
        <v>163</v>
      </c>
      <c r="J186" s="318"/>
      <c r="K186" s="345">
        <v>0.33333333333333331</v>
      </c>
      <c r="L186" s="345">
        <v>0.20833333333333334</v>
      </c>
      <c r="M186" s="434">
        <v>1600</v>
      </c>
      <c r="N186" s="434">
        <v>1400</v>
      </c>
      <c r="O186" s="345">
        <v>0.125</v>
      </c>
      <c r="P186" s="434">
        <v>2200</v>
      </c>
      <c r="Q186" s="321" t="s">
        <v>172</v>
      </c>
      <c r="R186" s="321"/>
      <c r="S186" s="321"/>
      <c r="T186" s="316">
        <f>VLOOKUP(Table2[[#This Row],[Course Title]],'TSD-Data'!$A$1:$E$80,4,FALSE)</f>
        <v>45</v>
      </c>
      <c r="U186" s="316">
        <f>VLOOKUP(Table2[[#This Row],[Course Title]],'TSD-Data'!$A$1:$F$80,6,FALSE)</f>
        <v>32</v>
      </c>
      <c r="V186" s="323">
        <f>VLOOKUP(Table2[[#This Row],[Course Title]],'TSD-Data'!$A$1:$F$80,5,FALSE)</f>
        <v>4</v>
      </c>
      <c r="W186" s="323">
        <v>454</v>
      </c>
      <c r="X186" s="316">
        <f>Table2[[#This Row],[Quotas]]-Table2[[#This Row],[Open Quotas]]</f>
        <v>29</v>
      </c>
      <c r="Y186" s="316">
        <v>0</v>
      </c>
      <c r="Z186" s="323"/>
      <c r="AA186" s="323"/>
      <c r="AB186" s="316"/>
      <c r="AC186" s="316"/>
      <c r="AD186" s="316"/>
      <c r="AE186" s="316"/>
      <c r="AF186" s="323">
        <f ca="1">Table2[[#This Row],[End Date]]+2-TODAY()</f>
        <v>40</v>
      </c>
      <c r="AG186" s="316">
        <f>IF(ISBLANK(Table2[[#This Row],[Roster Received by]]),1,0)</f>
        <v>1</v>
      </c>
      <c r="AH186" s="316">
        <f ca="1">IF(Table2[[#This Row],[Start Date]]&gt;TODAY(),1,)</f>
        <v>1</v>
      </c>
      <c r="AI186" s="316">
        <f>IF(ISBLANK(Table2[[#This Row],[Primary Instructor]]),0,1)</f>
        <v>1</v>
      </c>
      <c r="AJ186" s="316">
        <f>IF(ISBLANK(Table2[[#This Row],[Instructor 2]]),0,1)</f>
        <v>0</v>
      </c>
      <c r="AK186" s="316">
        <f>Table2[[#This Row],[Course Length (Hours)]]/(SUM(Table2[[#This Row],[1]:[2]]))</f>
        <v>32</v>
      </c>
      <c r="AL186" s="124">
        <v>16</v>
      </c>
      <c r="AM186" s="433">
        <v>2</v>
      </c>
      <c r="AN186" s="363" t="str">
        <f>VLOOKUP(Table2[[#This Row],[Course Title]],'TSD-Data'!$A$1:$G$80,7,FALSE)</f>
        <v>N5</v>
      </c>
    </row>
    <row r="187" spans="2:40" s="428" customFormat="1" ht="15" customHeight="1" x14ac:dyDescent="0.25">
      <c r="B187" s="315"/>
      <c r="C187" s="442" t="s">
        <v>92</v>
      </c>
      <c r="D187" s="421" t="str">
        <f>VLOOKUP(Table2[[#This Row],[Course Title]],'TSD-Data'!$A$1:$E$80,2,FALSE)</f>
        <v>A-493-0092</v>
      </c>
      <c r="E187" s="421">
        <f>VLOOKUP(Table2[[#This Row],[Course Title]],'TSD-Data'!$A$1:$E$80,3,FALSE)</f>
        <v>5891</v>
      </c>
      <c r="F187" s="364" t="s">
        <v>162</v>
      </c>
      <c r="G187" s="344">
        <v>46043</v>
      </c>
      <c r="H187" s="344">
        <v>46045</v>
      </c>
      <c r="I187" s="317" t="s">
        <v>163</v>
      </c>
      <c r="J187" s="318">
        <v>0.33333333333333331</v>
      </c>
      <c r="K187" s="345"/>
      <c r="L187" s="344"/>
      <c r="M187" s="344"/>
      <c r="N187" s="344"/>
      <c r="O187" s="344"/>
      <c r="P187" s="344"/>
      <c r="Q187" s="321" t="s">
        <v>175</v>
      </c>
      <c r="R187" s="321"/>
      <c r="S187" s="321"/>
      <c r="T187" s="316">
        <f>VLOOKUP(Table2[[#This Row],[Course Title]],'TSD-Data'!$A$1:$E$80,4,FALSE)</f>
        <v>25</v>
      </c>
      <c r="U187" s="316">
        <f>VLOOKUP(Table2[[#This Row],[Course Title]],'TSD-Data'!$A$1:$F$80,6,FALSE)</f>
        <v>24</v>
      </c>
      <c r="V187" s="323">
        <f>VLOOKUP(Table2[[#This Row],[Course Title]],'TSD-Data'!$A$1:$F$80,5,FALSE)</f>
        <v>3</v>
      </c>
      <c r="W187" s="323">
        <v>42</v>
      </c>
      <c r="X187" s="316">
        <f>Table2[[#This Row],[Quotas]]-Table2[[#This Row],[Open Quotas]]</f>
        <v>4</v>
      </c>
      <c r="Y187" s="316">
        <v>0</v>
      </c>
      <c r="Z187" s="323"/>
      <c r="AA187" s="323"/>
      <c r="AB187" s="316"/>
      <c r="AC187" s="316"/>
      <c r="AD187" s="316"/>
      <c r="AE187" s="316"/>
      <c r="AF187" s="323">
        <f ca="1">Table2[[#This Row],[End Date]]+2-TODAY()</f>
        <v>40</v>
      </c>
      <c r="AG187" s="316">
        <f>IF(ISBLANK(Table2[[#This Row],[Roster Received by]]),1,0)</f>
        <v>1</v>
      </c>
      <c r="AH187" s="316">
        <f ca="1">IF(Table2[[#This Row],[Start Date]]&gt;TODAY(),1,)</f>
        <v>1</v>
      </c>
      <c r="AI187" s="316">
        <f>IF(ISBLANK(Table2[[#This Row],[Primary Instructor]]),0,1)</f>
        <v>1</v>
      </c>
      <c r="AJ187" s="316">
        <f>IF(ISBLANK(Table2[[#This Row],[Instructor 2]]),0,1)</f>
        <v>0</v>
      </c>
      <c r="AK187" s="316">
        <f>Table2[[#This Row],[Course Length (Hours)]]/(SUM(Table2[[#This Row],[1]:[2]]))</f>
        <v>24</v>
      </c>
      <c r="AL187" s="124">
        <v>21</v>
      </c>
      <c r="AM187" s="316">
        <v>1</v>
      </c>
      <c r="AN187" s="363" t="str">
        <f>VLOOKUP(Table2[[#This Row],[Course Title]],'TSD-Data'!$A$1:$G$80,7,FALSE)</f>
        <v>N3</v>
      </c>
    </row>
    <row r="188" spans="2:40" s="428" customFormat="1" ht="15" customHeight="1" x14ac:dyDescent="0.25">
      <c r="B188" s="315"/>
      <c r="C188" s="364" t="s">
        <v>48</v>
      </c>
      <c r="D188" s="316" t="str">
        <f>VLOOKUP(Table2[[#This Row],[Course Title]],'TSD-Data'!$A$1:$E$80,2,FALSE)</f>
        <v>A-493-0103</v>
      </c>
      <c r="E188" s="316" t="str">
        <f>VLOOKUP(Table2[[#This Row],[Course Title]],'TSD-Data'!$A$1:$E$80,3,FALSE)</f>
        <v>12JY</v>
      </c>
      <c r="F188" s="315" t="s">
        <v>264</v>
      </c>
      <c r="G188" s="344">
        <v>46048</v>
      </c>
      <c r="H188" s="344">
        <v>46052</v>
      </c>
      <c r="I188" s="317" t="s">
        <v>163</v>
      </c>
      <c r="J188" s="318">
        <v>0.33333333333333331</v>
      </c>
      <c r="K188" s="318"/>
      <c r="L188" s="344"/>
      <c r="M188" s="317"/>
      <c r="N188" s="317"/>
      <c r="O188" s="317"/>
      <c r="P188" s="317"/>
      <c r="Q188" s="321" t="s">
        <v>275</v>
      </c>
      <c r="R188" s="321"/>
      <c r="S188" s="321"/>
      <c r="T188" s="316">
        <f>VLOOKUP(Table2[[#This Row],[Course Title]],'TSD-Data'!$A$1:$E$80,4,FALSE)</f>
        <v>25</v>
      </c>
      <c r="U188" s="316">
        <f>VLOOKUP(Table2[[#This Row],[Course Title]],'TSD-Data'!$A$1:$F$80,6,FALSE)</f>
        <v>40</v>
      </c>
      <c r="V188" s="323">
        <f>VLOOKUP(Table2[[#This Row],[Course Title]],'TSD-Data'!$A$1:$F$80,5,FALSE)</f>
        <v>5</v>
      </c>
      <c r="W188" s="323">
        <v>516</v>
      </c>
      <c r="X188" s="316">
        <f>Table2[[#This Row],[Quotas]]-Table2[[#This Row],[Open Quotas]]</f>
        <v>25</v>
      </c>
      <c r="Y188" s="316">
        <v>1</v>
      </c>
      <c r="Z188" s="323"/>
      <c r="AA188" s="323"/>
      <c r="AB188" s="316"/>
      <c r="AC188" s="316"/>
      <c r="AD188" s="316"/>
      <c r="AE188" s="316"/>
      <c r="AF188" s="323">
        <f ca="1">Table2[[#This Row],[End Date]]+2-TODAY()</f>
        <v>47</v>
      </c>
      <c r="AG188" s="316">
        <f>IF(ISBLANK(Table2[[#This Row],[Roster Received by]]),1,0)</f>
        <v>1</v>
      </c>
      <c r="AH188" s="316">
        <f ca="1">IF(Table2[[#This Row],[Start Date]]&gt;TODAY(),1,)</f>
        <v>1</v>
      </c>
      <c r="AI188" s="316">
        <f>IF(ISBLANK(Table2[[#This Row],[Primary Instructor]]),0,1)</f>
        <v>1</v>
      </c>
      <c r="AJ188" s="316">
        <f>IF(ISBLANK(Table2[[#This Row],[Instructor 2]]),0,1)</f>
        <v>0</v>
      </c>
      <c r="AK188" s="316">
        <f>Table2[[#This Row],[Course Length (Hours)]]/(SUM(Table2[[#This Row],[1]:[2]]))</f>
        <v>40</v>
      </c>
      <c r="AL188" s="124">
        <v>0</v>
      </c>
      <c r="AM188" s="433">
        <v>2</v>
      </c>
      <c r="AN188" s="363" t="str">
        <f>VLOOKUP(Table2[[#This Row],[Course Title]],'TSD-Data'!$A$1:$G$80,7,FALSE)</f>
        <v>N5</v>
      </c>
    </row>
    <row r="189" spans="2:40" s="428" customFormat="1" ht="15" customHeight="1" x14ac:dyDescent="0.25">
      <c r="B189" s="315"/>
      <c r="C189" s="364" t="s">
        <v>48</v>
      </c>
      <c r="D189" s="363" t="str">
        <f>VLOOKUP(Table2[[#This Row],[Course Title]],'TSD-Data'!$A$1:$E$80,2,FALSE)</f>
        <v>A-493-0103</v>
      </c>
      <c r="E189" s="363" t="str">
        <f>VLOOKUP(Table2[[#This Row],[Course Title]],'TSD-Data'!$A$1:$E$80,3,FALSE)</f>
        <v>12JY</v>
      </c>
      <c r="F189" s="443" t="s">
        <v>279</v>
      </c>
      <c r="G189" s="344">
        <v>46048</v>
      </c>
      <c r="H189" s="344">
        <v>46052</v>
      </c>
      <c r="I189" s="317" t="s">
        <v>163</v>
      </c>
      <c r="J189" s="318">
        <v>0.33333333333333331</v>
      </c>
      <c r="K189" s="345"/>
      <c r="L189" s="344"/>
      <c r="M189" s="344"/>
      <c r="N189" s="344"/>
      <c r="O189" s="344"/>
      <c r="P189" s="344"/>
      <c r="Q189" s="321" t="s">
        <v>275</v>
      </c>
      <c r="R189" s="321"/>
      <c r="S189" s="321"/>
      <c r="T189" s="316">
        <f>VLOOKUP(Table2[[#This Row],[Course Title]],'TSD-Data'!$A$1:$E$80,4,FALSE)</f>
        <v>25</v>
      </c>
      <c r="U189" s="316">
        <f>VLOOKUP(Table2[[#This Row],[Course Title]],'TSD-Data'!$A$1:$F$80,6,FALSE)</f>
        <v>40</v>
      </c>
      <c r="V189" s="323">
        <f>VLOOKUP(Table2[[#This Row],[Course Title]],'TSD-Data'!$A$1:$F$80,5,FALSE)</f>
        <v>5</v>
      </c>
      <c r="W189" s="323">
        <v>225</v>
      </c>
      <c r="X189" s="316">
        <f>Table2[[#This Row],[Quotas]]-Table2[[#This Row],[Open Quotas]]</f>
        <v>13</v>
      </c>
      <c r="Y189" s="316">
        <v>0</v>
      </c>
      <c r="Z189" s="323"/>
      <c r="AA189" s="323"/>
      <c r="AB189" s="363"/>
      <c r="AC189" s="363"/>
      <c r="AD189" s="316"/>
      <c r="AE189" s="316"/>
      <c r="AF189" s="323">
        <f ca="1">Table2[[#This Row],[End Date]]+2-TODAY()</f>
        <v>47</v>
      </c>
      <c r="AG189" s="316">
        <f>IF(ISBLANK(Table2[[#This Row],[Roster Received by]]),1,0)</f>
        <v>1</v>
      </c>
      <c r="AH189" s="316">
        <f ca="1">IF(Table2[[#This Row],[Start Date]]&gt;TODAY(),1,)</f>
        <v>1</v>
      </c>
      <c r="AI189" s="316">
        <f>IF(ISBLANK(Table2[[#This Row],[Primary Instructor]]),0,1)</f>
        <v>1</v>
      </c>
      <c r="AJ189" s="316">
        <f>IF(ISBLANK(Table2[[#This Row],[Instructor 2]]),0,1)</f>
        <v>0</v>
      </c>
      <c r="AK189" s="316">
        <f>Table2[[#This Row],[Course Length (Hours)]]/(SUM(Table2[[#This Row],[1]:[2]]))</f>
        <v>40</v>
      </c>
      <c r="AL189" s="638">
        <v>12</v>
      </c>
      <c r="AM189" s="433">
        <v>2</v>
      </c>
      <c r="AN189" s="363" t="str">
        <f>VLOOKUP(Table2[[#This Row],[Course Title]],'TSD-Data'!$A$1:$G$80,7,FALSE)</f>
        <v>N5</v>
      </c>
    </row>
    <row r="190" spans="2:40" s="428" customFormat="1" ht="15" customHeight="1" x14ac:dyDescent="0.25">
      <c r="B190" s="315"/>
      <c r="C190" s="364" t="s">
        <v>71</v>
      </c>
      <c r="D190" s="316" t="str">
        <f>VLOOKUP(Table2[[#This Row],[Course Title]],'TSD-Data'!$A$1:$E$80,2,FALSE)</f>
        <v>A-493-0061</v>
      </c>
      <c r="E190" s="316" t="str">
        <f>VLOOKUP(Table2[[#This Row],[Course Title]],'TSD-Data'!$A$1:$E$80,3,FALSE)</f>
        <v>288E</v>
      </c>
      <c r="F190" s="315" t="s">
        <v>25</v>
      </c>
      <c r="G190" s="344">
        <v>46048</v>
      </c>
      <c r="H190" s="344">
        <v>46051</v>
      </c>
      <c r="I190" s="317" t="s">
        <v>163</v>
      </c>
      <c r="J190" s="318"/>
      <c r="K190" s="318">
        <v>0.33333333333333331</v>
      </c>
      <c r="L190" s="345">
        <v>0.20833333333333334</v>
      </c>
      <c r="M190" s="433">
        <v>1600</v>
      </c>
      <c r="N190" s="433">
        <v>1400</v>
      </c>
      <c r="O190" s="318">
        <v>0.125</v>
      </c>
      <c r="P190" s="433">
        <v>2200</v>
      </c>
      <c r="Q190" s="321" t="s">
        <v>272</v>
      </c>
      <c r="R190" s="321"/>
      <c r="S190" s="321"/>
      <c r="T190" s="316">
        <f>VLOOKUP(Table2[[#This Row],[Course Title]],'TSD-Data'!$A$1:$E$80,4,FALSE)</f>
        <v>45</v>
      </c>
      <c r="U190" s="316">
        <f>VLOOKUP(Table2[[#This Row],[Course Title]],'TSD-Data'!$A$1:$F$80,6,FALSE)</f>
        <v>30</v>
      </c>
      <c r="V190" s="323">
        <f>VLOOKUP(Table2[[#This Row],[Course Title]],'TSD-Data'!$A$1:$F$80,5,FALSE)</f>
        <v>4</v>
      </c>
      <c r="W190" s="323">
        <v>366</v>
      </c>
      <c r="X190" s="316">
        <f>Table2[[#This Row],[Quotas]]-Table2[[#This Row],[Open Quotas]]</f>
        <v>18</v>
      </c>
      <c r="Y190" s="316">
        <v>0</v>
      </c>
      <c r="Z190" s="323"/>
      <c r="AA190" s="323"/>
      <c r="AB190" s="316"/>
      <c r="AC190" s="316"/>
      <c r="AD190" s="316"/>
      <c r="AE190" s="316"/>
      <c r="AF190" s="323">
        <f ca="1">Table2[[#This Row],[End Date]]+2-TODAY()</f>
        <v>46</v>
      </c>
      <c r="AG190" s="316">
        <f>IF(ISBLANK(Table2[[#This Row],[Roster Received by]]),1,0)</f>
        <v>1</v>
      </c>
      <c r="AH190" s="316">
        <f ca="1">IF(Table2[[#This Row],[Start Date]]&gt;TODAY(),1,)</f>
        <v>1</v>
      </c>
      <c r="AI190" s="316">
        <f>IF(ISBLANK(Table2[[#This Row],[Primary Instructor]]),0,1)</f>
        <v>1</v>
      </c>
      <c r="AJ190" s="316">
        <f>IF(ISBLANK(Table2[[#This Row],[Instructor 2]]),0,1)</f>
        <v>0</v>
      </c>
      <c r="AK190" s="316">
        <f>Table2[[#This Row],[Course Length (Hours)]]/(SUM(Table2[[#This Row],[1]:[2]]))</f>
        <v>30</v>
      </c>
      <c r="AL190" s="124">
        <v>27</v>
      </c>
      <c r="AM190" s="433">
        <v>2</v>
      </c>
      <c r="AN190" s="363" t="str">
        <f>VLOOKUP(Table2[[#This Row],[Course Title]],'TSD-Data'!$A$1:$G$80,7,FALSE)</f>
        <v>N5</v>
      </c>
    </row>
    <row r="191" spans="2:40" s="428" customFormat="1" ht="15" customHeight="1" x14ac:dyDescent="0.25">
      <c r="B191" s="315"/>
      <c r="C191" s="364" t="s">
        <v>113</v>
      </c>
      <c r="D191" s="316" t="str">
        <f>VLOOKUP(Table2[[#This Row],[Course Title]],'TSD-Data'!$A$1:$E$80,2,FALSE)</f>
        <v>A-570-0100</v>
      </c>
      <c r="E191" s="316" t="str">
        <f>VLOOKUP(Table2[[#This Row],[Course Title]],'TSD-Data'!$A$1:$E$80,3,FALSE)</f>
        <v>18B7</v>
      </c>
      <c r="F191" s="364" t="s">
        <v>25</v>
      </c>
      <c r="G191" s="344">
        <v>46048</v>
      </c>
      <c r="H191" s="344">
        <v>46049</v>
      </c>
      <c r="I191" s="317" t="s">
        <v>163</v>
      </c>
      <c r="J191" s="318"/>
      <c r="K191" s="345">
        <v>0.79166666666666663</v>
      </c>
      <c r="L191" s="429">
        <v>0.66666666666666663</v>
      </c>
      <c r="M191" s="429">
        <v>0.125</v>
      </c>
      <c r="N191" s="429">
        <v>4.1666666666666664E-2</v>
      </c>
      <c r="O191" s="429">
        <v>0.58333333333333337</v>
      </c>
      <c r="P191" s="429">
        <v>0.375</v>
      </c>
      <c r="Q191" s="321" t="s">
        <v>431</v>
      </c>
      <c r="R191" s="321"/>
      <c r="S191" s="321"/>
      <c r="T191" s="316">
        <f>VLOOKUP(Table2[[#This Row],[Course Title]],'TSD-Data'!$A$1:$E$80,4,FALSE)</f>
        <v>45</v>
      </c>
      <c r="U191" s="316">
        <f>VLOOKUP(Table2[[#This Row],[Course Title]],'TSD-Data'!$A$1:$F$80,6,FALSE)</f>
        <v>16</v>
      </c>
      <c r="V191" s="323">
        <f>VLOOKUP(Table2[[#This Row],[Course Title]],'TSD-Data'!$A$1:$F$80,5,FALSE)</f>
        <v>2</v>
      </c>
      <c r="W191" s="323">
        <v>126</v>
      </c>
      <c r="X191" s="316">
        <f>Table2[[#This Row],[Quotas]]-Table2[[#This Row],[Open Quotas]]</f>
        <v>5</v>
      </c>
      <c r="Y191" s="316">
        <v>0</v>
      </c>
      <c r="Z191" s="323"/>
      <c r="AA191" s="323"/>
      <c r="AB191" s="316"/>
      <c r="AC191" s="316"/>
      <c r="AD191" s="316"/>
      <c r="AE191" s="316"/>
      <c r="AF191" s="323">
        <f ca="1">Table2[[#This Row],[End Date]]+2-TODAY()</f>
        <v>44</v>
      </c>
      <c r="AG191" s="316">
        <f>IF(ISBLANK(Table2[[#This Row],[Roster Received by]]),1,0)</f>
        <v>1</v>
      </c>
      <c r="AH191" s="316">
        <f ca="1">IF(Table2[[#This Row],[Start Date]]&gt;TODAY(),1,)</f>
        <v>1</v>
      </c>
      <c r="AI191" s="316">
        <f>IF(ISBLANK(Table2[[#This Row],[Primary Instructor]]),0,1)</f>
        <v>1</v>
      </c>
      <c r="AJ191" s="316">
        <f>IF(ISBLANK(Table2[[#This Row],[Instructor 2]]),0,1)</f>
        <v>0</v>
      </c>
      <c r="AK191" s="316">
        <f>Table2[[#This Row],[Course Length (Hours)]]/(SUM(Table2[[#This Row],[1]:[2]]))</f>
        <v>16</v>
      </c>
      <c r="AL191" s="124">
        <v>40</v>
      </c>
      <c r="AM191" s="433">
        <v>2</v>
      </c>
      <c r="AN191" s="363" t="str">
        <f>VLOOKUP(Table2[[#This Row],[Course Title]],'TSD-Data'!$A$1:$G$80,7,FALSE)</f>
        <v>N8</v>
      </c>
    </row>
    <row r="192" spans="2:40" s="428" customFormat="1" ht="15" customHeight="1" x14ac:dyDescent="0.25">
      <c r="B192" s="315"/>
      <c r="C192" s="364" t="s">
        <v>116</v>
      </c>
      <c r="D192" s="316" t="str">
        <f>VLOOKUP(Table2[[#This Row],[Course Title]],'TSD-Data'!$A$1:$E$80,2,FALSE)</f>
        <v>A-493-0072</v>
      </c>
      <c r="E192" s="316" t="str">
        <f>VLOOKUP(Table2[[#This Row],[Course Title]],'TSD-Data'!$A$1:$E$80,3,FALSE)</f>
        <v>713U</v>
      </c>
      <c r="F192" s="364" t="s">
        <v>264</v>
      </c>
      <c r="G192" s="344">
        <v>46048</v>
      </c>
      <c r="H192" s="344">
        <v>46052</v>
      </c>
      <c r="I192" s="317" t="s">
        <v>163</v>
      </c>
      <c r="J192" s="318">
        <v>0.33333333333333331</v>
      </c>
      <c r="K192" s="345"/>
      <c r="L192" s="344"/>
      <c r="M192" s="344"/>
      <c r="N192" s="344"/>
      <c r="O192" s="344"/>
      <c r="P192" s="344"/>
      <c r="Q192" s="321" t="s">
        <v>285</v>
      </c>
      <c r="R192" s="321"/>
      <c r="S192" s="321" t="s">
        <v>172</v>
      </c>
      <c r="T192" s="316">
        <f>VLOOKUP(Table2[[#This Row],[Course Title]],'TSD-Data'!$A$1:$E$80,4,FALSE)</f>
        <v>30</v>
      </c>
      <c r="U192" s="316">
        <f>VLOOKUP(Table2[[#This Row],[Course Title]],'TSD-Data'!$A$1:$F$80,6,FALSE)</f>
        <v>40</v>
      </c>
      <c r="V192" s="323">
        <f>VLOOKUP(Table2[[#This Row],[Course Title]],'TSD-Data'!$A$1:$F$80,5,FALSE)</f>
        <v>5</v>
      </c>
      <c r="W192" s="323">
        <v>265</v>
      </c>
      <c r="X192" s="316">
        <f>Table2[[#This Row],[Quotas]]-Table2[[#This Row],[Open Quotas]]</f>
        <v>30</v>
      </c>
      <c r="Y192" s="316">
        <v>5</v>
      </c>
      <c r="Z192" s="323"/>
      <c r="AA192" s="323"/>
      <c r="AB192" s="316"/>
      <c r="AC192" s="316"/>
      <c r="AD192" s="316"/>
      <c r="AE192" s="316"/>
      <c r="AF192" s="323">
        <f ca="1">Table2[[#This Row],[End Date]]+2-TODAY()</f>
        <v>47</v>
      </c>
      <c r="AG192" s="316">
        <f>IF(ISBLANK(Table2[[#This Row],[Roster Received by]]),1,0)</f>
        <v>1</v>
      </c>
      <c r="AH192" s="316">
        <f ca="1">IF(Table2[[#This Row],[Start Date]]&gt;TODAY(),1,)</f>
        <v>1</v>
      </c>
      <c r="AI192" s="316">
        <f>IF(ISBLANK(Table2[[#This Row],[Primary Instructor]]),0,1)</f>
        <v>1</v>
      </c>
      <c r="AJ192" s="316">
        <f>IF(ISBLANK(Table2[[#This Row],[Instructor 2]]),0,1)</f>
        <v>0</v>
      </c>
      <c r="AK192" s="316">
        <f>Table2[[#This Row],[Course Length (Hours)]]/(SUM(Table2[[#This Row],[1]:[2]]))</f>
        <v>40</v>
      </c>
      <c r="AL192" s="124">
        <v>0</v>
      </c>
      <c r="AM192" s="316">
        <v>1</v>
      </c>
      <c r="AN192" s="363" t="str">
        <f>VLOOKUP(Table2[[#This Row],[Course Title]],'TSD-Data'!$A$1:$G$80,7,FALSE)</f>
        <v>N3</v>
      </c>
    </row>
    <row r="193" spans="2:40" s="428" customFormat="1" ht="15" customHeight="1" x14ac:dyDescent="0.25">
      <c r="B193" s="315"/>
      <c r="C193" s="364" t="s">
        <v>116</v>
      </c>
      <c r="D193" s="316" t="str">
        <f>VLOOKUP(Table2[[#This Row],[Course Title]],'TSD-Data'!$A$1:$E$80,2,FALSE)</f>
        <v>A-493-0072</v>
      </c>
      <c r="E193" s="316" t="str">
        <f>VLOOKUP(Table2[[#This Row],[Course Title]],'TSD-Data'!$A$1:$E$80,3,FALSE)</f>
        <v>713U</v>
      </c>
      <c r="F193" s="364" t="s">
        <v>263</v>
      </c>
      <c r="G193" s="344">
        <v>46048</v>
      </c>
      <c r="H193" s="344">
        <v>46052</v>
      </c>
      <c r="I193" s="317" t="s">
        <v>163</v>
      </c>
      <c r="J193" s="318">
        <v>0.33333333333333331</v>
      </c>
      <c r="K193" s="318"/>
      <c r="L193" s="344"/>
      <c r="M193" s="317"/>
      <c r="N193" s="317"/>
      <c r="O193" s="317"/>
      <c r="P193" s="317"/>
      <c r="Q193" s="321" t="s">
        <v>175</v>
      </c>
      <c r="R193" s="321" t="s">
        <v>436</v>
      </c>
      <c r="S193" s="321"/>
      <c r="T193" s="316">
        <f>VLOOKUP(Table2[[#This Row],[Course Title]],'TSD-Data'!$A$1:$E$80,4,FALSE)</f>
        <v>30</v>
      </c>
      <c r="U193" s="316">
        <f>VLOOKUP(Table2[[#This Row],[Course Title]],'TSD-Data'!$A$1:$F$80,6,FALSE)</f>
        <v>40</v>
      </c>
      <c r="V193" s="323">
        <f>VLOOKUP(Table2[[#This Row],[Course Title]],'TSD-Data'!$A$1:$F$80,5,FALSE)</f>
        <v>5</v>
      </c>
      <c r="W193" s="323">
        <v>99</v>
      </c>
      <c r="X193" s="316">
        <f>Table2[[#This Row],[Quotas]]-Table2[[#This Row],[Open Quotas]]</f>
        <v>10</v>
      </c>
      <c r="Y193" s="316">
        <v>0</v>
      </c>
      <c r="Z193" s="323"/>
      <c r="AA193" s="323"/>
      <c r="AB193" s="316"/>
      <c r="AC193" s="316"/>
      <c r="AD193" s="316"/>
      <c r="AE193" s="316"/>
      <c r="AF193" s="323">
        <f ca="1">Table2[[#This Row],[End Date]]+2-TODAY()</f>
        <v>47</v>
      </c>
      <c r="AG193" s="316">
        <f>IF(ISBLANK(Table2[[#This Row],[Roster Received by]]),1,0)</f>
        <v>1</v>
      </c>
      <c r="AH193" s="316">
        <f ca="1">IF(Table2[[#This Row],[Start Date]]&gt;TODAY(),1,)</f>
        <v>1</v>
      </c>
      <c r="AI193" s="316">
        <f>IF(ISBLANK(Table2[[#This Row],[Primary Instructor]]),0,1)</f>
        <v>1</v>
      </c>
      <c r="AJ193" s="316">
        <f>IF(ISBLANK(Table2[[#This Row],[Instructor 2]]),0,1)</f>
        <v>1</v>
      </c>
      <c r="AK193" s="316">
        <f>Table2[[#This Row],[Course Length (Hours)]]/(SUM(Table2[[#This Row],[1]:[2]]))</f>
        <v>20</v>
      </c>
      <c r="AL193" s="124">
        <v>20</v>
      </c>
      <c r="AM193" s="433">
        <v>2</v>
      </c>
      <c r="AN193" s="363" t="str">
        <f>VLOOKUP(Table2[[#This Row],[Course Title]],'TSD-Data'!$A$1:$G$80,7,FALSE)</f>
        <v>N3</v>
      </c>
    </row>
    <row r="194" spans="2:40" s="428" customFormat="1" ht="15" customHeight="1" x14ac:dyDescent="0.25">
      <c r="B194" s="315"/>
      <c r="C194" s="364" t="s">
        <v>119</v>
      </c>
      <c r="D194" s="316" t="str">
        <f>VLOOKUP(Table2[[#This Row],[Course Title]],'TSD-Data'!$A$1:$E$80,2,FALSE)</f>
        <v>A-493-2098</v>
      </c>
      <c r="E194" s="316" t="str">
        <f>VLOOKUP(Table2[[#This Row],[Course Title]],'TSD-Data'!$A$1:$E$80,3,FALSE)</f>
        <v>09WW</v>
      </c>
      <c r="F194" s="315" t="s">
        <v>25</v>
      </c>
      <c r="G194" s="344">
        <v>46048</v>
      </c>
      <c r="H194" s="344">
        <v>46050</v>
      </c>
      <c r="I194" s="317" t="s">
        <v>163</v>
      </c>
      <c r="J194" s="318"/>
      <c r="K194" s="429">
        <v>0.5</v>
      </c>
      <c r="L194" s="697">
        <v>0.375</v>
      </c>
      <c r="M194" s="429">
        <v>0.83333333333333337</v>
      </c>
      <c r="N194" s="429">
        <v>0.75</v>
      </c>
      <c r="O194" s="429">
        <v>0.29166666666666669</v>
      </c>
      <c r="P194" s="429">
        <v>8.3333333333333329E-2</v>
      </c>
      <c r="Q194" s="321" t="s">
        <v>164</v>
      </c>
      <c r="R194" s="321"/>
      <c r="S194" s="321"/>
      <c r="T194" s="316">
        <f>VLOOKUP(Table2[[#This Row],[Course Title]],'TSD-Data'!$A$1:$E$80,4,FALSE)</f>
        <v>100</v>
      </c>
      <c r="U194" s="316">
        <f>VLOOKUP(Table2[[#This Row],[Course Title]],'TSD-Data'!$A$1:$F$80,6,FALSE)</f>
        <v>16</v>
      </c>
      <c r="V194" s="323">
        <f>VLOOKUP(Table2[[#This Row],[Course Title]],'TSD-Data'!$A$1:$F$80,5,FALSE)</f>
        <v>3</v>
      </c>
      <c r="W194" s="323">
        <v>1882</v>
      </c>
      <c r="X194" s="316">
        <f>Table2[[#This Row],[Quotas]]-Table2[[#This Row],[Open Quotas]]</f>
        <v>40</v>
      </c>
      <c r="Y194" s="316">
        <v>0</v>
      </c>
      <c r="Z194" s="323"/>
      <c r="AA194" s="323"/>
      <c r="AB194" s="316"/>
      <c r="AC194" s="316"/>
      <c r="AD194" s="316"/>
      <c r="AE194" s="316"/>
      <c r="AF194" s="323">
        <f ca="1">Table2[[#This Row],[End Date]]+2-TODAY()</f>
        <v>45</v>
      </c>
      <c r="AG194" s="316">
        <f>IF(ISBLANK(Table2[[#This Row],[Roster Received by]]),1,0)</f>
        <v>1</v>
      </c>
      <c r="AH194" s="316">
        <f ca="1">IF(Table2[[#This Row],[Start Date]]&gt;TODAY(),1,)</f>
        <v>1</v>
      </c>
      <c r="AI194" s="316">
        <f>IF(ISBLANK(Table2[[#This Row],[Primary Instructor]]),0,1)</f>
        <v>1</v>
      </c>
      <c r="AJ194" s="316">
        <f>IF(ISBLANK(Table2[[#This Row],[Instructor 2]]),0,1)</f>
        <v>0</v>
      </c>
      <c r="AK194" s="316">
        <f>Table2[[#This Row],[Course Length (Hours)]]/(SUM(Table2[[#This Row],[1]:[2]]))</f>
        <v>16</v>
      </c>
      <c r="AL194" s="124">
        <v>60</v>
      </c>
      <c r="AM194" s="433">
        <v>2</v>
      </c>
      <c r="AN194" s="363" t="str">
        <f>VLOOKUP(Table2[[#This Row],[Course Title]],'TSD-Data'!$A$1:$G$80,7,FALSE)</f>
        <v>N8</v>
      </c>
    </row>
    <row r="195" spans="2:40" s="428" customFormat="1" ht="15" customHeight="1" x14ac:dyDescent="0.25">
      <c r="B195" s="315"/>
      <c r="C195" s="364" t="s">
        <v>74</v>
      </c>
      <c r="D195" s="316" t="str">
        <f>VLOOKUP(Table2[[#This Row],[Course Title]],'TSD-Data'!$A$1:$E$80,2,FALSE)</f>
        <v>A-322-2604</v>
      </c>
      <c r="E195" s="316" t="str">
        <f>VLOOKUP(Table2[[#This Row],[Course Title]],'TSD-Data'!$A$1:$E$80,3,FALSE)</f>
        <v>10ZZ</v>
      </c>
      <c r="F195" s="315" t="s">
        <v>25</v>
      </c>
      <c r="G195" s="344">
        <v>46048</v>
      </c>
      <c r="H195" s="344">
        <v>46050</v>
      </c>
      <c r="I195" s="317" t="s">
        <v>163</v>
      </c>
      <c r="J195" s="318"/>
      <c r="K195" s="345">
        <v>0.79166666666666663</v>
      </c>
      <c r="L195" s="429">
        <v>0.66666666666666663</v>
      </c>
      <c r="M195" s="429">
        <v>0.125</v>
      </c>
      <c r="N195" s="429">
        <v>4.1666666666666664E-2</v>
      </c>
      <c r="O195" s="429">
        <v>0.58333333333333337</v>
      </c>
      <c r="P195" s="429">
        <v>0.375</v>
      </c>
      <c r="Q195" s="321" t="s">
        <v>444</v>
      </c>
      <c r="R195" s="321"/>
      <c r="S195" s="321"/>
      <c r="T195" s="316">
        <f>VLOOKUP(Table2[[#This Row],[Course Title]],'TSD-Data'!$A$1:$E$80,4,FALSE)</f>
        <v>45</v>
      </c>
      <c r="U195" s="316">
        <f>VLOOKUP(Table2[[#This Row],[Course Title]],'TSD-Data'!$A$1:$F$80,6,FALSE)</f>
        <v>24</v>
      </c>
      <c r="V195" s="323">
        <f>VLOOKUP(Table2[[#This Row],[Course Title]],'TSD-Data'!$A$1:$F$80,5,FALSE)</f>
        <v>3</v>
      </c>
      <c r="W195" s="323">
        <v>174</v>
      </c>
      <c r="X195" s="316">
        <f>Table2[[#This Row],[Quotas]]-Table2[[#This Row],[Open Quotas]]</f>
        <v>25</v>
      </c>
      <c r="Y195" s="316">
        <v>0</v>
      </c>
      <c r="Z195" s="323"/>
      <c r="AA195" s="323"/>
      <c r="AB195" s="316"/>
      <c r="AC195" s="316"/>
      <c r="AD195" s="316"/>
      <c r="AE195" s="316"/>
      <c r="AF195" s="323">
        <f ca="1">Table2[[#This Row],[End Date]]+2-TODAY()</f>
        <v>45</v>
      </c>
      <c r="AG195" s="316">
        <f>IF(ISBLANK(Table2[[#This Row],[Roster Received by]]),1,0)</f>
        <v>1</v>
      </c>
      <c r="AH195" s="316">
        <f ca="1">IF(Table2[[#This Row],[Start Date]]&gt;TODAY(),1,)</f>
        <v>1</v>
      </c>
      <c r="AI195" s="316">
        <f>IF(ISBLANK(Table2[[#This Row],[Primary Instructor]]),0,1)</f>
        <v>1</v>
      </c>
      <c r="AJ195" s="316">
        <f>IF(ISBLANK(Table2[[#This Row],[Instructor 2]]),0,1)</f>
        <v>0</v>
      </c>
      <c r="AK195" s="316">
        <f>Table2[[#This Row],[Course Length (Hours)]]/(SUM(Table2[[#This Row],[1]:[2]]))</f>
        <v>24</v>
      </c>
      <c r="AL195" s="124">
        <v>20</v>
      </c>
      <c r="AM195" s="433">
        <v>2</v>
      </c>
      <c r="AN195" s="363" t="str">
        <f>VLOOKUP(Table2[[#This Row],[Course Title]],'TSD-Data'!$A$1:$G$80,7,FALSE)</f>
        <v>N8</v>
      </c>
    </row>
    <row r="196" spans="2:40" s="428" customFormat="1" ht="15" customHeight="1" x14ac:dyDescent="0.25">
      <c r="B196" s="315"/>
      <c r="C196" s="364" t="s">
        <v>65</v>
      </c>
      <c r="D196" s="316" t="str">
        <f>VLOOKUP(Table2[[#This Row],[Course Title]],'TSD-Data'!$A$1:$E$80,2,FALSE)</f>
        <v>A-493-0099</v>
      </c>
      <c r="E196" s="316" t="str">
        <f>VLOOKUP(Table2[[#This Row],[Course Title]],'TSD-Data'!$A$1:$E$80,3,FALSE)</f>
        <v>12JW</v>
      </c>
      <c r="F196" s="315" t="s">
        <v>25</v>
      </c>
      <c r="G196" s="344">
        <v>46049</v>
      </c>
      <c r="H196" s="344">
        <v>46051</v>
      </c>
      <c r="I196" s="317" t="s">
        <v>163</v>
      </c>
      <c r="J196" s="318"/>
      <c r="K196" s="431">
        <v>0.5</v>
      </c>
      <c r="L196" s="431">
        <v>0.375</v>
      </c>
      <c r="M196" s="431">
        <v>0.83333333333333337</v>
      </c>
      <c r="N196" s="431">
        <v>0.75</v>
      </c>
      <c r="O196" s="431">
        <v>0.29166666666666669</v>
      </c>
      <c r="P196" s="431">
        <v>8.3333333333333329E-2</v>
      </c>
      <c r="Q196" s="321" t="s">
        <v>273</v>
      </c>
      <c r="R196" s="321"/>
      <c r="S196" s="321"/>
      <c r="T196" s="316">
        <f>VLOOKUP(Table2[[#This Row],[Course Title]],'TSD-Data'!$A$1:$E$80,4,FALSE)</f>
        <v>45</v>
      </c>
      <c r="U196" s="316">
        <f>VLOOKUP(Table2[[#This Row],[Course Title]],'TSD-Data'!$A$1:$F$80,6,FALSE)</f>
        <v>24</v>
      </c>
      <c r="V196" s="323">
        <f>VLOOKUP(Table2[[#This Row],[Course Title]],'TSD-Data'!$A$1:$F$80,5,FALSE)</f>
        <v>3</v>
      </c>
      <c r="W196" s="323">
        <v>934</v>
      </c>
      <c r="X196" s="316">
        <f>Table2[[#This Row],[Quotas]]-Table2[[#This Row],[Open Quotas]]</f>
        <v>15</v>
      </c>
      <c r="Y196" s="316">
        <v>0</v>
      </c>
      <c r="Z196" s="323"/>
      <c r="AA196" s="323"/>
      <c r="AB196" s="316"/>
      <c r="AC196" s="316"/>
      <c r="AD196" s="316"/>
      <c r="AE196" s="316"/>
      <c r="AF196" s="323">
        <f ca="1">Table2[[#This Row],[End Date]]+2-TODAY()</f>
        <v>46</v>
      </c>
      <c r="AG196" s="316">
        <f>IF(ISBLANK(Table2[[#This Row],[Roster Received by]]),1,0)</f>
        <v>1</v>
      </c>
      <c r="AH196" s="316">
        <f ca="1">IF(Table2[[#This Row],[Start Date]]&gt;TODAY(),1,)</f>
        <v>1</v>
      </c>
      <c r="AI196" s="316">
        <f>IF(ISBLANK(Table2[[#This Row],[Primary Instructor]]),0,1)</f>
        <v>1</v>
      </c>
      <c r="AJ196" s="316">
        <f>IF(ISBLANK(Table2[[#This Row],[Instructor 2]]),0,1)</f>
        <v>0</v>
      </c>
      <c r="AK196" s="316">
        <f>Table2[[#This Row],[Course Length (Hours)]]/(SUM(Table2[[#This Row],[1]:[2]]))</f>
        <v>24</v>
      </c>
      <c r="AL196" s="124">
        <v>30</v>
      </c>
      <c r="AM196" s="433">
        <v>2</v>
      </c>
      <c r="AN196" s="363" t="str">
        <f>VLOOKUP(Table2[[#This Row],[Course Title]],'TSD-Data'!$A$1:$G$80,7,FALSE)</f>
        <v>N5</v>
      </c>
    </row>
    <row r="197" spans="2:40" s="428" customFormat="1" ht="15" customHeight="1" x14ac:dyDescent="0.25">
      <c r="B197" s="315"/>
      <c r="C197" s="364" t="s">
        <v>48</v>
      </c>
      <c r="D197" s="316" t="str">
        <f>VLOOKUP(Table2[[#This Row],[Course Title]],'TSD-Data'!$A$1:$E$80,2,FALSE)</f>
        <v>A-493-0103</v>
      </c>
      <c r="E197" s="316" t="str">
        <f>VLOOKUP(Table2[[#This Row],[Course Title]],'TSD-Data'!$A$1:$E$80,3,FALSE)</f>
        <v>12JY</v>
      </c>
      <c r="F197" s="364" t="s">
        <v>258</v>
      </c>
      <c r="G197" s="344">
        <v>46055</v>
      </c>
      <c r="H197" s="344">
        <v>46059</v>
      </c>
      <c r="I197" s="317" t="s">
        <v>163</v>
      </c>
      <c r="J197" s="318">
        <v>0.33333333333333331</v>
      </c>
      <c r="K197" s="318"/>
      <c r="L197" s="344"/>
      <c r="M197" s="317"/>
      <c r="N197" s="317"/>
      <c r="O197" s="317"/>
      <c r="P197" s="317"/>
      <c r="Q197" s="321" t="s">
        <v>275</v>
      </c>
      <c r="R197" s="321"/>
      <c r="S197" s="321"/>
      <c r="T197" s="316">
        <f>VLOOKUP(Table2[[#This Row],[Course Title]],'TSD-Data'!$A$1:$E$80,4,FALSE)</f>
        <v>25</v>
      </c>
      <c r="U197" s="316">
        <f>VLOOKUP(Table2[[#This Row],[Course Title]],'TSD-Data'!$A$1:$F$80,6,FALSE)</f>
        <v>40</v>
      </c>
      <c r="V197" s="323">
        <f>VLOOKUP(Table2[[#This Row],[Course Title]],'TSD-Data'!$A$1:$F$80,5,FALSE)</f>
        <v>5</v>
      </c>
      <c r="W197" s="323">
        <v>116</v>
      </c>
      <c r="X197" s="316">
        <f>Table2[[#This Row],[Quotas]]-Table2[[#This Row],[Open Quotas]]</f>
        <v>12</v>
      </c>
      <c r="Y197" s="316">
        <v>0</v>
      </c>
      <c r="Z197" s="323"/>
      <c r="AA197" s="323"/>
      <c r="AB197" s="316"/>
      <c r="AC197" s="316"/>
      <c r="AD197" s="316"/>
      <c r="AE197" s="316"/>
      <c r="AF197" s="323">
        <f ca="1">Table2[[#This Row],[End Date]]+2-TODAY()</f>
        <v>54</v>
      </c>
      <c r="AG197" s="316">
        <f>IF(ISBLANK(Table2[[#This Row],[Roster Received by]]),1,0)</f>
        <v>1</v>
      </c>
      <c r="AH197" s="316">
        <f ca="1">IF(Table2[[#This Row],[Start Date]]&gt;TODAY(),1,)</f>
        <v>1</v>
      </c>
      <c r="AI197" s="316">
        <f>IF(ISBLANK(Table2[[#This Row],[Primary Instructor]]),0,1)</f>
        <v>1</v>
      </c>
      <c r="AJ197" s="316">
        <f>IF(ISBLANK(Table2[[#This Row],[Instructor 2]]),0,1)</f>
        <v>0</v>
      </c>
      <c r="AK197" s="316">
        <f>Table2[[#This Row],[Course Length (Hours)]]/(SUM(Table2[[#This Row],[1]:[2]]))</f>
        <v>40</v>
      </c>
      <c r="AL197" s="124">
        <v>13</v>
      </c>
      <c r="AM197" s="433">
        <v>2</v>
      </c>
      <c r="AN197" s="363" t="str">
        <f>VLOOKUP(Table2[[#This Row],[Course Title]],'TSD-Data'!$A$1:$G$80,7,FALSE)</f>
        <v>N5</v>
      </c>
    </row>
    <row r="198" spans="2:40" s="428" customFormat="1" ht="15" customHeight="1" x14ac:dyDescent="0.25">
      <c r="B198" s="315"/>
      <c r="C198" s="364" t="s">
        <v>48</v>
      </c>
      <c r="D198" s="316" t="str">
        <f>VLOOKUP(Table2[[#This Row],[Course Title]],'TSD-Data'!$A$1:$E$80,2,FALSE)</f>
        <v>A-493-0103</v>
      </c>
      <c r="E198" s="316" t="str">
        <f>VLOOKUP(Table2[[#This Row],[Course Title]],'TSD-Data'!$A$1:$E$80,3,FALSE)</f>
        <v>12JY</v>
      </c>
      <c r="F198" s="364" t="s">
        <v>264</v>
      </c>
      <c r="G198" s="344">
        <v>46055</v>
      </c>
      <c r="H198" s="344">
        <v>46059</v>
      </c>
      <c r="I198" s="317" t="s">
        <v>163</v>
      </c>
      <c r="J198" s="318">
        <v>0.33333333333333331</v>
      </c>
      <c r="K198" s="318"/>
      <c r="L198" s="344"/>
      <c r="M198" s="317"/>
      <c r="N198" s="317"/>
      <c r="O198" s="317"/>
      <c r="P198" s="317"/>
      <c r="Q198" s="321" t="s">
        <v>275</v>
      </c>
      <c r="R198" s="321"/>
      <c r="S198" s="321"/>
      <c r="T198" s="316">
        <f>VLOOKUP(Table2[[#This Row],[Course Title]],'TSD-Data'!$A$1:$E$80,4,FALSE)</f>
        <v>25</v>
      </c>
      <c r="U198" s="316">
        <f>VLOOKUP(Table2[[#This Row],[Course Title]],'TSD-Data'!$A$1:$F$80,6,FALSE)</f>
        <v>40</v>
      </c>
      <c r="V198" s="323">
        <f>VLOOKUP(Table2[[#This Row],[Course Title]],'TSD-Data'!$A$1:$F$80,5,FALSE)</f>
        <v>5</v>
      </c>
      <c r="W198" s="323">
        <v>516</v>
      </c>
      <c r="X198" s="316">
        <f>Table2[[#This Row],[Quotas]]-Table2[[#This Row],[Open Quotas]]</f>
        <v>16</v>
      </c>
      <c r="Y198" s="316">
        <v>0</v>
      </c>
      <c r="Z198" s="323"/>
      <c r="AA198" s="323"/>
      <c r="AB198" s="316"/>
      <c r="AC198" s="316"/>
      <c r="AD198" s="316"/>
      <c r="AE198" s="316"/>
      <c r="AF198" s="323">
        <f ca="1">Table2[[#This Row],[End Date]]+2-TODAY()</f>
        <v>54</v>
      </c>
      <c r="AG198" s="316">
        <f>IF(ISBLANK(Table2[[#This Row],[Roster Received by]]),1,0)</f>
        <v>1</v>
      </c>
      <c r="AH198" s="316">
        <f ca="1">IF(Table2[[#This Row],[Start Date]]&gt;TODAY(),1,)</f>
        <v>1</v>
      </c>
      <c r="AI198" s="316">
        <f>IF(ISBLANK(Table2[[#This Row],[Primary Instructor]]),0,1)</f>
        <v>1</v>
      </c>
      <c r="AJ198" s="316">
        <f>IF(ISBLANK(Table2[[#This Row],[Instructor 2]]),0,1)</f>
        <v>0</v>
      </c>
      <c r="AK198" s="316">
        <f>Table2[[#This Row],[Course Length (Hours)]]/(SUM(Table2[[#This Row],[1]:[2]]))</f>
        <v>40</v>
      </c>
      <c r="AL198" s="124">
        <v>9</v>
      </c>
      <c r="AM198" s="433">
        <v>2</v>
      </c>
      <c r="AN198" s="363" t="str">
        <f>VLOOKUP(Table2[[#This Row],[Course Title]],'TSD-Data'!$A$1:$G$80,7,FALSE)</f>
        <v>N5</v>
      </c>
    </row>
    <row r="199" spans="2:40" s="428" customFormat="1" ht="15" customHeight="1" x14ac:dyDescent="0.25">
      <c r="B199" s="315"/>
      <c r="C199" s="364" t="s">
        <v>113</v>
      </c>
      <c r="D199" s="316" t="str">
        <f>VLOOKUP(Table2[[#This Row],[Course Title]],'TSD-Data'!$A$1:$E$80,2,FALSE)</f>
        <v>A-570-0100</v>
      </c>
      <c r="E199" s="316" t="str">
        <f>VLOOKUP(Table2[[#This Row],[Course Title]],'TSD-Data'!$A$1:$E$80,3,FALSE)</f>
        <v>18B7</v>
      </c>
      <c r="F199" s="315" t="s">
        <v>25</v>
      </c>
      <c r="G199" s="344">
        <v>46055</v>
      </c>
      <c r="H199" s="344">
        <v>46056</v>
      </c>
      <c r="I199" s="317" t="s">
        <v>163</v>
      </c>
      <c r="J199" s="318"/>
      <c r="K199" s="429">
        <v>0.5</v>
      </c>
      <c r="L199" s="429">
        <v>0.375</v>
      </c>
      <c r="M199" s="429">
        <v>0.83333333333333337</v>
      </c>
      <c r="N199" s="429">
        <v>0.75</v>
      </c>
      <c r="O199" s="429">
        <v>0.29166666666666669</v>
      </c>
      <c r="P199" s="429">
        <v>8.3333333333333329E-2</v>
      </c>
      <c r="Q199" s="321" t="s">
        <v>431</v>
      </c>
      <c r="R199" s="321"/>
      <c r="S199" s="321"/>
      <c r="T199" s="316">
        <f>VLOOKUP(Table2[[#This Row],[Course Title]],'TSD-Data'!$A$1:$E$80,4,FALSE)</f>
        <v>45</v>
      </c>
      <c r="U199" s="316">
        <f>VLOOKUP(Table2[[#This Row],[Course Title]],'TSD-Data'!$A$1:$F$80,6,FALSE)</f>
        <v>16</v>
      </c>
      <c r="V199" s="323">
        <f>VLOOKUP(Table2[[#This Row],[Course Title]],'TSD-Data'!$A$1:$F$80,5,FALSE)</f>
        <v>2</v>
      </c>
      <c r="W199" s="323">
        <v>663</v>
      </c>
      <c r="X199" s="316">
        <f>Table2[[#This Row],[Quotas]]-Table2[[#This Row],[Open Quotas]]</f>
        <v>3</v>
      </c>
      <c r="Y199" s="316">
        <v>0</v>
      </c>
      <c r="Z199" s="323"/>
      <c r="AA199" s="323"/>
      <c r="AB199" s="316"/>
      <c r="AC199" s="316"/>
      <c r="AD199" s="316"/>
      <c r="AE199" s="316"/>
      <c r="AF199" s="323">
        <f ca="1">Table2[[#This Row],[End Date]]+2-TODAY()</f>
        <v>51</v>
      </c>
      <c r="AG199" s="316">
        <f>IF(ISBLANK(Table2[[#This Row],[Roster Received by]]),1,0)</f>
        <v>1</v>
      </c>
      <c r="AH199" s="316">
        <f ca="1">IF(Table2[[#This Row],[Start Date]]&gt;TODAY(),1,)</f>
        <v>1</v>
      </c>
      <c r="AI199" s="316">
        <f>IF(ISBLANK(Table2[[#This Row],[Primary Instructor]]),0,1)</f>
        <v>1</v>
      </c>
      <c r="AJ199" s="316">
        <f>IF(ISBLANK(Table2[[#This Row],[Instructor 2]]),0,1)</f>
        <v>0</v>
      </c>
      <c r="AK199" s="316">
        <f>Table2[[#This Row],[Course Length (Hours)]]/(SUM(Table2[[#This Row],[1]:[2]]))</f>
        <v>16</v>
      </c>
      <c r="AL199" s="124">
        <v>42</v>
      </c>
      <c r="AM199" s="433">
        <v>2</v>
      </c>
      <c r="AN199" s="363" t="str">
        <f>VLOOKUP(Table2[[#This Row],[Course Title]],'TSD-Data'!$A$1:$G$80,7,FALSE)</f>
        <v>N8</v>
      </c>
    </row>
    <row r="200" spans="2:40" s="428" customFormat="1" x14ac:dyDescent="0.25">
      <c r="B200" s="315"/>
      <c r="C200" s="364" t="s">
        <v>100</v>
      </c>
      <c r="D200" s="316" t="str">
        <f>VLOOKUP(Table2[[#This Row],[Course Title]],'TSD-Data'!$A$1:$E$80,2,FALSE)</f>
        <v>A-493-0550</v>
      </c>
      <c r="E200" s="316" t="str">
        <f>VLOOKUP(Table2[[#This Row],[Course Title]],'TSD-Data'!$A$1:$E$80,3,FALSE)</f>
        <v>09K5</v>
      </c>
      <c r="F200" s="315" t="s">
        <v>25</v>
      </c>
      <c r="G200" s="344">
        <v>46055</v>
      </c>
      <c r="H200" s="344">
        <v>46058</v>
      </c>
      <c r="I200" s="317" t="s">
        <v>163</v>
      </c>
      <c r="J200" s="318"/>
      <c r="K200" s="429">
        <v>0.5</v>
      </c>
      <c r="L200" s="429">
        <v>0.375</v>
      </c>
      <c r="M200" s="429">
        <v>0.83333333333333337</v>
      </c>
      <c r="N200" s="429">
        <v>0.75</v>
      </c>
      <c r="O200" s="429">
        <v>0.29166666666666669</v>
      </c>
      <c r="P200" s="429">
        <v>8.3333333333333329E-2</v>
      </c>
      <c r="Q200" s="321" t="s">
        <v>426</v>
      </c>
      <c r="R200" s="321"/>
      <c r="S200" s="321"/>
      <c r="T200" s="316">
        <f>VLOOKUP(Table2[[#This Row],[Course Title]],'TSD-Data'!$A$1:$E$80,4,FALSE)</f>
        <v>45</v>
      </c>
      <c r="U200" s="316">
        <f>VLOOKUP(Table2[[#This Row],[Course Title]],'TSD-Data'!$A$1:$F$80,6,FALSE)</f>
        <v>32</v>
      </c>
      <c r="V200" s="323">
        <f>VLOOKUP(Table2[[#This Row],[Course Title]],'TSD-Data'!$A$1:$F$80,5,FALSE)</f>
        <v>4</v>
      </c>
      <c r="W200" s="323">
        <v>864</v>
      </c>
      <c r="X200" s="316">
        <f>Table2[[#This Row],[Quotas]]-Table2[[#This Row],[Open Quotas]]</f>
        <v>26</v>
      </c>
      <c r="Y200" s="316">
        <v>0</v>
      </c>
      <c r="Z200" s="323"/>
      <c r="AA200" s="323"/>
      <c r="AB200" s="316"/>
      <c r="AC200" s="316"/>
      <c r="AD200" s="316"/>
      <c r="AE200" s="316"/>
      <c r="AF200" s="323">
        <f ca="1">Table2[[#This Row],[End Date]]+2-TODAY()</f>
        <v>53</v>
      </c>
      <c r="AG200" s="316">
        <f>IF(ISBLANK(Table2[[#This Row],[Roster Received by]]),1,0)</f>
        <v>1</v>
      </c>
      <c r="AH200" s="316">
        <f ca="1">IF(Table2[[#This Row],[Start Date]]&gt;TODAY(),1,)</f>
        <v>1</v>
      </c>
      <c r="AI200" s="316">
        <f>IF(ISBLANK(Table2[[#This Row],[Primary Instructor]]),0,1)</f>
        <v>1</v>
      </c>
      <c r="AJ200" s="316">
        <f>IF(ISBLANK(Table2[[#This Row],[Instructor 2]]),0,1)</f>
        <v>0</v>
      </c>
      <c r="AK200" s="316">
        <f>Table2[[#This Row],[Course Length (Hours)]]/(SUM(Table2[[#This Row],[1]:[2]]))</f>
        <v>32</v>
      </c>
      <c r="AL200" s="124">
        <v>19</v>
      </c>
      <c r="AM200" s="433">
        <v>2</v>
      </c>
      <c r="AN200" s="363" t="str">
        <f>VLOOKUP(Table2[[#This Row],[Course Title]],'TSD-Data'!$A$1:$G$80,7,FALSE)</f>
        <v>N5</v>
      </c>
    </row>
    <row r="201" spans="2:40" s="428" customFormat="1" ht="15" customHeight="1" x14ac:dyDescent="0.25">
      <c r="B201" s="315"/>
      <c r="C201" s="94" t="s">
        <v>77</v>
      </c>
      <c r="D201" s="70" t="str">
        <f>VLOOKUP(Table2[[#This Row],[Course Title]],'TSD-Data'!$A$1:$E$80,2,FALSE)</f>
        <v>A-493-0077</v>
      </c>
      <c r="E201" s="70" t="str">
        <f>VLOOKUP(Table2[[#This Row],[Course Title]],'TSD-Data'!$A$1:$E$80,3,FALSE)</f>
        <v>0381</v>
      </c>
      <c r="F201" s="94" t="s">
        <v>290</v>
      </c>
      <c r="G201" s="72">
        <v>46056</v>
      </c>
      <c r="H201" s="72">
        <v>46058</v>
      </c>
      <c r="I201" s="317" t="s">
        <v>163</v>
      </c>
      <c r="J201" s="318">
        <v>0.33333333333333331</v>
      </c>
      <c r="K201" s="345"/>
      <c r="L201" s="330"/>
      <c r="M201" s="317"/>
      <c r="N201" s="317"/>
      <c r="O201" s="317"/>
      <c r="P201" s="317"/>
      <c r="Q201" s="321" t="s">
        <v>168</v>
      </c>
      <c r="R201" s="321"/>
      <c r="S201" s="321"/>
      <c r="T201" s="316">
        <f>VLOOKUP(Table2[[#This Row],[Course Title]],'TSD-Data'!$A$1:$E$80,4,FALSE)</f>
        <v>25</v>
      </c>
      <c r="U201" s="316">
        <f>VLOOKUP(Table2[[#This Row],[Course Title]],'TSD-Data'!$A$1:$F$80,6,FALSE)</f>
        <v>24</v>
      </c>
      <c r="V201" s="323">
        <f>VLOOKUP(Table2[[#This Row],[Course Title]],'TSD-Data'!$A$1:$F$80,5,FALSE)</f>
        <v>3</v>
      </c>
      <c r="W201" s="323">
        <v>52</v>
      </c>
      <c r="X201" s="316">
        <f>Table2[[#This Row],[Quotas]]-Table2[[#This Row],[Open Quotas]]</f>
        <v>0</v>
      </c>
      <c r="Y201" s="316"/>
      <c r="Z201" s="323"/>
      <c r="AA201" s="323"/>
      <c r="AB201" s="363"/>
      <c r="AC201" s="363"/>
      <c r="AD201" s="316"/>
      <c r="AE201" s="316"/>
      <c r="AF201" s="323">
        <f ca="1">Table2[[#This Row],[End Date]]+2-TODAY()</f>
        <v>53</v>
      </c>
      <c r="AG201" s="316">
        <f>IF(ISBLANK(Table2[[#This Row],[Roster Received by]]),1,0)</f>
        <v>1</v>
      </c>
      <c r="AH201" s="316">
        <f ca="1">IF(Table2[[#This Row],[Start Date]]&gt;TODAY(),1,)</f>
        <v>1</v>
      </c>
      <c r="AI201" s="316">
        <f>IF(ISBLANK(Table2[[#This Row],[Primary Instructor]]),0,1)</f>
        <v>1</v>
      </c>
      <c r="AJ201" s="316">
        <f>IF(ISBLANK(Table2[[#This Row],[Instructor 2]]),0,1)</f>
        <v>0</v>
      </c>
      <c r="AK201" s="316">
        <f>Table2[[#This Row],[Course Length (Hours)]]/(SUM(Table2[[#This Row],[1]:[2]]))</f>
        <v>24</v>
      </c>
      <c r="AL201" s="638">
        <v>25</v>
      </c>
      <c r="AM201" s="433">
        <v>2</v>
      </c>
      <c r="AN201" s="363" t="str">
        <f>VLOOKUP(Table2[[#This Row],[Course Title]],'TSD-Data'!$A$1:$G$80,7,FALSE)</f>
        <v>N4</v>
      </c>
    </row>
    <row r="202" spans="2:40" s="428" customFormat="1" ht="15" customHeight="1" x14ac:dyDescent="0.25">
      <c r="B202" s="315"/>
      <c r="C202" s="364" t="s">
        <v>65</v>
      </c>
      <c r="D202" s="316" t="str">
        <f>VLOOKUP(Table2[[#This Row],[Course Title]],'TSD-Data'!$A$1:$E$80,2,FALSE)</f>
        <v>A-493-0099</v>
      </c>
      <c r="E202" s="316" t="str">
        <f>VLOOKUP(Table2[[#This Row],[Course Title]],'TSD-Data'!$A$1:$E$80,3,FALSE)</f>
        <v>12JW</v>
      </c>
      <c r="F202" s="315" t="s">
        <v>25</v>
      </c>
      <c r="G202" s="344">
        <v>46057</v>
      </c>
      <c r="H202" s="344">
        <v>46059</v>
      </c>
      <c r="I202" s="317" t="s">
        <v>163</v>
      </c>
      <c r="J202" s="318"/>
      <c r="K202" s="318">
        <v>0.33333333333333331</v>
      </c>
      <c r="L202" s="345">
        <v>0.20833333333333334</v>
      </c>
      <c r="M202" s="433">
        <v>1600</v>
      </c>
      <c r="N202" s="433">
        <v>1400</v>
      </c>
      <c r="O202" s="318">
        <v>0.125</v>
      </c>
      <c r="P202" s="433">
        <v>2200</v>
      </c>
      <c r="Q202" s="321" t="s">
        <v>273</v>
      </c>
      <c r="R202" s="321"/>
      <c r="S202" s="321"/>
      <c r="T202" s="316">
        <f>VLOOKUP(Table2[[#This Row],[Course Title]],'TSD-Data'!$A$1:$E$80,4,FALSE)</f>
        <v>45</v>
      </c>
      <c r="U202" s="316">
        <f>VLOOKUP(Table2[[#This Row],[Course Title]],'TSD-Data'!$A$1:$F$80,6,FALSE)</f>
        <v>24</v>
      </c>
      <c r="V202" s="323">
        <f>VLOOKUP(Table2[[#This Row],[Course Title]],'TSD-Data'!$A$1:$F$80,5,FALSE)</f>
        <v>3</v>
      </c>
      <c r="W202" s="323">
        <v>406</v>
      </c>
      <c r="X202" s="316">
        <f>Table2[[#This Row],[Quotas]]-Table2[[#This Row],[Open Quotas]]</f>
        <v>7</v>
      </c>
      <c r="Y202" s="316">
        <v>0</v>
      </c>
      <c r="Z202" s="323"/>
      <c r="AA202" s="323"/>
      <c r="AB202" s="316"/>
      <c r="AC202" s="316"/>
      <c r="AD202" s="316"/>
      <c r="AE202" s="316"/>
      <c r="AF202" s="323">
        <f ca="1">Table2[[#This Row],[End Date]]+2-TODAY()</f>
        <v>54</v>
      </c>
      <c r="AG202" s="316">
        <f>IF(ISBLANK(Table2[[#This Row],[Roster Received by]]),1,0)</f>
        <v>1</v>
      </c>
      <c r="AH202" s="316">
        <f ca="1">IF(Table2[[#This Row],[Start Date]]&gt;TODAY(),1,)</f>
        <v>1</v>
      </c>
      <c r="AI202" s="316">
        <f>IF(ISBLANK(Table2[[#This Row],[Primary Instructor]]),0,1)</f>
        <v>1</v>
      </c>
      <c r="AJ202" s="316">
        <f>IF(ISBLANK(Table2[[#This Row],[Instructor 2]]),0,1)</f>
        <v>0</v>
      </c>
      <c r="AK202" s="316">
        <f>Table2[[#This Row],[Course Length (Hours)]]/(SUM(Table2[[#This Row],[1]:[2]]))</f>
        <v>24</v>
      </c>
      <c r="AL202" s="124">
        <v>38</v>
      </c>
      <c r="AM202" s="433">
        <v>2</v>
      </c>
      <c r="AN202" s="363" t="str">
        <f>VLOOKUP(Table2[[#This Row],[Course Title]],'TSD-Data'!$A$1:$G$80,7,FALSE)</f>
        <v>N5</v>
      </c>
    </row>
    <row r="203" spans="2:40" s="428" customFormat="1" ht="15" customHeight="1" x14ac:dyDescent="0.25">
      <c r="B203" s="315"/>
      <c r="C203" s="94" t="s">
        <v>80</v>
      </c>
      <c r="D203" s="70" t="str">
        <f>VLOOKUP(Table2[[#This Row],[Course Title]],'TSD-Data'!$A$1:$E$80,2,FALSE)</f>
        <v>A-493-0083</v>
      </c>
      <c r="E203" s="70" t="str">
        <f>VLOOKUP(Table2[[#This Row],[Course Title]],'TSD-Data'!$A$1:$E$80,3,FALSE)</f>
        <v>339E</v>
      </c>
      <c r="F203" s="94" t="s">
        <v>290</v>
      </c>
      <c r="G203" s="72">
        <v>46059</v>
      </c>
      <c r="H203" s="72">
        <v>46059</v>
      </c>
      <c r="I203" s="317" t="s">
        <v>163</v>
      </c>
      <c r="J203" s="318">
        <v>0.33333333333333331</v>
      </c>
      <c r="K203" s="345"/>
      <c r="L203" s="344"/>
      <c r="M203" s="344"/>
      <c r="N203" s="344"/>
      <c r="O203" s="344"/>
      <c r="P203" s="344"/>
      <c r="Q203" s="321" t="s">
        <v>168</v>
      </c>
      <c r="R203" s="321"/>
      <c r="S203" s="321"/>
      <c r="T203" s="316">
        <f>VLOOKUP(Table2[[#This Row],[Course Title]],'TSD-Data'!$A$1:$E$80,4,FALSE)</f>
        <v>30</v>
      </c>
      <c r="U203" s="316">
        <f>VLOOKUP(Table2[[#This Row],[Course Title]],'TSD-Data'!$A$1:$F$80,6,FALSE)</f>
        <v>8</v>
      </c>
      <c r="V203" s="323">
        <f>VLOOKUP(Table2[[#This Row],[Course Title]],'TSD-Data'!$A$1:$F$80,5,FALSE)</f>
        <v>1</v>
      </c>
      <c r="W203" s="323">
        <v>36</v>
      </c>
      <c r="X203" s="316">
        <f>Table2[[#This Row],[Quotas]]-Table2[[#This Row],[Open Quotas]]</f>
        <v>5</v>
      </c>
      <c r="Y203" s="316"/>
      <c r="Z203" s="323"/>
      <c r="AA203" s="323"/>
      <c r="AB203" s="363"/>
      <c r="AC203" s="363"/>
      <c r="AD203" s="316"/>
      <c r="AE203" s="316"/>
      <c r="AF203" s="323">
        <f ca="1">Table2[[#This Row],[End Date]]+2-TODAY()</f>
        <v>54</v>
      </c>
      <c r="AG203" s="316">
        <f>IF(ISBLANK(Table2[[#This Row],[Roster Received by]]),1,0)</f>
        <v>1</v>
      </c>
      <c r="AH203" s="316">
        <f ca="1">IF(Table2[[#This Row],[Start Date]]&gt;TODAY(),1,)</f>
        <v>1</v>
      </c>
      <c r="AI203" s="316">
        <f>IF(ISBLANK(Table2[[#This Row],[Primary Instructor]]),0,1)</f>
        <v>1</v>
      </c>
      <c r="AJ203" s="316">
        <f>IF(ISBLANK(Table2[[#This Row],[Instructor 2]]),0,1)</f>
        <v>0</v>
      </c>
      <c r="AK203" s="316">
        <f>Table2[[#This Row],[Course Length (Hours)]]/(SUM(Table2[[#This Row],[1]:[2]]))</f>
        <v>8</v>
      </c>
      <c r="AL203" s="638">
        <v>25</v>
      </c>
      <c r="AM203" s="433">
        <v>2</v>
      </c>
      <c r="AN203" s="363" t="str">
        <f>VLOOKUP(Table2[[#This Row],[Course Title]],'TSD-Data'!$A$1:$G$80,7,FALSE)</f>
        <v>N4</v>
      </c>
    </row>
    <row r="204" spans="2:40" s="428" customFormat="1" ht="15" customHeight="1" x14ac:dyDescent="0.25">
      <c r="B204" s="315"/>
      <c r="C204" s="364" t="s">
        <v>48</v>
      </c>
      <c r="D204" s="316" t="str">
        <f>VLOOKUP(Table2[[#This Row],[Course Title]],'TSD-Data'!$A$1:$E$80,2,FALSE)</f>
        <v>A-493-0103</v>
      </c>
      <c r="E204" s="316" t="str">
        <f>VLOOKUP(Table2[[#This Row],[Course Title]],'TSD-Data'!$A$1:$E$80,3,FALSE)</f>
        <v>12JY</v>
      </c>
      <c r="F204" s="315" t="s">
        <v>258</v>
      </c>
      <c r="G204" s="344">
        <v>46062</v>
      </c>
      <c r="H204" s="344">
        <v>46066</v>
      </c>
      <c r="I204" s="317" t="s">
        <v>163</v>
      </c>
      <c r="J204" s="318">
        <v>0.33333333333333331</v>
      </c>
      <c r="K204" s="345"/>
      <c r="L204" s="344"/>
      <c r="M204" s="344"/>
      <c r="N204" s="344"/>
      <c r="O204" s="344"/>
      <c r="P204" s="344"/>
      <c r="Q204" s="321" t="s">
        <v>275</v>
      </c>
      <c r="R204" s="321"/>
      <c r="S204" s="321"/>
      <c r="T204" s="316">
        <f>VLOOKUP(Table2[[#This Row],[Course Title]],'TSD-Data'!$A$1:$E$80,4,FALSE)</f>
        <v>25</v>
      </c>
      <c r="U204" s="316">
        <f>VLOOKUP(Table2[[#This Row],[Course Title]],'TSD-Data'!$A$1:$F$80,6,FALSE)</f>
        <v>40</v>
      </c>
      <c r="V204" s="323">
        <f>VLOOKUP(Table2[[#This Row],[Course Title]],'TSD-Data'!$A$1:$F$80,5,FALSE)</f>
        <v>5</v>
      </c>
      <c r="W204" s="323">
        <v>116</v>
      </c>
      <c r="X204" s="316">
        <f>Table2[[#This Row],[Quotas]]-Table2[[#This Row],[Open Quotas]]</f>
        <v>5</v>
      </c>
      <c r="Y204" s="316">
        <v>0</v>
      </c>
      <c r="Z204" s="323"/>
      <c r="AA204" s="323"/>
      <c r="AB204" s="316"/>
      <c r="AC204" s="316"/>
      <c r="AD204" s="316"/>
      <c r="AE204" s="316"/>
      <c r="AF204" s="323">
        <f ca="1">Table2[[#This Row],[End Date]]+2-TODAY()</f>
        <v>61</v>
      </c>
      <c r="AG204" s="316">
        <f>IF(ISBLANK(Table2[[#This Row],[Roster Received by]]),1,0)</f>
        <v>1</v>
      </c>
      <c r="AH204" s="316">
        <f ca="1">IF(Table2[[#This Row],[Start Date]]&gt;TODAY(),1,)</f>
        <v>1</v>
      </c>
      <c r="AI204" s="316">
        <f>IF(ISBLANK(Table2[[#This Row],[Primary Instructor]]),0,1)</f>
        <v>1</v>
      </c>
      <c r="AJ204" s="316">
        <f>IF(ISBLANK(Table2[[#This Row],[Instructor 2]]),0,1)</f>
        <v>0</v>
      </c>
      <c r="AK204" s="316">
        <f>Table2[[#This Row],[Course Length (Hours)]]/(SUM(Table2[[#This Row],[1]:[2]]))</f>
        <v>40</v>
      </c>
      <c r="AL204" s="124">
        <v>20</v>
      </c>
      <c r="AM204" s="433">
        <v>2</v>
      </c>
      <c r="AN204" s="363" t="str">
        <f>VLOOKUP(Table2[[#This Row],[Course Title]],'TSD-Data'!$A$1:$G$80,7,FALSE)</f>
        <v>N5</v>
      </c>
    </row>
    <row r="205" spans="2:40" s="428" customFormat="1" ht="15" customHeight="1" x14ac:dyDescent="0.25">
      <c r="B205" s="315"/>
      <c r="C205" s="442" t="s">
        <v>41</v>
      </c>
      <c r="D205" s="316" t="str">
        <f>VLOOKUP(Table2[[#This Row],[Course Title]],'TSD-Data'!$A$1:$E$80,2,FALSE)</f>
        <v>A-493-0070</v>
      </c>
      <c r="E205" s="316" t="str">
        <f>VLOOKUP(Table2[[#This Row],[Course Title]],'TSD-Data'!$A$1:$E$80,3,FALSE)</f>
        <v>450V</v>
      </c>
      <c r="F205" s="315" t="s">
        <v>25</v>
      </c>
      <c r="G205" s="344">
        <v>46062</v>
      </c>
      <c r="H205" s="344">
        <v>46063</v>
      </c>
      <c r="I205" s="317" t="s">
        <v>163</v>
      </c>
      <c r="J205" s="318"/>
      <c r="K205" s="345">
        <v>0.79166666666666663</v>
      </c>
      <c r="L205" s="429">
        <v>0.66666666666666663</v>
      </c>
      <c r="M205" s="429">
        <v>0.125</v>
      </c>
      <c r="N205" s="429">
        <v>4.1666666666666664E-2</v>
      </c>
      <c r="O205" s="429">
        <v>0.58333333333333337</v>
      </c>
      <c r="P205" s="429">
        <v>0.375</v>
      </c>
      <c r="Q205" s="321" t="s">
        <v>175</v>
      </c>
      <c r="R205" s="321"/>
      <c r="S205" s="321"/>
      <c r="T205" s="316">
        <f>VLOOKUP(Table2[[#This Row],[Course Title]],'TSD-Data'!$A$1:$E$80,4,FALSE)</f>
        <v>30</v>
      </c>
      <c r="U205" s="316">
        <f>VLOOKUP(Table2[[#This Row],[Course Title]],'TSD-Data'!$A$1:$F$80,6,FALSE)</f>
        <v>8</v>
      </c>
      <c r="V205" s="323">
        <f>VLOOKUP(Table2[[#This Row],[Course Title]],'TSD-Data'!$A$1:$F$80,5,FALSE)</f>
        <v>1</v>
      </c>
      <c r="W205" s="323">
        <v>0</v>
      </c>
      <c r="X205" s="316">
        <f>Table2[[#This Row],[Quotas]]-Table2[[#This Row],[Open Quotas]]</f>
        <v>9</v>
      </c>
      <c r="Y205" s="316">
        <v>0</v>
      </c>
      <c r="Z205" s="323"/>
      <c r="AA205" s="323"/>
      <c r="AB205" s="316"/>
      <c r="AC205" s="316"/>
      <c r="AD205" s="316"/>
      <c r="AE205" s="316"/>
      <c r="AF205" s="323">
        <f ca="1">Table2[[#This Row],[End Date]]+2-TODAY()</f>
        <v>58</v>
      </c>
      <c r="AG205" s="316">
        <f>IF(ISBLANK(Table2[[#This Row],[Roster Received by]]),1,0)</f>
        <v>1</v>
      </c>
      <c r="AH205" s="316">
        <f ca="1">IF(Table2[[#This Row],[Start Date]]&gt;TODAY(),1,)</f>
        <v>1</v>
      </c>
      <c r="AI205" s="316">
        <f>IF(ISBLANK(Table2[[#This Row],[Primary Instructor]]),0,1)</f>
        <v>1</v>
      </c>
      <c r="AJ205" s="316">
        <f>IF(ISBLANK(Table2[[#This Row],[Instructor 2]]),0,1)</f>
        <v>0</v>
      </c>
      <c r="AK205" s="316">
        <f>Table2[[#This Row],[Course Length (Hours)]]/(SUM(Table2[[#This Row],[1]:[2]]))</f>
        <v>8</v>
      </c>
      <c r="AL205" s="124">
        <v>21</v>
      </c>
      <c r="AM205" s="433">
        <v>2</v>
      </c>
      <c r="AN205" s="363" t="str">
        <f>VLOOKUP(Table2[[#This Row],[Course Title]],'TSD-Data'!$A$1:$G$80,7,FALSE)</f>
        <v>N3</v>
      </c>
    </row>
    <row r="206" spans="2:40" s="428" customFormat="1" ht="15" customHeight="1" x14ac:dyDescent="0.25">
      <c r="B206" s="438" t="s">
        <v>458</v>
      </c>
      <c r="C206" s="3" t="s">
        <v>61</v>
      </c>
      <c r="D206" s="70" t="str">
        <f>VLOOKUP(Table2[[#This Row],[Course Title]],'TSD-Data'!$A$1:$E$80,2,FALSE)</f>
        <v>A-493-0012</v>
      </c>
      <c r="E206" s="70">
        <f>VLOOKUP(Table2[[#This Row],[Course Title]],'TSD-Data'!$A$1:$E$80,3,FALSE)</f>
        <v>3682</v>
      </c>
      <c r="F206" s="3" t="s">
        <v>286</v>
      </c>
      <c r="G206" s="72">
        <v>46062</v>
      </c>
      <c r="H206" s="72">
        <v>46066</v>
      </c>
      <c r="I206" s="317" t="s">
        <v>163</v>
      </c>
      <c r="J206" s="318">
        <v>0.33333333333333331</v>
      </c>
      <c r="K206" s="345"/>
      <c r="L206" s="344"/>
      <c r="M206" s="344"/>
      <c r="N206" s="344"/>
      <c r="O206" s="344"/>
      <c r="P206" s="344"/>
      <c r="Q206" s="321" t="s">
        <v>447</v>
      </c>
      <c r="R206" s="321"/>
      <c r="S206" s="321"/>
      <c r="T206" s="316">
        <f>VLOOKUP(Table2[[#This Row],[Course Title]],'TSD-Data'!$A$1:$E$80,4,FALSE)</f>
        <v>40</v>
      </c>
      <c r="U206" s="316">
        <f>VLOOKUP(Table2[[#This Row],[Course Title]],'TSD-Data'!$A$1:$F$80,6,FALSE)</f>
        <v>40</v>
      </c>
      <c r="V206" s="323">
        <f>VLOOKUP(Table2[[#This Row],[Course Title]],'TSD-Data'!$A$1:$F$80,5,FALSE)</f>
        <v>5</v>
      </c>
      <c r="W206" s="316">
        <v>52</v>
      </c>
      <c r="X206" s="316">
        <f>Table2[[#This Row],[Quotas]]-Table2[[#This Row],[Open Quotas]]</f>
        <v>0</v>
      </c>
      <c r="Y206" s="316"/>
      <c r="Z206" s="323"/>
      <c r="AA206" s="323"/>
      <c r="AB206" s="316"/>
      <c r="AC206" s="316"/>
      <c r="AD206" s="316"/>
      <c r="AE206" s="316"/>
      <c r="AF206" s="323">
        <f ca="1">Table2[[#This Row],[End Date]]+2-TODAY()</f>
        <v>61</v>
      </c>
      <c r="AG206" s="316">
        <f>IF(ISBLANK(Table2[[#This Row],[Roster Received by]]),1,0)</f>
        <v>1</v>
      </c>
      <c r="AH206" s="316">
        <f ca="1">IF(Table2[[#This Row],[Start Date]]&gt;TODAY(),1,)</f>
        <v>1</v>
      </c>
      <c r="AI206" s="316">
        <f>IF(ISBLANK(Table2[[#This Row],[Primary Instructor]]),0,1)</f>
        <v>1</v>
      </c>
      <c r="AJ206" s="316">
        <f>IF(ISBLANK(Table2[[#This Row],[Instructor 2]]),0,1)</f>
        <v>0</v>
      </c>
      <c r="AK206" s="316">
        <f>Table2[[#This Row],[Course Length (Hours)]]/(SUM(Table2[[#This Row],[1]:[2]]))</f>
        <v>40</v>
      </c>
      <c r="AL206" s="124">
        <v>40</v>
      </c>
      <c r="AM206" s="433">
        <v>2</v>
      </c>
      <c r="AN206" s="363" t="str">
        <f>VLOOKUP(Table2[[#This Row],[Course Title]],'TSD-Data'!$A$1:$G$80,7,FALSE)</f>
        <v>N4</v>
      </c>
    </row>
    <row r="207" spans="2:40" s="428" customFormat="1" ht="15" customHeight="1" x14ac:dyDescent="0.25">
      <c r="B207" s="315"/>
      <c r="C207" s="364" t="s">
        <v>71</v>
      </c>
      <c r="D207" s="316" t="str">
        <f>VLOOKUP(Table2[[#This Row],[Course Title]],'TSD-Data'!$A$1:$E$80,2,FALSE)</f>
        <v>A-493-0061</v>
      </c>
      <c r="E207" s="316" t="str">
        <f>VLOOKUP(Table2[[#This Row],[Course Title]],'TSD-Data'!$A$1:$E$80,3,FALSE)</f>
        <v>288E</v>
      </c>
      <c r="F207" s="364" t="s">
        <v>25</v>
      </c>
      <c r="G207" s="344">
        <v>46062</v>
      </c>
      <c r="H207" s="344">
        <v>46065</v>
      </c>
      <c r="I207" s="317" t="s">
        <v>163</v>
      </c>
      <c r="J207" s="318"/>
      <c r="K207" s="345">
        <v>0.33333333333333331</v>
      </c>
      <c r="L207" s="345">
        <v>0.20833333333333334</v>
      </c>
      <c r="M207" s="434">
        <v>1600</v>
      </c>
      <c r="N207" s="434">
        <v>1400</v>
      </c>
      <c r="O207" s="345">
        <v>0.125</v>
      </c>
      <c r="P207" s="434">
        <v>2200</v>
      </c>
      <c r="Q207" s="321" t="s">
        <v>272</v>
      </c>
      <c r="R207" s="321"/>
      <c r="S207" s="321"/>
      <c r="T207" s="316">
        <f>VLOOKUP(Table2[[#This Row],[Course Title]],'TSD-Data'!$A$1:$E$80,4,FALSE)</f>
        <v>45</v>
      </c>
      <c r="U207" s="316">
        <f>VLOOKUP(Table2[[#This Row],[Course Title]],'TSD-Data'!$A$1:$F$80,6,FALSE)</f>
        <v>30</v>
      </c>
      <c r="V207" s="323">
        <f>VLOOKUP(Table2[[#This Row],[Course Title]],'TSD-Data'!$A$1:$F$80,5,FALSE)</f>
        <v>4</v>
      </c>
      <c r="W207" s="323">
        <v>366</v>
      </c>
      <c r="X207" s="316">
        <f>Table2[[#This Row],[Quotas]]-Table2[[#This Row],[Open Quotas]]</f>
        <v>14</v>
      </c>
      <c r="Y207" s="316">
        <v>0</v>
      </c>
      <c r="Z207" s="323"/>
      <c r="AA207" s="323"/>
      <c r="AB207" s="316"/>
      <c r="AC207" s="316"/>
      <c r="AD207" s="316"/>
      <c r="AE207" s="316"/>
      <c r="AF207" s="323">
        <f ca="1">Table2[[#This Row],[End Date]]+2-TODAY()</f>
        <v>60</v>
      </c>
      <c r="AG207" s="316">
        <f>IF(ISBLANK(Table2[[#This Row],[Roster Received by]]),1,0)</f>
        <v>1</v>
      </c>
      <c r="AH207" s="316">
        <f ca="1">IF(Table2[[#This Row],[Start Date]]&gt;TODAY(),1,)</f>
        <v>1</v>
      </c>
      <c r="AI207" s="316">
        <f>IF(ISBLANK(Table2[[#This Row],[Primary Instructor]]),0,1)</f>
        <v>1</v>
      </c>
      <c r="AJ207" s="316">
        <f>IF(ISBLANK(Table2[[#This Row],[Instructor 2]]),0,1)</f>
        <v>0</v>
      </c>
      <c r="AK207" s="316">
        <f>Table2[[#This Row],[Course Length (Hours)]]/(SUM(Table2[[#This Row],[1]:[2]]))</f>
        <v>30</v>
      </c>
      <c r="AL207" s="124">
        <v>31</v>
      </c>
      <c r="AM207" s="433">
        <v>2</v>
      </c>
      <c r="AN207" s="363" t="str">
        <f>VLOOKUP(Table2[[#This Row],[Course Title]],'TSD-Data'!$A$1:$G$80,7,FALSE)</f>
        <v>N5</v>
      </c>
    </row>
    <row r="208" spans="2:40" s="428" customFormat="1" ht="15" customHeight="1" x14ac:dyDescent="0.25">
      <c r="B208" s="315"/>
      <c r="C208" s="94" t="s">
        <v>77</v>
      </c>
      <c r="D208" s="70" t="str">
        <f>VLOOKUP(Table2[[#This Row],[Course Title]],'TSD-Data'!$A$1:$E$80,2,FALSE)</f>
        <v>A-493-0077</v>
      </c>
      <c r="E208" s="70" t="str">
        <f>VLOOKUP(Table2[[#This Row],[Course Title]],'TSD-Data'!$A$1:$E$80,3,FALSE)</f>
        <v>0381</v>
      </c>
      <c r="F208" s="94" t="s">
        <v>263</v>
      </c>
      <c r="G208" s="72">
        <v>46062</v>
      </c>
      <c r="H208" s="72">
        <v>46064</v>
      </c>
      <c r="I208" s="317" t="s">
        <v>163</v>
      </c>
      <c r="J208" s="318">
        <v>0.33333333333333331</v>
      </c>
      <c r="K208" s="318"/>
      <c r="L208" s="344"/>
      <c r="M208" s="317"/>
      <c r="N208" s="317"/>
      <c r="O208" s="317"/>
      <c r="P208" s="317"/>
      <c r="Q208" s="321" t="s">
        <v>168</v>
      </c>
      <c r="R208" s="321"/>
      <c r="S208" s="321"/>
      <c r="T208" s="316">
        <f>VLOOKUP(Table2[[#This Row],[Course Title]],'TSD-Data'!$A$1:$E$80,4,FALSE)</f>
        <v>25</v>
      </c>
      <c r="U208" s="316">
        <f>VLOOKUP(Table2[[#This Row],[Course Title]],'TSD-Data'!$A$1:$F$80,6,FALSE)</f>
        <v>24</v>
      </c>
      <c r="V208" s="323">
        <f>VLOOKUP(Table2[[#This Row],[Course Title]],'TSD-Data'!$A$1:$F$80,5,FALSE)</f>
        <v>3</v>
      </c>
      <c r="W208" s="323">
        <v>60</v>
      </c>
      <c r="X208" s="316">
        <f>Table2[[#This Row],[Quotas]]-Table2[[#This Row],[Open Quotas]]</f>
        <v>4</v>
      </c>
      <c r="Y208" s="316"/>
      <c r="Z208" s="323"/>
      <c r="AA208" s="323"/>
      <c r="AB208" s="363"/>
      <c r="AC208" s="363"/>
      <c r="AD208" s="316"/>
      <c r="AE208" s="316"/>
      <c r="AF208" s="323">
        <f ca="1">Table2[[#This Row],[End Date]]+2-TODAY()</f>
        <v>59</v>
      </c>
      <c r="AG208" s="316">
        <f>IF(ISBLANK(Table2[[#This Row],[Roster Received by]]),1,0)</f>
        <v>1</v>
      </c>
      <c r="AH208" s="316">
        <f ca="1">IF(Table2[[#This Row],[Start Date]]&gt;TODAY(),1,)</f>
        <v>1</v>
      </c>
      <c r="AI208" s="316">
        <f>IF(ISBLANK(Table2[[#This Row],[Primary Instructor]]),0,1)</f>
        <v>1</v>
      </c>
      <c r="AJ208" s="316">
        <f>IF(ISBLANK(Table2[[#This Row],[Instructor 2]]),0,1)</f>
        <v>0</v>
      </c>
      <c r="AK208" s="316">
        <f>Table2[[#This Row],[Course Length (Hours)]]/(SUM(Table2[[#This Row],[1]:[2]]))</f>
        <v>24</v>
      </c>
      <c r="AL208" s="638">
        <v>21</v>
      </c>
      <c r="AM208" s="433">
        <v>2</v>
      </c>
      <c r="AN208" s="363" t="str">
        <f>VLOOKUP(Table2[[#This Row],[Course Title]],'TSD-Data'!$A$1:$G$80,7,FALSE)</f>
        <v>N4</v>
      </c>
    </row>
    <row r="209" spans="2:40" s="428" customFormat="1" ht="15" customHeight="1" x14ac:dyDescent="0.25">
      <c r="B209" s="315"/>
      <c r="C209" s="94" t="s">
        <v>77</v>
      </c>
      <c r="D209" s="70" t="str">
        <f>VLOOKUP(Table2[[#This Row],[Course Title]],'TSD-Data'!$A$1:$E$80,2,FALSE)</f>
        <v>A-493-0077</v>
      </c>
      <c r="E209" s="70" t="str">
        <f>VLOOKUP(Table2[[#This Row],[Course Title]],'TSD-Data'!$A$1:$E$80,3,FALSE)</f>
        <v>0381</v>
      </c>
      <c r="F209" s="94" t="s">
        <v>330</v>
      </c>
      <c r="G209" s="72">
        <v>46062</v>
      </c>
      <c r="H209" s="72">
        <v>46064</v>
      </c>
      <c r="I209" s="317" t="s">
        <v>163</v>
      </c>
      <c r="J209" s="318">
        <v>0.33333333333333331</v>
      </c>
      <c r="K209" s="345"/>
      <c r="L209" s="344"/>
      <c r="M209" s="344"/>
      <c r="N209" s="344"/>
      <c r="O209" s="344"/>
      <c r="P209" s="344"/>
      <c r="Q209" s="321" t="s">
        <v>168</v>
      </c>
      <c r="R209" s="321"/>
      <c r="S209" s="321"/>
      <c r="T209" s="316">
        <f>VLOOKUP(Table2[[#This Row],[Course Title]],'TSD-Data'!$A$1:$E$80,4,FALSE)</f>
        <v>25</v>
      </c>
      <c r="U209" s="316">
        <f>VLOOKUP(Table2[[#This Row],[Course Title]],'TSD-Data'!$A$1:$F$80,6,FALSE)</f>
        <v>24</v>
      </c>
      <c r="V209" s="323">
        <f>VLOOKUP(Table2[[#This Row],[Course Title]],'TSD-Data'!$A$1:$F$80,5,FALSE)</f>
        <v>3</v>
      </c>
      <c r="W209" s="323">
        <v>25</v>
      </c>
      <c r="X209" s="316">
        <f>Table2[[#This Row],[Quotas]]-Table2[[#This Row],[Open Quotas]]</f>
        <v>0</v>
      </c>
      <c r="Y209" s="316"/>
      <c r="Z209" s="323"/>
      <c r="AA209" s="323"/>
      <c r="AB209" s="363"/>
      <c r="AC209" s="363"/>
      <c r="AD209" s="316"/>
      <c r="AE209" s="316"/>
      <c r="AF209" s="323">
        <f ca="1">Table2[[#This Row],[End Date]]+2-TODAY()</f>
        <v>59</v>
      </c>
      <c r="AG209" s="316">
        <f>IF(ISBLANK(Table2[[#This Row],[Roster Received by]]),1,0)</f>
        <v>1</v>
      </c>
      <c r="AH209" s="316">
        <f ca="1">IF(Table2[[#This Row],[Start Date]]&gt;TODAY(),1,)</f>
        <v>1</v>
      </c>
      <c r="AI209" s="316">
        <f>IF(ISBLANK(Table2[[#This Row],[Primary Instructor]]),0,1)</f>
        <v>1</v>
      </c>
      <c r="AJ209" s="316">
        <f>IF(ISBLANK(Table2[[#This Row],[Instructor 2]]),0,1)</f>
        <v>0</v>
      </c>
      <c r="AK209" s="316">
        <f>Table2[[#This Row],[Course Length (Hours)]]/(SUM(Table2[[#This Row],[1]:[2]]))</f>
        <v>24</v>
      </c>
      <c r="AL209" s="638">
        <v>25</v>
      </c>
      <c r="AM209" s="433">
        <v>2</v>
      </c>
      <c r="AN209" s="363" t="str">
        <f>VLOOKUP(Table2[[#This Row],[Course Title]],'TSD-Data'!$A$1:$G$80,7,FALSE)</f>
        <v>N4</v>
      </c>
    </row>
    <row r="210" spans="2:40" s="428" customFormat="1" ht="15" customHeight="1" x14ac:dyDescent="0.25">
      <c r="B210" s="315"/>
      <c r="C210" s="364" t="s">
        <v>74</v>
      </c>
      <c r="D210" s="421" t="str">
        <f>VLOOKUP(Table2[[#This Row],[Course Title]],'TSD-Data'!$A$1:$E$80,2,FALSE)</f>
        <v>A-322-2604</v>
      </c>
      <c r="E210" s="421" t="str">
        <f>VLOOKUP(Table2[[#This Row],[Course Title]],'TSD-Data'!$A$1:$E$80,3,FALSE)</f>
        <v>10ZZ</v>
      </c>
      <c r="F210" s="364" t="s">
        <v>25</v>
      </c>
      <c r="G210" s="344">
        <v>46062</v>
      </c>
      <c r="H210" s="344">
        <v>46064</v>
      </c>
      <c r="I210" s="317" t="s">
        <v>163</v>
      </c>
      <c r="J210" s="318"/>
      <c r="K210" s="431">
        <v>0.5</v>
      </c>
      <c r="L210" s="429">
        <v>0.375</v>
      </c>
      <c r="M210" s="431">
        <v>0.83333333333333337</v>
      </c>
      <c r="N210" s="431">
        <v>0.75</v>
      </c>
      <c r="O210" s="431">
        <v>0.29166666666666669</v>
      </c>
      <c r="P210" s="431">
        <v>8.3333333333333329E-2</v>
      </c>
      <c r="Q210" s="321" t="s">
        <v>444</v>
      </c>
      <c r="R210" s="321"/>
      <c r="S210" s="321"/>
      <c r="T210" s="316">
        <f>VLOOKUP(Table2[[#This Row],[Course Title]],'TSD-Data'!$A$1:$E$80,4,FALSE)</f>
        <v>45</v>
      </c>
      <c r="U210" s="316">
        <f>VLOOKUP(Table2[[#This Row],[Course Title]],'TSD-Data'!$A$1:$F$80,6,FALSE)</f>
        <v>24</v>
      </c>
      <c r="V210" s="323">
        <f>VLOOKUP(Table2[[#This Row],[Course Title]],'TSD-Data'!$A$1:$F$80,5,FALSE)</f>
        <v>3</v>
      </c>
      <c r="W210" s="323">
        <v>621</v>
      </c>
      <c r="X210" s="316">
        <f>Table2[[#This Row],[Quotas]]-Table2[[#This Row],[Open Quotas]]</f>
        <v>16</v>
      </c>
      <c r="Y210" s="316">
        <v>0</v>
      </c>
      <c r="Z210" s="323"/>
      <c r="AA210" s="323"/>
      <c r="AB210" s="316"/>
      <c r="AC210" s="316"/>
      <c r="AD210" s="316"/>
      <c r="AE210" s="316"/>
      <c r="AF210" s="323">
        <f ca="1">Table2[[#This Row],[End Date]]+2-TODAY()</f>
        <v>59</v>
      </c>
      <c r="AG210" s="316">
        <f>IF(ISBLANK(Table2[[#This Row],[Roster Received by]]),1,0)</f>
        <v>1</v>
      </c>
      <c r="AH210" s="316">
        <f ca="1">IF(Table2[[#This Row],[Start Date]]&gt;TODAY(),1,)</f>
        <v>1</v>
      </c>
      <c r="AI210" s="316">
        <f>IF(ISBLANK(Table2[[#This Row],[Primary Instructor]]),0,1)</f>
        <v>1</v>
      </c>
      <c r="AJ210" s="316">
        <f>IF(ISBLANK(Table2[[#This Row],[Instructor 2]]),0,1)</f>
        <v>0</v>
      </c>
      <c r="AK210" s="316">
        <f>Table2[[#This Row],[Course Length (Hours)]]/(SUM(Table2[[#This Row],[1]:[2]]))</f>
        <v>24</v>
      </c>
      <c r="AL210" s="124">
        <v>29</v>
      </c>
      <c r="AM210" s="433">
        <v>2</v>
      </c>
      <c r="AN210" s="363" t="str">
        <f>VLOOKUP(Table2[[#This Row],[Course Title]],'TSD-Data'!$A$1:$G$80,7,FALSE)</f>
        <v>N8</v>
      </c>
    </row>
    <row r="211" spans="2:40" s="428" customFormat="1" ht="15" customHeight="1" x14ac:dyDescent="0.25">
      <c r="B211" s="315"/>
      <c r="C211" s="364" t="s">
        <v>100</v>
      </c>
      <c r="D211" s="316" t="str">
        <f>VLOOKUP(Table2[[#This Row],[Course Title]],'TSD-Data'!$A$1:$E$80,2,FALSE)</f>
        <v>A-493-0550</v>
      </c>
      <c r="E211" s="316" t="str">
        <f>VLOOKUP(Table2[[#This Row],[Course Title]],'TSD-Data'!$A$1:$E$80,3,FALSE)</f>
        <v>09K5</v>
      </c>
      <c r="F211" s="315" t="s">
        <v>25</v>
      </c>
      <c r="G211" s="344">
        <v>46062</v>
      </c>
      <c r="H211" s="344">
        <v>46065</v>
      </c>
      <c r="I211" s="317" t="s">
        <v>163</v>
      </c>
      <c r="J211" s="318"/>
      <c r="K211" s="345">
        <v>0.79166666666666663</v>
      </c>
      <c r="L211" s="429">
        <v>0.66666666666666663</v>
      </c>
      <c r="M211" s="429">
        <v>0.125</v>
      </c>
      <c r="N211" s="429">
        <v>4.1666666666666664E-2</v>
      </c>
      <c r="O211" s="429">
        <v>0.58333333333333337</v>
      </c>
      <c r="P211" s="429">
        <v>0.375</v>
      </c>
      <c r="Q211" s="321" t="s">
        <v>426</v>
      </c>
      <c r="R211" s="321"/>
      <c r="S211" s="321"/>
      <c r="T211" s="316">
        <f>VLOOKUP(Table2[[#This Row],[Course Title]],'TSD-Data'!$A$1:$E$80,4,FALSE)</f>
        <v>45</v>
      </c>
      <c r="U211" s="316">
        <f>VLOOKUP(Table2[[#This Row],[Course Title]],'TSD-Data'!$A$1:$F$80,6,FALSE)</f>
        <v>32</v>
      </c>
      <c r="V211" s="323">
        <f>VLOOKUP(Table2[[#This Row],[Course Title]],'TSD-Data'!$A$1:$F$80,5,FALSE)</f>
        <v>4</v>
      </c>
      <c r="W211" s="323">
        <v>180</v>
      </c>
      <c r="X211" s="316">
        <f>Table2[[#This Row],[Quotas]]-Table2[[#This Row],[Open Quotas]]</f>
        <v>11</v>
      </c>
      <c r="Y211" s="316">
        <v>0</v>
      </c>
      <c r="Z211" s="323"/>
      <c r="AA211" s="323"/>
      <c r="AB211" s="316"/>
      <c r="AC211" s="316"/>
      <c r="AD211" s="316"/>
      <c r="AE211" s="316"/>
      <c r="AF211" s="323">
        <f ca="1">Table2[[#This Row],[End Date]]+2-TODAY()</f>
        <v>60</v>
      </c>
      <c r="AG211" s="316">
        <f>IF(ISBLANK(Table2[[#This Row],[Roster Received by]]),1,0)</f>
        <v>1</v>
      </c>
      <c r="AH211" s="316">
        <f ca="1">IF(Table2[[#This Row],[Start Date]]&gt;TODAY(),1,)</f>
        <v>1</v>
      </c>
      <c r="AI211" s="316">
        <f>IF(ISBLANK(Table2[[#This Row],[Primary Instructor]]),0,1)</f>
        <v>1</v>
      </c>
      <c r="AJ211" s="316">
        <f>IF(ISBLANK(Table2[[#This Row],[Instructor 2]]),0,1)</f>
        <v>0</v>
      </c>
      <c r="AK211" s="316">
        <f>Table2[[#This Row],[Course Length (Hours)]]/(SUM(Table2[[#This Row],[1]:[2]]))</f>
        <v>32</v>
      </c>
      <c r="AL211" s="124">
        <v>34</v>
      </c>
      <c r="AM211" s="433">
        <v>2</v>
      </c>
      <c r="AN211" s="363" t="str">
        <f>VLOOKUP(Table2[[#This Row],[Course Title]],'TSD-Data'!$A$1:$G$80,7,FALSE)</f>
        <v>N5</v>
      </c>
    </row>
    <row r="212" spans="2:40" s="428" customFormat="1" ht="15" customHeight="1" x14ac:dyDescent="0.25">
      <c r="B212" s="315"/>
      <c r="C212" s="439" t="s">
        <v>94</v>
      </c>
      <c r="D212" s="316" t="str">
        <f>VLOOKUP(Table2[[#This Row],[Course Title]],'TSD-Data'!$A$1:$E$80,2,FALSE)</f>
        <v>A-493-0331</v>
      </c>
      <c r="E212" s="316" t="str">
        <f>VLOOKUP(Table2[[#This Row],[Course Title]],'TSD-Data'!$A$1:$E$80,3,FALSE)</f>
        <v>10UG</v>
      </c>
      <c r="F212" s="364" t="s">
        <v>25</v>
      </c>
      <c r="G212" s="416">
        <v>46063</v>
      </c>
      <c r="H212" s="416">
        <v>46065</v>
      </c>
      <c r="I212" s="317" t="s">
        <v>163</v>
      </c>
      <c r="J212" s="318"/>
      <c r="K212" s="431">
        <v>0.5</v>
      </c>
      <c r="L212" s="431">
        <v>0.375</v>
      </c>
      <c r="M212" s="431">
        <v>0.83333333333333337</v>
      </c>
      <c r="N212" s="431">
        <v>0.75</v>
      </c>
      <c r="O212" s="431">
        <v>0.29166666666666669</v>
      </c>
      <c r="P212" s="431">
        <v>8.3333333333333329E-2</v>
      </c>
      <c r="Q212" s="321" t="s">
        <v>436</v>
      </c>
      <c r="R212" s="321"/>
      <c r="S212" s="321"/>
      <c r="T212" s="316">
        <f>VLOOKUP(Table2[[#This Row],[Course Title]],'TSD-Data'!$A$1:$E$80,4,FALSE)</f>
        <v>45</v>
      </c>
      <c r="U212" s="316">
        <f>VLOOKUP(Table2[[#This Row],[Course Title]],'TSD-Data'!$A$1:$F$80,6,FALSE)</f>
        <v>24</v>
      </c>
      <c r="V212" s="323">
        <f>VLOOKUP(Table2[[#This Row],[Course Title]],'TSD-Data'!$A$1:$F$80,5,FALSE)</f>
        <v>3</v>
      </c>
      <c r="W212" s="323">
        <v>844</v>
      </c>
      <c r="X212" s="316">
        <f>Table2[[#This Row],[Quotas]]-Table2[[#This Row],[Open Quotas]]</f>
        <v>39</v>
      </c>
      <c r="Y212" s="316">
        <v>0</v>
      </c>
      <c r="Z212" s="323"/>
      <c r="AA212" s="323"/>
      <c r="AB212" s="316"/>
      <c r="AC212" s="316"/>
      <c r="AD212" s="316"/>
      <c r="AE212" s="316"/>
      <c r="AF212" s="323">
        <f ca="1">Table2[[#This Row],[End Date]]+2-TODAY()</f>
        <v>60</v>
      </c>
      <c r="AG212" s="316">
        <f>IF(ISBLANK(Table2[[#This Row],[Roster Received by]]),1,0)</f>
        <v>1</v>
      </c>
      <c r="AH212" s="316">
        <f ca="1">IF(Table2[[#This Row],[Start Date]]&gt;TODAY(),1,)</f>
        <v>1</v>
      </c>
      <c r="AI212" s="316">
        <f>IF(ISBLANK(Table2[[#This Row],[Primary Instructor]]),0,1)</f>
        <v>1</v>
      </c>
      <c r="AJ212" s="316">
        <f>IF(ISBLANK(Table2[[#This Row],[Instructor 2]]),0,1)</f>
        <v>0</v>
      </c>
      <c r="AK212" s="316">
        <f>Table2[[#This Row],[Course Length (Hours)]]/(SUM(Table2[[#This Row],[1]:[2]]))</f>
        <v>24</v>
      </c>
      <c r="AL212" s="124">
        <v>6</v>
      </c>
      <c r="AM212" s="433">
        <v>2</v>
      </c>
      <c r="AN212" s="363" t="str">
        <f>VLOOKUP(Table2[[#This Row],[Course Title]],'TSD-Data'!$A$1:$G$80,7,FALSE)</f>
        <v>N3</v>
      </c>
    </row>
    <row r="213" spans="2:40" s="428" customFormat="1" ht="15" customHeight="1" x14ac:dyDescent="0.25">
      <c r="B213" s="315"/>
      <c r="C213" s="442" t="s">
        <v>32</v>
      </c>
      <c r="D213" s="316" t="str">
        <f>VLOOKUP(Table2[[#This Row],[Course Title]],'TSD-Data'!$A$1:$E$80,2,FALSE)</f>
        <v>A-493-0015</v>
      </c>
      <c r="E213" s="316">
        <f>VLOOKUP(Table2[[#This Row],[Course Title]],'TSD-Data'!$A$1:$E$80,3,FALSE)</f>
        <v>3879</v>
      </c>
      <c r="F213" s="364" t="s">
        <v>25</v>
      </c>
      <c r="G213" s="344">
        <v>46064</v>
      </c>
      <c r="H213" s="344">
        <v>46064</v>
      </c>
      <c r="I213" s="317" t="s">
        <v>163</v>
      </c>
      <c r="J213" s="318"/>
      <c r="K213" s="345">
        <v>0.79166666666666663</v>
      </c>
      <c r="L213" s="429">
        <v>0.66666666666666663</v>
      </c>
      <c r="M213" s="429">
        <v>0.125</v>
      </c>
      <c r="N213" s="429">
        <v>4.1666666666666664E-2</v>
      </c>
      <c r="O213" s="429">
        <v>0.58333333333333337</v>
      </c>
      <c r="P213" s="429">
        <v>0.375</v>
      </c>
      <c r="Q213" s="321" t="s">
        <v>175</v>
      </c>
      <c r="R213" s="321"/>
      <c r="S213" s="321"/>
      <c r="T213" s="316">
        <f>VLOOKUP(Table2[[#This Row],[Course Title]],'TSD-Data'!$A$1:$E$80,4,FALSE)</f>
        <v>30</v>
      </c>
      <c r="U213" s="316">
        <f>VLOOKUP(Table2[[#This Row],[Course Title]],'TSD-Data'!$A$1:$F$80,6,FALSE)</f>
        <v>4</v>
      </c>
      <c r="V213" s="323">
        <f>VLOOKUP(Table2[[#This Row],[Course Title]],'TSD-Data'!$A$1:$F$80,5,FALSE)</f>
        <v>0.5</v>
      </c>
      <c r="W213" s="323">
        <v>0</v>
      </c>
      <c r="X213" s="316">
        <f>Table2[[#This Row],[Quotas]]-Table2[[#This Row],[Open Quotas]]</f>
        <v>17</v>
      </c>
      <c r="Y213" s="316">
        <v>0</v>
      </c>
      <c r="Z213" s="323"/>
      <c r="AA213" s="323"/>
      <c r="AB213" s="316"/>
      <c r="AC213" s="316"/>
      <c r="AD213" s="316"/>
      <c r="AE213" s="316"/>
      <c r="AF213" s="323">
        <f ca="1">Table2[[#This Row],[End Date]]+2-TODAY()</f>
        <v>59</v>
      </c>
      <c r="AG213" s="316">
        <f>IF(ISBLANK(Table2[[#This Row],[Roster Received by]]),1,0)</f>
        <v>1</v>
      </c>
      <c r="AH213" s="316">
        <f ca="1">IF(Table2[[#This Row],[Start Date]]&gt;TODAY(),1,)</f>
        <v>1</v>
      </c>
      <c r="AI213" s="316">
        <f>IF(ISBLANK(Table2[[#This Row],[Primary Instructor]]),0,1)</f>
        <v>1</v>
      </c>
      <c r="AJ213" s="316">
        <f>IF(ISBLANK(Table2[[#This Row],[Instructor 2]]),0,1)</f>
        <v>0</v>
      </c>
      <c r="AK213" s="316">
        <f>Table2[[#This Row],[Course Length (Hours)]]/(SUM(Table2[[#This Row],[1]:[2]]))</f>
        <v>4</v>
      </c>
      <c r="AL213" s="638">
        <v>13</v>
      </c>
      <c r="AM213" s="433">
        <v>2</v>
      </c>
      <c r="AN213" s="363" t="str">
        <f>VLOOKUP(Table2[[#This Row],[Course Title]],'TSD-Data'!$A$1:$G$80,7,FALSE)</f>
        <v>N3</v>
      </c>
    </row>
    <row r="214" spans="2:40" s="428" customFormat="1" ht="15" customHeight="1" x14ac:dyDescent="0.25">
      <c r="B214" s="315"/>
      <c r="C214" s="442" t="s">
        <v>36</v>
      </c>
      <c r="D214" s="316" t="str">
        <f>VLOOKUP(Table2[[#This Row],[Course Title]],'TSD-Data'!$A$1:$E$80,2,FALSE)</f>
        <v>A-493-0020</v>
      </c>
      <c r="E214" s="316">
        <f>VLOOKUP(Table2[[#This Row],[Course Title]],'TSD-Data'!$A$1:$E$80,3,FALSE)</f>
        <v>3888</v>
      </c>
      <c r="F214" s="364" t="s">
        <v>25</v>
      </c>
      <c r="G214" s="344">
        <v>46065</v>
      </c>
      <c r="H214" s="344">
        <v>46065</v>
      </c>
      <c r="I214" s="317" t="s">
        <v>163</v>
      </c>
      <c r="J214" s="318"/>
      <c r="K214" s="345">
        <v>0.79166666666666663</v>
      </c>
      <c r="L214" s="429">
        <v>0.66666666666666663</v>
      </c>
      <c r="M214" s="429">
        <v>0.125</v>
      </c>
      <c r="N214" s="429">
        <v>4.1666666666666664E-2</v>
      </c>
      <c r="O214" s="429">
        <v>0.58333333333333337</v>
      </c>
      <c r="P214" s="429">
        <v>0.375</v>
      </c>
      <c r="Q214" s="321" t="s">
        <v>175</v>
      </c>
      <c r="R214" s="321"/>
      <c r="S214" s="321"/>
      <c r="T214" s="316">
        <f>VLOOKUP(Table2[[#This Row],[Course Title]],'TSD-Data'!$A$1:$E$80,4,FALSE)</f>
        <v>30</v>
      </c>
      <c r="U214" s="316">
        <f>VLOOKUP(Table2[[#This Row],[Course Title]],'TSD-Data'!$A$1:$F$80,6,FALSE)</f>
        <v>4</v>
      </c>
      <c r="V214" s="323">
        <f>VLOOKUP(Table2[[#This Row],[Course Title]],'TSD-Data'!$A$1:$F$80,5,FALSE)</f>
        <v>0.5</v>
      </c>
      <c r="W214" s="323">
        <v>0</v>
      </c>
      <c r="X214" s="316">
        <f>Table2[[#This Row],[Quotas]]-Table2[[#This Row],[Open Quotas]]</f>
        <v>10</v>
      </c>
      <c r="Y214" s="316">
        <v>0</v>
      </c>
      <c r="Z214" s="323"/>
      <c r="AA214" s="323"/>
      <c r="AB214" s="316"/>
      <c r="AC214" s="316"/>
      <c r="AD214" s="316"/>
      <c r="AE214" s="316"/>
      <c r="AF214" s="323">
        <f ca="1">Table2[[#This Row],[End Date]]+2-TODAY()</f>
        <v>60</v>
      </c>
      <c r="AG214" s="316">
        <f>IF(ISBLANK(Table2[[#This Row],[Roster Received by]]),1,0)</f>
        <v>1</v>
      </c>
      <c r="AH214" s="316">
        <f ca="1">IF(Table2[[#This Row],[Start Date]]&gt;TODAY(),1,)</f>
        <v>1</v>
      </c>
      <c r="AI214" s="316">
        <f>IF(ISBLANK(Table2[[#This Row],[Primary Instructor]]),0,1)</f>
        <v>1</v>
      </c>
      <c r="AJ214" s="316">
        <f>IF(ISBLANK(Table2[[#This Row],[Instructor 2]]),0,1)</f>
        <v>0</v>
      </c>
      <c r="AK214" s="316">
        <f>Table2[[#This Row],[Course Length (Hours)]]/(SUM(Table2[[#This Row],[1]:[2]]))</f>
        <v>4</v>
      </c>
      <c r="AL214" s="124">
        <v>20</v>
      </c>
      <c r="AM214" s="433">
        <v>2</v>
      </c>
      <c r="AN214" s="363" t="str">
        <f>VLOOKUP(Table2[[#This Row],[Course Title]],'TSD-Data'!$A$1:$G$80,7,FALSE)</f>
        <v>N3</v>
      </c>
    </row>
    <row r="215" spans="2:40" s="428" customFormat="1" ht="15" customHeight="1" x14ac:dyDescent="0.25">
      <c r="B215" s="315"/>
      <c r="C215" s="94" t="s">
        <v>80</v>
      </c>
      <c r="D215" s="70" t="str">
        <f>VLOOKUP(Table2[[#This Row],[Course Title]],'TSD-Data'!$A$1:$E$80,2,FALSE)</f>
        <v>A-493-0083</v>
      </c>
      <c r="E215" s="70" t="str">
        <f>VLOOKUP(Table2[[#This Row],[Course Title]],'TSD-Data'!$A$1:$E$80,3,FALSE)</f>
        <v>339E</v>
      </c>
      <c r="F215" s="94" t="s">
        <v>263</v>
      </c>
      <c r="G215" s="72">
        <v>46065</v>
      </c>
      <c r="H215" s="72">
        <v>46065</v>
      </c>
      <c r="I215" s="317" t="s">
        <v>163</v>
      </c>
      <c r="J215" s="318">
        <v>0.33333333333333331</v>
      </c>
      <c r="K215" s="318"/>
      <c r="L215" s="344"/>
      <c r="M215" s="317"/>
      <c r="N215" s="317"/>
      <c r="O215" s="317"/>
      <c r="P215" s="317"/>
      <c r="Q215" s="321" t="s">
        <v>168</v>
      </c>
      <c r="R215" s="321"/>
      <c r="S215" s="321"/>
      <c r="T215" s="316">
        <f>VLOOKUP(Table2[[#This Row],[Course Title]],'TSD-Data'!$A$1:$E$80,4,FALSE)</f>
        <v>30</v>
      </c>
      <c r="U215" s="316">
        <f>VLOOKUP(Table2[[#This Row],[Course Title]],'TSD-Data'!$A$1:$F$80,6,FALSE)</f>
        <v>8</v>
      </c>
      <c r="V215" s="323">
        <f>VLOOKUP(Table2[[#This Row],[Course Title]],'TSD-Data'!$A$1:$F$80,5,FALSE)</f>
        <v>1</v>
      </c>
      <c r="W215" s="323">
        <v>59</v>
      </c>
      <c r="X215" s="316">
        <f>Table2[[#This Row],[Quotas]]-Table2[[#This Row],[Open Quotas]]</f>
        <v>0</v>
      </c>
      <c r="Y215" s="316"/>
      <c r="Z215" s="323"/>
      <c r="AA215" s="323"/>
      <c r="AB215" s="363"/>
      <c r="AC215" s="363"/>
      <c r="AD215" s="316"/>
      <c r="AE215" s="316"/>
      <c r="AF215" s="323">
        <f ca="1">Table2[[#This Row],[End Date]]+2-TODAY()</f>
        <v>60</v>
      </c>
      <c r="AG215" s="316">
        <f>IF(ISBLANK(Table2[[#This Row],[Roster Received by]]),1,0)</f>
        <v>1</v>
      </c>
      <c r="AH215" s="316">
        <f ca="1">IF(Table2[[#This Row],[Start Date]]&gt;TODAY(),1,)</f>
        <v>1</v>
      </c>
      <c r="AI215" s="316">
        <f>IF(ISBLANK(Table2[[#This Row],[Primary Instructor]]),0,1)</f>
        <v>1</v>
      </c>
      <c r="AJ215" s="316">
        <f>IF(ISBLANK(Table2[[#This Row],[Instructor 2]]),0,1)</f>
        <v>0</v>
      </c>
      <c r="AK215" s="316">
        <f>Table2[[#This Row],[Course Length (Hours)]]/(SUM(Table2[[#This Row],[1]:[2]]))</f>
        <v>8</v>
      </c>
      <c r="AL215" s="638">
        <v>30</v>
      </c>
      <c r="AM215" s="433">
        <v>2</v>
      </c>
      <c r="AN215" s="363" t="str">
        <f>VLOOKUP(Table2[[#This Row],[Course Title]],'TSD-Data'!$A$1:$G$80,7,FALSE)</f>
        <v>N4</v>
      </c>
    </row>
    <row r="216" spans="2:40" s="428" customFormat="1" ht="15" customHeight="1" x14ac:dyDescent="0.25">
      <c r="B216" s="364" t="s">
        <v>459</v>
      </c>
      <c r="C216" s="94" t="s">
        <v>110</v>
      </c>
      <c r="D216" s="70" t="str">
        <f>VLOOKUP(Table2[[#This Row],[Course Title]],'TSD-Data'!$A$1:$E$80,2,FALSE)</f>
        <v>A-493-2501</v>
      </c>
      <c r="E216" s="70" t="str">
        <f>VLOOKUP(Table2[[#This Row],[Course Title]],'TSD-Data'!$A$1:$E$80,3,FALSE)</f>
        <v>05ZE</v>
      </c>
      <c r="F216" s="94" t="s">
        <v>286</v>
      </c>
      <c r="G216" s="72">
        <v>46066</v>
      </c>
      <c r="H216" s="72">
        <v>46066</v>
      </c>
      <c r="I216" s="317" t="s">
        <v>163</v>
      </c>
      <c r="J216" s="318">
        <v>0.33333333333333331</v>
      </c>
      <c r="K216" s="318"/>
      <c r="L216" s="344"/>
      <c r="M216" s="317"/>
      <c r="N216" s="317"/>
      <c r="O216" s="317"/>
      <c r="P216" s="317"/>
      <c r="Q216" s="321" t="s">
        <v>168</v>
      </c>
      <c r="R216" s="321"/>
      <c r="S216" s="321"/>
      <c r="T216" s="316">
        <f>VLOOKUP(Table2[[#This Row],[Course Title]],'TSD-Data'!$A$1:$E$80,4,FALSE)</f>
        <v>30</v>
      </c>
      <c r="U216" s="316">
        <f>VLOOKUP(Table2[[#This Row],[Course Title]],'TSD-Data'!$A$1:$F$80,6,FALSE)</f>
        <v>8</v>
      </c>
      <c r="V216" s="323">
        <f>VLOOKUP(Table2[[#This Row],[Course Title]],'TSD-Data'!$A$1:$F$80,5,FALSE)</f>
        <v>1</v>
      </c>
      <c r="W216" s="323">
        <v>51</v>
      </c>
      <c r="X216" s="316">
        <f>Table2[[#This Row],[Quotas]]-Table2[[#This Row],[Open Quotas]]</f>
        <v>0</v>
      </c>
      <c r="Y216" s="316"/>
      <c r="Z216" s="323"/>
      <c r="AA216" s="323"/>
      <c r="AB216" s="363"/>
      <c r="AC216" s="363"/>
      <c r="AD216" s="316"/>
      <c r="AE216" s="316"/>
      <c r="AF216" s="323">
        <f ca="1">Table2[[#This Row],[End Date]]+2-TODAY()</f>
        <v>61</v>
      </c>
      <c r="AG216" s="316">
        <f>IF(ISBLANK(Table2[[#This Row],[Roster Received by]]),1,0)</f>
        <v>1</v>
      </c>
      <c r="AH216" s="316">
        <f ca="1">IF(Table2[[#This Row],[Start Date]]&gt;TODAY(),1,)</f>
        <v>1</v>
      </c>
      <c r="AI216" s="316">
        <f>IF(ISBLANK(Table2[[#This Row],[Primary Instructor]]),0,1)</f>
        <v>1</v>
      </c>
      <c r="AJ216" s="316">
        <f>IF(ISBLANK(Table2[[#This Row],[Instructor 2]]),0,1)</f>
        <v>0</v>
      </c>
      <c r="AK216" s="316">
        <f>Table2[[#This Row],[Course Length (Hours)]]/(SUM(Table2[[#This Row],[1]:[2]]))</f>
        <v>8</v>
      </c>
      <c r="AL216" s="638">
        <v>30</v>
      </c>
      <c r="AM216" s="433">
        <v>2</v>
      </c>
      <c r="AN216" s="363" t="str">
        <f>VLOOKUP(Table2[[#This Row],[Course Title]],'TSD-Data'!$A$1:$G$80,7,FALSE)</f>
        <v>N4</v>
      </c>
    </row>
    <row r="217" spans="2:40" s="428" customFormat="1" ht="15" customHeight="1" x14ac:dyDescent="0.25">
      <c r="B217" s="315"/>
      <c r="C217" s="364" t="s">
        <v>48</v>
      </c>
      <c r="D217" s="363" t="str">
        <f>VLOOKUP(Table2[[#This Row],[Course Title]],'TSD-Data'!$A$1:$E$80,2,FALSE)</f>
        <v>A-493-0103</v>
      </c>
      <c r="E217" s="363" t="str">
        <f>VLOOKUP(Table2[[#This Row],[Course Title]],'TSD-Data'!$A$1:$E$80,3,FALSE)</f>
        <v>12JY</v>
      </c>
      <c r="F217" s="441" t="s">
        <v>279</v>
      </c>
      <c r="G217" s="344">
        <v>46069</v>
      </c>
      <c r="H217" s="344">
        <v>46073</v>
      </c>
      <c r="I217" s="317" t="s">
        <v>163</v>
      </c>
      <c r="J217" s="318">
        <v>0.33333333333333331</v>
      </c>
      <c r="K217" s="318"/>
      <c r="L217" s="344"/>
      <c r="M217" s="317"/>
      <c r="N217" s="317"/>
      <c r="O217" s="317"/>
      <c r="P217" s="317"/>
      <c r="Q217" s="321" t="s">
        <v>275</v>
      </c>
      <c r="R217" s="321"/>
      <c r="S217" s="321"/>
      <c r="T217" s="316">
        <f>VLOOKUP(Table2[[#This Row],[Course Title]],'TSD-Data'!$A$1:$E$80,4,FALSE)</f>
        <v>25</v>
      </c>
      <c r="U217" s="316">
        <f>VLOOKUP(Table2[[#This Row],[Course Title]],'TSD-Data'!$A$1:$F$80,6,FALSE)</f>
        <v>40</v>
      </c>
      <c r="V217" s="323">
        <f>VLOOKUP(Table2[[#This Row],[Course Title]],'TSD-Data'!$A$1:$F$80,5,FALSE)</f>
        <v>5</v>
      </c>
      <c r="W217" s="323">
        <v>225</v>
      </c>
      <c r="X217" s="316">
        <f>Table2[[#This Row],[Quotas]]-Table2[[#This Row],[Open Quotas]]</f>
        <v>1</v>
      </c>
      <c r="Y217" s="316">
        <v>0</v>
      </c>
      <c r="Z217" s="323"/>
      <c r="AA217" s="323"/>
      <c r="AB217" s="363"/>
      <c r="AC217" s="363"/>
      <c r="AD217" s="316"/>
      <c r="AE217" s="316"/>
      <c r="AF217" s="323">
        <f ca="1">Table2[[#This Row],[End Date]]+2-TODAY()</f>
        <v>68</v>
      </c>
      <c r="AG217" s="316">
        <f>IF(ISBLANK(Table2[[#This Row],[Roster Received by]]),1,0)</f>
        <v>1</v>
      </c>
      <c r="AH217" s="316">
        <f ca="1">IF(Table2[[#This Row],[Start Date]]&gt;TODAY(),1,)</f>
        <v>1</v>
      </c>
      <c r="AI217" s="316">
        <f>IF(ISBLANK(Table2[[#This Row],[Primary Instructor]]),0,1)</f>
        <v>1</v>
      </c>
      <c r="AJ217" s="316">
        <f>IF(ISBLANK(Table2[[#This Row],[Instructor 2]]),0,1)</f>
        <v>0</v>
      </c>
      <c r="AK217" s="316">
        <f>Table2[[#This Row],[Course Length (Hours)]]/(SUM(Table2[[#This Row],[1]:[2]]))</f>
        <v>40</v>
      </c>
      <c r="AL217" s="638">
        <v>24</v>
      </c>
      <c r="AM217" s="433">
        <v>2</v>
      </c>
      <c r="AN217" s="363" t="str">
        <f>VLOOKUP(Table2[[#This Row],[Course Title]],'TSD-Data'!$A$1:$G$80,7,FALSE)</f>
        <v>N5</v>
      </c>
    </row>
    <row r="218" spans="2:40" s="428" customFormat="1" x14ac:dyDescent="0.25">
      <c r="B218" s="315" t="s">
        <v>244</v>
      </c>
      <c r="C218" s="315" t="s">
        <v>238</v>
      </c>
      <c r="D218" s="316" t="str">
        <f>VLOOKUP(Table2[[#This Row],[Course Title]],'TSD-Data'!$A$1:$E$80,2,FALSE)</f>
        <v>Holiday</v>
      </c>
      <c r="E218" s="316" t="str">
        <f>VLOOKUP(Table2[[#This Row],[Course Title]],'TSD-Data'!$A$1:$E$80,3,FALSE)</f>
        <v>Holiday</v>
      </c>
      <c r="F218" s="315" t="s">
        <v>238</v>
      </c>
      <c r="G218" s="344">
        <v>46069</v>
      </c>
      <c r="H218" s="344">
        <v>46069</v>
      </c>
      <c r="I218" s="317" t="s">
        <v>433</v>
      </c>
      <c r="J218" s="318"/>
      <c r="K218" s="318"/>
      <c r="L218" s="344"/>
      <c r="M218" s="317"/>
      <c r="N218" s="317"/>
      <c r="O218" s="317"/>
      <c r="P218" s="317"/>
      <c r="Q218" s="435" t="s">
        <v>434</v>
      </c>
      <c r="R218" s="321"/>
      <c r="S218" s="445"/>
      <c r="T218" s="316">
        <f>VLOOKUP(Table2[[#This Row],[Course Title]],'TSD-Data'!$A$1:$E$80,4,FALSE)</f>
        <v>0</v>
      </c>
      <c r="U218" s="316">
        <f>VLOOKUP(Table2[[#This Row],[Course Title]],'TSD-Data'!$A$1:$F$80,6,FALSE)</f>
        <v>0</v>
      </c>
      <c r="V218" s="323">
        <f>VLOOKUP(Table2[[#This Row],[Course Title]],'TSD-Data'!$A$1:$F$80,5,FALSE)</f>
        <v>0</v>
      </c>
      <c r="W218" s="323">
        <v>0</v>
      </c>
      <c r="X218" s="316">
        <f>Table2[[#This Row],[Quotas]]-Table2[[#This Row],[Open Quotas]]</f>
        <v>0</v>
      </c>
      <c r="Y218" s="316">
        <v>0</v>
      </c>
      <c r="Z218" s="316">
        <v>0</v>
      </c>
      <c r="AA218" s="316">
        <v>0</v>
      </c>
      <c r="AB218" s="316">
        <v>0</v>
      </c>
      <c r="AC218" s="316">
        <v>0</v>
      </c>
      <c r="AD218" s="316">
        <v>0</v>
      </c>
      <c r="AE218" s="316" t="s">
        <v>435</v>
      </c>
      <c r="AF218" s="323">
        <f ca="1">Table2[[#This Row],[End Date]]+2-TODAY()</f>
        <v>64</v>
      </c>
      <c r="AG218" s="316">
        <f>IF(ISBLANK(Table2[[#This Row],[Roster Received by]]),1,0)</f>
        <v>0</v>
      </c>
      <c r="AH218" s="316">
        <f ca="1">IF(Table2[[#This Row],[Start Date]]&gt;TODAY(),1,)</f>
        <v>1</v>
      </c>
      <c r="AI218" s="316">
        <f>IF(ISBLANK(Table2[[#This Row],[Primary Instructor]]),0,1)</f>
        <v>1</v>
      </c>
      <c r="AJ218" s="316">
        <f>IF(ISBLANK(Table2[[#This Row],[Instructor 2]]),0,1)</f>
        <v>0</v>
      </c>
      <c r="AK218" s="316">
        <f>Table2[[#This Row],[Course Length (Hours)]]/(SUM(Table2[[#This Row],[1]:[2]]))</f>
        <v>0</v>
      </c>
      <c r="AL218" s="124"/>
      <c r="AM218" s="433">
        <v>2</v>
      </c>
      <c r="AN218" s="363" t="str">
        <f>VLOOKUP(Table2[[#This Row],[Course Title]],'TSD-Data'!$A$1:$G$80,7,FALSE)</f>
        <v>TSD</v>
      </c>
    </row>
    <row r="219" spans="2:40" s="428" customFormat="1" ht="15" customHeight="1" x14ac:dyDescent="0.25">
      <c r="B219" s="315"/>
      <c r="C219" s="439" t="s">
        <v>94</v>
      </c>
      <c r="D219" s="421" t="str">
        <f>VLOOKUP(Table2[[#This Row],[Course Title]],'TSD-Data'!$A$1:$E$80,2,FALSE)</f>
        <v>A-493-0331</v>
      </c>
      <c r="E219" s="421" t="str">
        <f>VLOOKUP(Table2[[#This Row],[Course Title]],'TSD-Data'!$A$1:$E$80,3,FALSE)</f>
        <v>10UG</v>
      </c>
      <c r="F219" s="364" t="s">
        <v>25</v>
      </c>
      <c r="G219" s="344">
        <v>46070</v>
      </c>
      <c r="H219" s="344">
        <v>46072</v>
      </c>
      <c r="I219" s="317" t="s">
        <v>163</v>
      </c>
      <c r="J219" s="318"/>
      <c r="K219" s="431">
        <v>0.5</v>
      </c>
      <c r="L219" s="429">
        <v>0.375</v>
      </c>
      <c r="M219" s="431">
        <v>0.83333333333333337</v>
      </c>
      <c r="N219" s="431">
        <v>0.75</v>
      </c>
      <c r="O219" s="431">
        <v>0.29166666666666669</v>
      </c>
      <c r="P219" s="431">
        <v>8.3333333333333329E-2</v>
      </c>
      <c r="Q219" s="321" t="s">
        <v>436</v>
      </c>
      <c r="R219" s="321"/>
      <c r="S219" s="321"/>
      <c r="T219" s="316">
        <f>VLOOKUP(Table2[[#This Row],[Course Title]],'TSD-Data'!$A$1:$E$80,4,FALSE)</f>
        <v>45</v>
      </c>
      <c r="U219" s="316">
        <f>VLOOKUP(Table2[[#This Row],[Course Title]],'TSD-Data'!$A$1:$F$80,6,FALSE)</f>
        <v>24</v>
      </c>
      <c r="V219" s="323">
        <f>VLOOKUP(Table2[[#This Row],[Course Title]],'TSD-Data'!$A$1:$F$80,5,FALSE)</f>
        <v>3</v>
      </c>
      <c r="W219" s="323">
        <v>844</v>
      </c>
      <c r="X219" s="316">
        <f>Table2[[#This Row],[Quotas]]-Table2[[#This Row],[Open Quotas]]</f>
        <v>15</v>
      </c>
      <c r="Y219" s="316">
        <v>0</v>
      </c>
      <c r="Z219" s="323"/>
      <c r="AA219" s="323"/>
      <c r="AB219" s="316"/>
      <c r="AC219" s="316"/>
      <c r="AD219" s="316"/>
      <c r="AE219" s="316"/>
      <c r="AF219" s="323">
        <f ca="1">Table2[[#This Row],[End Date]]+2-TODAY()</f>
        <v>67</v>
      </c>
      <c r="AG219" s="316">
        <f>IF(ISBLANK(Table2[[#This Row],[Roster Received by]]),1,0)</f>
        <v>1</v>
      </c>
      <c r="AH219" s="316">
        <f ca="1">IF(Table2[[#This Row],[Start Date]]&gt;TODAY(),1,)</f>
        <v>1</v>
      </c>
      <c r="AI219" s="316">
        <f>IF(ISBLANK(Table2[[#This Row],[Primary Instructor]]),0,1)</f>
        <v>1</v>
      </c>
      <c r="AJ219" s="316">
        <f>IF(ISBLANK(Table2[[#This Row],[Instructor 2]]),0,1)</f>
        <v>0</v>
      </c>
      <c r="AK219" s="316">
        <f>Table2[[#This Row],[Course Length (Hours)]]/(SUM(Table2[[#This Row],[1]:[2]]))</f>
        <v>24</v>
      </c>
      <c r="AL219" s="124">
        <v>30</v>
      </c>
      <c r="AM219" s="433">
        <v>2</v>
      </c>
      <c r="AN219" s="363" t="str">
        <f>VLOOKUP(Table2[[#This Row],[Course Title]],'TSD-Data'!$A$1:$G$80,7,FALSE)</f>
        <v>N3</v>
      </c>
    </row>
    <row r="220" spans="2:40" s="428" customFormat="1" ht="15" customHeight="1" x14ac:dyDescent="0.25">
      <c r="B220" s="315"/>
      <c r="C220" s="94" t="s">
        <v>77</v>
      </c>
      <c r="D220" s="70" t="str">
        <f>VLOOKUP(Table2[[#This Row],[Course Title]],'TSD-Data'!$A$1:$E$80,2,FALSE)</f>
        <v>A-493-0077</v>
      </c>
      <c r="E220" s="70" t="str">
        <f>VLOOKUP(Table2[[#This Row],[Course Title]],'TSD-Data'!$A$1:$E$80,3,FALSE)</f>
        <v>0381</v>
      </c>
      <c r="F220" s="94" t="s">
        <v>294</v>
      </c>
      <c r="G220" s="72">
        <v>46071</v>
      </c>
      <c r="H220" s="72">
        <v>46073</v>
      </c>
      <c r="I220" s="317" t="s">
        <v>163</v>
      </c>
      <c r="J220" s="318">
        <v>0.33333333333333331</v>
      </c>
      <c r="K220" s="318"/>
      <c r="L220" s="344"/>
      <c r="M220" s="317"/>
      <c r="N220" s="317"/>
      <c r="O220" s="317"/>
      <c r="P220" s="317"/>
      <c r="Q220" s="321" t="s">
        <v>168</v>
      </c>
      <c r="R220" s="321"/>
      <c r="S220" s="321"/>
      <c r="T220" s="316">
        <f>VLOOKUP(Table2[[#This Row],[Course Title]],'TSD-Data'!$A$1:$E$80,4,FALSE)</f>
        <v>25</v>
      </c>
      <c r="U220" s="316">
        <f>VLOOKUP(Table2[[#This Row],[Course Title]],'TSD-Data'!$A$1:$F$80,6,FALSE)</f>
        <v>24</v>
      </c>
      <c r="V220" s="323">
        <f>VLOOKUP(Table2[[#This Row],[Course Title]],'TSD-Data'!$A$1:$F$80,5,FALSE)</f>
        <v>3</v>
      </c>
      <c r="W220" s="323">
        <v>31</v>
      </c>
      <c r="X220" s="316">
        <f>Table2[[#This Row],[Quotas]]-Table2[[#This Row],[Open Quotas]]</f>
        <v>3</v>
      </c>
      <c r="Y220" s="316"/>
      <c r="Z220" s="323"/>
      <c r="AA220" s="323"/>
      <c r="AB220" s="363"/>
      <c r="AC220" s="363"/>
      <c r="AD220" s="316"/>
      <c r="AE220" s="316"/>
      <c r="AF220" s="323">
        <f ca="1">Table2[[#This Row],[End Date]]+2-TODAY()</f>
        <v>68</v>
      </c>
      <c r="AG220" s="316">
        <f>IF(ISBLANK(Table2[[#This Row],[Roster Received by]]),1,0)</f>
        <v>1</v>
      </c>
      <c r="AH220" s="316">
        <f ca="1">IF(Table2[[#This Row],[Start Date]]&gt;TODAY(),1,)</f>
        <v>1</v>
      </c>
      <c r="AI220" s="316">
        <f>IF(ISBLANK(Table2[[#This Row],[Primary Instructor]]),0,1)</f>
        <v>1</v>
      </c>
      <c r="AJ220" s="316">
        <f>IF(ISBLANK(Table2[[#This Row],[Instructor 2]]),0,1)</f>
        <v>0</v>
      </c>
      <c r="AK220" s="316">
        <f>Table2[[#This Row],[Course Length (Hours)]]/(SUM(Table2[[#This Row],[1]:[2]]))</f>
        <v>24</v>
      </c>
      <c r="AL220" s="638">
        <v>22</v>
      </c>
      <c r="AM220" s="433">
        <v>2</v>
      </c>
      <c r="AN220" s="363" t="str">
        <f>VLOOKUP(Table2[[#This Row],[Course Title]],'TSD-Data'!$A$1:$G$80,7,FALSE)</f>
        <v>N4</v>
      </c>
    </row>
    <row r="221" spans="2:40" s="428" customFormat="1" ht="15" customHeight="1" x14ac:dyDescent="0.25">
      <c r="B221" s="315"/>
      <c r="C221" s="94" t="s">
        <v>77</v>
      </c>
      <c r="D221" s="70" t="str">
        <f>VLOOKUP(Table2[[#This Row],[Course Title]],'TSD-Data'!$A$1:$E$80,2,FALSE)</f>
        <v>A-493-0077</v>
      </c>
      <c r="E221" s="70" t="str">
        <f>VLOOKUP(Table2[[#This Row],[Course Title]],'TSD-Data'!$A$1:$E$80,3,FALSE)</f>
        <v>0381</v>
      </c>
      <c r="F221" s="94" t="s">
        <v>298</v>
      </c>
      <c r="G221" s="72">
        <v>46071</v>
      </c>
      <c r="H221" s="72">
        <v>46073</v>
      </c>
      <c r="I221" s="317" t="s">
        <v>163</v>
      </c>
      <c r="J221" s="318">
        <v>0.33333333333333331</v>
      </c>
      <c r="K221" s="318"/>
      <c r="L221" s="344"/>
      <c r="M221" s="317"/>
      <c r="N221" s="317"/>
      <c r="O221" s="317"/>
      <c r="P221" s="317"/>
      <c r="Q221" s="321" t="s">
        <v>168</v>
      </c>
      <c r="R221" s="321"/>
      <c r="S221" s="321"/>
      <c r="T221" s="316">
        <f>VLOOKUP(Table2[[#This Row],[Course Title]],'TSD-Data'!$A$1:$E$80,4,FALSE)</f>
        <v>25</v>
      </c>
      <c r="U221" s="316">
        <f>VLOOKUP(Table2[[#This Row],[Course Title]],'TSD-Data'!$A$1:$F$80,6,FALSE)</f>
        <v>24</v>
      </c>
      <c r="V221" s="323">
        <f>VLOOKUP(Table2[[#This Row],[Course Title]],'TSD-Data'!$A$1:$F$80,5,FALSE)</f>
        <v>3</v>
      </c>
      <c r="W221" s="323">
        <v>34</v>
      </c>
      <c r="X221" s="316">
        <f>Table2[[#This Row],[Quotas]]-Table2[[#This Row],[Open Quotas]]</f>
        <v>2</v>
      </c>
      <c r="Y221" s="316"/>
      <c r="Z221" s="323"/>
      <c r="AA221" s="323"/>
      <c r="AB221" s="363"/>
      <c r="AC221" s="363"/>
      <c r="AD221" s="316"/>
      <c r="AE221" s="316"/>
      <c r="AF221" s="323">
        <f ca="1">Table2[[#This Row],[End Date]]+2-TODAY()</f>
        <v>68</v>
      </c>
      <c r="AG221" s="316">
        <f>IF(ISBLANK(Table2[[#This Row],[Roster Received by]]),1,0)</f>
        <v>1</v>
      </c>
      <c r="AH221" s="316">
        <f ca="1">IF(Table2[[#This Row],[Start Date]]&gt;TODAY(),1,)</f>
        <v>1</v>
      </c>
      <c r="AI221" s="316">
        <f>IF(ISBLANK(Table2[[#This Row],[Primary Instructor]]),0,1)</f>
        <v>1</v>
      </c>
      <c r="AJ221" s="316">
        <f>IF(ISBLANK(Table2[[#This Row],[Instructor 2]]),0,1)</f>
        <v>0</v>
      </c>
      <c r="AK221" s="316">
        <f>Table2[[#This Row],[Course Length (Hours)]]/(SUM(Table2[[#This Row],[1]:[2]]))</f>
        <v>24</v>
      </c>
      <c r="AL221" s="638">
        <v>23</v>
      </c>
      <c r="AM221" s="433">
        <v>2</v>
      </c>
      <c r="AN221" s="363" t="str">
        <f>VLOOKUP(Table2[[#This Row],[Course Title]],'TSD-Data'!$A$1:$G$80,7,FALSE)</f>
        <v>N4</v>
      </c>
    </row>
    <row r="222" spans="2:40" s="428" customFormat="1" ht="15" customHeight="1" x14ac:dyDescent="0.25">
      <c r="B222" s="315"/>
      <c r="C222" s="442" t="s">
        <v>92</v>
      </c>
      <c r="D222" s="316" t="str">
        <f>VLOOKUP(Table2[[#This Row],[Course Title]],'TSD-Data'!$A$1:$E$80,2,FALSE)</f>
        <v>A-493-0092</v>
      </c>
      <c r="E222" s="316">
        <f>VLOOKUP(Table2[[#This Row],[Course Title]],'TSD-Data'!$A$1:$E$80,3,FALSE)</f>
        <v>5891</v>
      </c>
      <c r="F222" s="315" t="s">
        <v>170</v>
      </c>
      <c r="G222" s="344">
        <v>46071</v>
      </c>
      <c r="H222" s="344">
        <v>46073</v>
      </c>
      <c r="I222" s="317" t="s">
        <v>163</v>
      </c>
      <c r="J222" s="318">
        <v>0.33333333333333331</v>
      </c>
      <c r="K222" s="318"/>
      <c r="L222" s="344"/>
      <c r="M222" s="317"/>
      <c r="N222" s="317"/>
      <c r="O222" s="317"/>
      <c r="P222" s="317"/>
      <c r="Q222" s="321" t="s">
        <v>174</v>
      </c>
      <c r="R222" s="321"/>
      <c r="S222" s="321" t="s">
        <v>164</v>
      </c>
      <c r="T222" s="316">
        <f>VLOOKUP(Table2[[#This Row],[Course Title]],'TSD-Data'!$A$1:$E$80,4,FALSE)</f>
        <v>25</v>
      </c>
      <c r="U222" s="316">
        <f>VLOOKUP(Table2[[#This Row],[Course Title]],'TSD-Data'!$A$1:$F$80,6,FALSE)</f>
        <v>24</v>
      </c>
      <c r="V222" s="323">
        <f>VLOOKUP(Table2[[#This Row],[Course Title]],'TSD-Data'!$A$1:$F$80,5,FALSE)</f>
        <v>3</v>
      </c>
      <c r="W222" s="323">
        <v>51</v>
      </c>
      <c r="X222" s="316">
        <f>Table2[[#This Row],[Quotas]]-Table2[[#This Row],[Open Quotas]]</f>
        <v>14</v>
      </c>
      <c r="Y222" s="316">
        <v>0</v>
      </c>
      <c r="Z222" s="323"/>
      <c r="AA222" s="323"/>
      <c r="AB222" s="316"/>
      <c r="AC222" s="316"/>
      <c r="AD222" s="316"/>
      <c r="AE222" s="316"/>
      <c r="AF222" s="323">
        <f ca="1">Table2[[#This Row],[End Date]]+2-TODAY()</f>
        <v>68</v>
      </c>
      <c r="AG222" s="316">
        <f>IF(ISBLANK(Table2[[#This Row],[Roster Received by]]),1,0)</f>
        <v>1</v>
      </c>
      <c r="AH222" s="316">
        <f ca="1">IF(Table2[[#This Row],[Start Date]]&gt;TODAY(),1,)</f>
        <v>1</v>
      </c>
      <c r="AI222" s="316">
        <f>IF(ISBLANK(Table2[[#This Row],[Primary Instructor]]),0,1)</f>
        <v>1</v>
      </c>
      <c r="AJ222" s="316">
        <f>IF(ISBLANK(Table2[[#This Row],[Instructor 2]]),0,1)</f>
        <v>0</v>
      </c>
      <c r="AK222" s="316">
        <f>Table2[[#This Row],[Course Length (Hours)]]/(SUM(Table2[[#This Row],[1]:[2]]))</f>
        <v>24</v>
      </c>
      <c r="AL222" s="124">
        <v>11</v>
      </c>
      <c r="AM222" s="433">
        <v>2</v>
      </c>
      <c r="AN222" s="363" t="str">
        <f>VLOOKUP(Table2[[#This Row],[Course Title]],'TSD-Data'!$A$1:$G$80,7,FALSE)</f>
        <v>N3</v>
      </c>
    </row>
    <row r="223" spans="2:40" s="428" customFormat="1" x14ac:dyDescent="0.25">
      <c r="B223" s="315"/>
      <c r="C223" s="364" t="s">
        <v>119</v>
      </c>
      <c r="D223" s="685" t="str">
        <f>VLOOKUP(Table2[[#This Row],[Course Title]],'TSD-Data'!$A$1:$E$80,2,FALSE)</f>
        <v>A-493-2098</v>
      </c>
      <c r="E223" s="685" t="str">
        <f>VLOOKUP(Table2[[#This Row],[Course Title]],'TSD-Data'!$A$1:$E$80,3,FALSE)</f>
        <v>09WW</v>
      </c>
      <c r="F223" s="364" t="s">
        <v>25</v>
      </c>
      <c r="G223" s="344">
        <v>46071</v>
      </c>
      <c r="H223" s="344">
        <v>46073</v>
      </c>
      <c r="I223" s="317" t="s">
        <v>163</v>
      </c>
      <c r="J223" s="318"/>
      <c r="K223" s="345">
        <v>0.79166666666666663</v>
      </c>
      <c r="L223" s="429">
        <v>0.66666666666666663</v>
      </c>
      <c r="M223" s="429">
        <v>8.3333333333333329E-2</v>
      </c>
      <c r="N223" s="429">
        <v>0</v>
      </c>
      <c r="O223" s="429">
        <v>0.54166666666666663</v>
      </c>
      <c r="P223" s="429">
        <v>0.33333333333333331</v>
      </c>
      <c r="Q223" s="321" t="s">
        <v>164</v>
      </c>
      <c r="R223" s="321"/>
      <c r="S223" s="321"/>
      <c r="T223" s="316">
        <f>VLOOKUP(Table2[[#This Row],[Course Title]],'TSD-Data'!$A$1:$E$80,4,FALSE)</f>
        <v>100</v>
      </c>
      <c r="U223" s="316">
        <f>VLOOKUP(Table2[[#This Row],[Course Title]],'TSD-Data'!$A$1:$F$80,6,FALSE)</f>
        <v>16</v>
      </c>
      <c r="V223" s="323">
        <f>VLOOKUP(Table2[[#This Row],[Course Title]],'TSD-Data'!$A$1:$F$80,5,FALSE)</f>
        <v>3</v>
      </c>
      <c r="W223" s="323"/>
      <c r="X223" s="316">
        <f>Table2[[#This Row],[Quotas]]-Table2[[#This Row],[Open Quotas]]</f>
        <v>37</v>
      </c>
      <c r="Y223" s="316">
        <v>0</v>
      </c>
      <c r="Z223" s="323"/>
      <c r="AA223" s="323"/>
      <c r="AB223" s="363"/>
      <c r="AC223" s="363"/>
      <c r="AD223" s="316"/>
      <c r="AE223" s="316"/>
      <c r="AF223" s="323">
        <f ca="1">Table2[[#This Row],[End Date]]+2-TODAY()</f>
        <v>68</v>
      </c>
      <c r="AG223" s="316">
        <f>IF(ISBLANK(Table2[[#This Row],[Roster Received by]]),1,0)</f>
        <v>1</v>
      </c>
      <c r="AH223" s="316">
        <f ca="1">IF(Table2[[#This Row],[Start Date]]&gt;TODAY(),1,)</f>
        <v>1</v>
      </c>
      <c r="AI223" s="316">
        <f>IF(ISBLANK(Table2[[#This Row],[Primary Instructor]]),0,1)</f>
        <v>1</v>
      </c>
      <c r="AJ223" s="316">
        <f>IF(ISBLANK(Table2[[#This Row],[Instructor 2]]),0,1)</f>
        <v>0</v>
      </c>
      <c r="AK223" s="316">
        <f>Table2[[#This Row],[Course Length (Hours)]]/(SUM(Table2[[#This Row],[1]:[2]]))</f>
        <v>16</v>
      </c>
      <c r="AL223" s="638">
        <v>63</v>
      </c>
      <c r="AM223" s="433">
        <v>2</v>
      </c>
      <c r="AN223" s="363" t="str">
        <f>VLOOKUP(Table2[[#This Row],[Course Title]],'TSD-Data'!$A$1:$G$80,7,FALSE)</f>
        <v>N8</v>
      </c>
    </row>
    <row r="224" spans="2:40" s="428" customFormat="1" ht="15" customHeight="1" x14ac:dyDescent="0.25">
      <c r="B224" s="315"/>
      <c r="C224" s="364" t="s">
        <v>65</v>
      </c>
      <c r="D224" s="316" t="str">
        <f>VLOOKUP(Table2[[#This Row],[Course Title]],'TSD-Data'!$A$1:$E$80,2,FALSE)</f>
        <v>A-493-0099</v>
      </c>
      <c r="E224" s="316" t="str">
        <f>VLOOKUP(Table2[[#This Row],[Course Title]],'TSD-Data'!$A$1:$E$80,3,FALSE)</f>
        <v>12JW</v>
      </c>
      <c r="F224" s="315" t="s">
        <v>25</v>
      </c>
      <c r="G224" s="344">
        <v>46071</v>
      </c>
      <c r="H224" s="344">
        <v>46073</v>
      </c>
      <c r="I224" s="317" t="s">
        <v>163</v>
      </c>
      <c r="J224" s="318"/>
      <c r="K224" s="318">
        <v>0.33333333333333331</v>
      </c>
      <c r="L224" s="345">
        <v>0.20833333333333334</v>
      </c>
      <c r="M224" s="434">
        <v>1600</v>
      </c>
      <c r="N224" s="434">
        <v>1400</v>
      </c>
      <c r="O224" s="345">
        <v>0.125</v>
      </c>
      <c r="P224" s="434">
        <v>2200</v>
      </c>
      <c r="Q224" s="321" t="s">
        <v>273</v>
      </c>
      <c r="R224" s="321"/>
      <c r="S224" s="321"/>
      <c r="T224" s="316">
        <f>VLOOKUP(Table2[[#This Row],[Course Title]],'TSD-Data'!$A$1:$E$80,4,FALSE)</f>
        <v>45</v>
      </c>
      <c r="U224" s="316">
        <f>VLOOKUP(Table2[[#This Row],[Course Title]],'TSD-Data'!$A$1:$F$80,6,FALSE)</f>
        <v>24</v>
      </c>
      <c r="V224" s="323">
        <f>VLOOKUP(Table2[[#This Row],[Course Title]],'TSD-Data'!$A$1:$F$80,5,FALSE)</f>
        <v>3</v>
      </c>
      <c r="W224" s="323">
        <v>334</v>
      </c>
      <c r="X224" s="316">
        <f>Table2[[#This Row],[Quotas]]-Table2[[#This Row],[Open Quotas]]</f>
        <v>7</v>
      </c>
      <c r="Y224" s="316">
        <v>0</v>
      </c>
      <c r="Z224" s="323"/>
      <c r="AA224" s="323"/>
      <c r="AB224" s="316"/>
      <c r="AC224" s="316"/>
      <c r="AD224" s="316"/>
      <c r="AE224" s="316"/>
      <c r="AF224" s="323">
        <f ca="1">Table2[[#This Row],[End Date]]+2-TODAY()</f>
        <v>68</v>
      </c>
      <c r="AG224" s="316">
        <f>IF(ISBLANK(Table2[[#This Row],[Roster Received by]]),1,0)</f>
        <v>1</v>
      </c>
      <c r="AH224" s="316">
        <f ca="1">IF(Table2[[#This Row],[Start Date]]&gt;TODAY(),1,)</f>
        <v>1</v>
      </c>
      <c r="AI224" s="316">
        <f>IF(ISBLANK(Table2[[#This Row],[Primary Instructor]]),0,1)</f>
        <v>1</v>
      </c>
      <c r="AJ224" s="316">
        <f>IF(ISBLANK(Table2[[#This Row],[Instructor 2]]),0,1)</f>
        <v>0</v>
      </c>
      <c r="AK224" s="316">
        <f>Table2[[#This Row],[Course Length (Hours)]]/(SUM(Table2[[#This Row],[1]:[2]]))</f>
        <v>24</v>
      </c>
      <c r="AL224" s="124">
        <v>38</v>
      </c>
      <c r="AM224" s="433">
        <v>2</v>
      </c>
      <c r="AN224" s="363" t="str">
        <f>VLOOKUP(Table2[[#This Row],[Course Title]],'TSD-Data'!$A$1:$G$80,7,FALSE)</f>
        <v>N5</v>
      </c>
    </row>
    <row r="225" spans="2:40" s="428" customFormat="1" ht="15" customHeight="1" x14ac:dyDescent="0.25">
      <c r="B225" s="315"/>
      <c r="C225" s="94" t="s">
        <v>80</v>
      </c>
      <c r="D225" s="70" t="str">
        <f>VLOOKUP(Table2[[#This Row],[Course Title]],'TSD-Data'!$A$1:$E$80,2,FALSE)</f>
        <v>A-493-0083</v>
      </c>
      <c r="E225" s="70" t="str">
        <f>VLOOKUP(Table2[[#This Row],[Course Title]],'TSD-Data'!$A$1:$E$80,3,FALSE)</f>
        <v>339E</v>
      </c>
      <c r="F225" s="94" t="s">
        <v>286</v>
      </c>
      <c r="G225" s="72">
        <v>46073</v>
      </c>
      <c r="H225" s="72">
        <v>46073</v>
      </c>
      <c r="I225" s="317" t="s">
        <v>163</v>
      </c>
      <c r="J225" s="318">
        <v>0.33333333333333331</v>
      </c>
      <c r="K225" s="318"/>
      <c r="L225" s="344"/>
      <c r="M225" s="317"/>
      <c r="N225" s="317"/>
      <c r="O225" s="317"/>
      <c r="P225" s="317"/>
      <c r="Q225" s="321" t="s">
        <v>168</v>
      </c>
      <c r="R225" s="321"/>
      <c r="S225" s="321"/>
      <c r="T225" s="316">
        <f>VLOOKUP(Table2[[#This Row],[Course Title]],'TSD-Data'!$A$1:$E$80,4,FALSE)</f>
        <v>30</v>
      </c>
      <c r="U225" s="316">
        <f>VLOOKUP(Table2[[#This Row],[Course Title]],'TSD-Data'!$A$1:$F$80,6,FALSE)</f>
        <v>8</v>
      </c>
      <c r="V225" s="323">
        <f>VLOOKUP(Table2[[#This Row],[Course Title]],'TSD-Data'!$A$1:$F$80,5,FALSE)</f>
        <v>1</v>
      </c>
      <c r="W225" s="323">
        <v>92</v>
      </c>
      <c r="X225" s="316">
        <f>Table2[[#This Row],[Quotas]]-Table2[[#This Row],[Open Quotas]]</f>
        <v>0</v>
      </c>
      <c r="Y225" s="316"/>
      <c r="Z225" s="323"/>
      <c r="AA225" s="323"/>
      <c r="AB225" s="363"/>
      <c r="AC225" s="363"/>
      <c r="AD225" s="316"/>
      <c r="AE225" s="316"/>
      <c r="AF225" s="323">
        <f ca="1">Table2[[#This Row],[End Date]]+2-TODAY()</f>
        <v>68</v>
      </c>
      <c r="AG225" s="316">
        <f>IF(ISBLANK(Table2[[#This Row],[Roster Received by]]),1,0)</f>
        <v>1</v>
      </c>
      <c r="AH225" s="316">
        <f ca="1">IF(Table2[[#This Row],[Start Date]]&gt;TODAY(),1,)</f>
        <v>1</v>
      </c>
      <c r="AI225" s="316">
        <f>IF(ISBLANK(Table2[[#This Row],[Primary Instructor]]),0,1)</f>
        <v>1</v>
      </c>
      <c r="AJ225" s="316">
        <f>IF(ISBLANK(Table2[[#This Row],[Instructor 2]]),0,1)</f>
        <v>0</v>
      </c>
      <c r="AK225" s="316">
        <f>Table2[[#This Row],[Course Length (Hours)]]/(SUM(Table2[[#This Row],[1]:[2]]))</f>
        <v>8</v>
      </c>
      <c r="AL225" s="638">
        <v>30</v>
      </c>
      <c r="AM225" s="433">
        <v>2</v>
      </c>
      <c r="AN225" s="363" t="str">
        <f>VLOOKUP(Table2[[#This Row],[Course Title]],'TSD-Data'!$A$1:$G$80,7,FALSE)</f>
        <v>N4</v>
      </c>
    </row>
    <row r="226" spans="2:40" s="428" customFormat="1" ht="15" customHeight="1" x14ac:dyDescent="0.25">
      <c r="B226" s="315"/>
      <c r="C226" s="364" t="s">
        <v>23</v>
      </c>
      <c r="D226" s="316" t="str">
        <f>VLOOKUP(Table2[[#This Row],[Course Title]],'TSD-Data'!$A$1:$E$80,2,FALSE)</f>
        <v>A-4J-0022</v>
      </c>
      <c r="E226" s="316" t="str">
        <f>VLOOKUP(Table2[[#This Row],[Course Title]],'TSD-Data'!$A$1:$E$80,3,FALSE)</f>
        <v>09ER</v>
      </c>
      <c r="F226" s="315" t="s">
        <v>25</v>
      </c>
      <c r="G226" s="344">
        <v>46076</v>
      </c>
      <c r="H226" s="344">
        <v>46080</v>
      </c>
      <c r="I226" s="317" t="s">
        <v>163</v>
      </c>
      <c r="J226" s="318"/>
      <c r="K226" s="429">
        <v>0.5</v>
      </c>
      <c r="L226" s="429">
        <v>0.375</v>
      </c>
      <c r="M226" s="429">
        <v>0.83333333333333337</v>
      </c>
      <c r="N226" s="429">
        <v>0.75</v>
      </c>
      <c r="O226" s="429">
        <v>0.29166666666666669</v>
      </c>
      <c r="P226" s="429">
        <v>8.3333333333333329E-2</v>
      </c>
      <c r="Q226" s="321" t="s">
        <v>436</v>
      </c>
      <c r="R226" s="321"/>
      <c r="S226" s="321"/>
      <c r="T226" s="316">
        <f>VLOOKUP(Table2[[#This Row],[Course Title]],'TSD-Data'!$A$1:$E$80,4,FALSE)</f>
        <v>45</v>
      </c>
      <c r="U226" s="316">
        <f>VLOOKUP(Table2[[#This Row],[Course Title]],'TSD-Data'!$A$1:$F$80,6,FALSE)</f>
        <v>16</v>
      </c>
      <c r="V226" s="323">
        <f>VLOOKUP(Table2[[#This Row],[Course Title]],'TSD-Data'!$A$1:$F$80,5,FALSE)</f>
        <v>2</v>
      </c>
      <c r="W226" s="323">
        <v>130</v>
      </c>
      <c r="X226" s="316">
        <f>Table2[[#This Row],[Quotas]]-Table2[[#This Row],[Open Quotas]]</f>
        <v>11</v>
      </c>
      <c r="Y226" s="316"/>
      <c r="Z226" s="323"/>
      <c r="AA226" s="323"/>
      <c r="AB226" s="316"/>
      <c r="AC226" s="316"/>
      <c r="AD226" s="316"/>
      <c r="AE226" s="316"/>
      <c r="AF226" s="323">
        <f ca="1">Table2[[#This Row],[End Date]]+2-TODAY()</f>
        <v>75</v>
      </c>
      <c r="AG226" s="316">
        <f>IF(ISBLANK(Table2[[#This Row],[Roster Received by]]),1,0)</f>
        <v>1</v>
      </c>
      <c r="AH226" s="316">
        <f ca="1">IF(Table2[[#This Row],[Start Date]]&gt;TODAY(),1,)</f>
        <v>1</v>
      </c>
      <c r="AI226" s="316">
        <f>IF(ISBLANK(Table2[[#This Row],[Primary Instructor]]),0,1)</f>
        <v>1</v>
      </c>
      <c r="AJ226" s="316">
        <f>IF(ISBLANK(Table2[[#This Row],[Instructor 2]]),0,1)</f>
        <v>0</v>
      </c>
      <c r="AK226" s="316">
        <f>Table2[[#This Row],[Course Length (Hours)]]/(SUM(Table2[[#This Row],[1]:[2]]))</f>
        <v>16</v>
      </c>
      <c r="AL226" s="124">
        <v>34</v>
      </c>
      <c r="AM226" s="433">
        <v>2</v>
      </c>
      <c r="AN226" s="363" t="str">
        <f>VLOOKUP(Table2[[#This Row],[Course Title]],'TSD-Data'!$A$1:$G$80,7,FALSE)</f>
        <v>N4</v>
      </c>
    </row>
    <row r="227" spans="2:40" s="428" customFormat="1" ht="15" customHeight="1" x14ac:dyDescent="0.25">
      <c r="B227" s="315"/>
      <c r="C227" s="364" t="s">
        <v>44</v>
      </c>
      <c r="D227" s="421" t="str">
        <f>VLOOKUP(Table2[[#This Row],[Course Title]],'TSD-Data'!$A$1:$E$80,2,FALSE)</f>
        <v>A-493-0665</v>
      </c>
      <c r="E227" s="421" t="str">
        <f>VLOOKUP(Table2[[#This Row],[Course Title]],'TSD-Data'!$A$1:$E$80,3,FALSE)</f>
        <v>10KW</v>
      </c>
      <c r="F227" s="364" t="s">
        <v>25</v>
      </c>
      <c r="G227" s="344">
        <v>46076</v>
      </c>
      <c r="H227" s="344">
        <v>46078</v>
      </c>
      <c r="I227" s="317" t="s">
        <v>163</v>
      </c>
      <c r="J227" s="318"/>
      <c r="K227" s="345">
        <v>0.79166666666666663</v>
      </c>
      <c r="L227" s="429">
        <v>0.66666666666666663</v>
      </c>
      <c r="M227" s="429">
        <v>0.125</v>
      </c>
      <c r="N227" s="429">
        <v>4.1666666666666664E-2</v>
      </c>
      <c r="O227" s="429">
        <v>0.58333333333333337</v>
      </c>
      <c r="P227" s="429">
        <v>0.375</v>
      </c>
      <c r="Q227" s="321" t="s">
        <v>444</v>
      </c>
      <c r="R227" s="321"/>
      <c r="S227" s="321"/>
      <c r="T227" s="316">
        <f>VLOOKUP(Table2[[#This Row],[Course Title]],'TSD-Data'!$A$1:$E$80,4,FALSE)</f>
        <v>45</v>
      </c>
      <c r="U227" s="316">
        <f>VLOOKUP(Table2[[#This Row],[Course Title]],'TSD-Data'!$A$1:$F$80,6,FALSE)</f>
        <v>24</v>
      </c>
      <c r="V227" s="323">
        <f>VLOOKUP(Table2[[#This Row],[Course Title]],'TSD-Data'!$A$1:$F$80,5,FALSE)</f>
        <v>3</v>
      </c>
      <c r="W227" s="323">
        <v>82</v>
      </c>
      <c r="X227" s="316">
        <f>Table2[[#This Row],[Quotas]]-Table2[[#This Row],[Open Quotas]]</f>
        <v>10</v>
      </c>
      <c r="Y227" s="316">
        <v>0</v>
      </c>
      <c r="Z227" s="323"/>
      <c r="AA227" s="323"/>
      <c r="AB227" s="316"/>
      <c r="AC227" s="316"/>
      <c r="AD227" s="316"/>
      <c r="AE227" s="316"/>
      <c r="AF227" s="323">
        <f ca="1">Table2[[#This Row],[End Date]]+2-TODAY()</f>
        <v>73</v>
      </c>
      <c r="AG227" s="316">
        <f>IF(ISBLANK(Table2[[#This Row],[Roster Received by]]),1,0)</f>
        <v>1</v>
      </c>
      <c r="AH227" s="316">
        <f ca="1">IF(Table2[[#This Row],[Start Date]]&gt;TODAY(),1,)</f>
        <v>1</v>
      </c>
      <c r="AI227" s="316">
        <f>IF(ISBLANK(Table2[[#This Row],[Primary Instructor]]),0,1)</f>
        <v>1</v>
      </c>
      <c r="AJ227" s="316">
        <f>IF(ISBLANK(Table2[[#This Row],[Instructor 2]]),0,1)</f>
        <v>0</v>
      </c>
      <c r="AK227" s="316">
        <f>Table2[[#This Row],[Course Length (Hours)]]/(SUM(Table2[[#This Row],[1]:[2]]))</f>
        <v>24</v>
      </c>
      <c r="AL227" s="124">
        <v>35</v>
      </c>
      <c r="AM227" s="433">
        <v>2</v>
      </c>
      <c r="AN227" s="363" t="str">
        <f>VLOOKUP(Table2[[#This Row],[Course Title]],'TSD-Data'!$A$1:$G$80,7,FALSE)</f>
        <v>N8</v>
      </c>
    </row>
    <row r="228" spans="2:40" s="428" customFormat="1" ht="15" customHeight="1" x14ac:dyDescent="0.25">
      <c r="B228" s="438" t="s">
        <v>460</v>
      </c>
      <c r="C228" s="342" t="s">
        <v>61</v>
      </c>
      <c r="D228" s="316" t="str">
        <f>VLOOKUP(Table2[[#This Row],[Course Title]],'TSD-Data'!$A$1:$E$80,2,FALSE)</f>
        <v>A-493-0012</v>
      </c>
      <c r="E228" s="316">
        <f>VLOOKUP(Table2[[#This Row],[Course Title]],'TSD-Data'!$A$1:$E$80,3,FALSE)</f>
        <v>3682</v>
      </c>
      <c r="F228" s="342" t="s">
        <v>279</v>
      </c>
      <c r="G228" s="317">
        <v>46076</v>
      </c>
      <c r="H228" s="317">
        <v>46080</v>
      </c>
      <c r="I228" s="125" t="s">
        <v>163</v>
      </c>
      <c r="J228" s="318">
        <v>0.33333333333333331</v>
      </c>
      <c r="K228" s="318"/>
      <c r="L228" s="344"/>
      <c r="M228" s="317"/>
      <c r="N228" s="317"/>
      <c r="O228" s="317"/>
      <c r="P228" s="317"/>
      <c r="Q228" s="321" t="s">
        <v>438</v>
      </c>
      <c r="R228" s="321"/>
      <c r="S228" s="321"/>
      <c r="T228" s="316">
        <f>VLOOKUP(Table2[[#This Row],[Course Title]],'TSD-Data'!$A$1:$E$80,4,FALSE)</f>
        <v>40</v>
      </c>
      <c r="U228" s="316">
        <f>VLOOKUP(Table2[[#This Row],[Course Title]],'TSD-Data'!$A$1:$F$80,6,FALSE)</f>
        <v>40</v>
      </c>
      <c r="V228" s="323">
        <f>VLOOKUP(Table2[[#This Row],[Course Title]],'TSD-Data'!$A$1:$F$80,5,FALSE)</f>
        <v>5</v>
      </c>
      <c r="W228" s="316">
        <v>10</v>
      </c>
      <c r="X228" s="316">
        <f>Table2[[#This Row],[Quotas]]-Table2[[#This Row],[Open Quotas]]</f>
        <v>3</v>
      </c>
      <c r="Y228" s="316"/>
      <c r="Z228" s="323"/>
      <c r="AA228" s="323"/>
      <c r="AB228" s="316"/>
      <c r="AC228" s="316"/>
      <c r="AD228" s="316"/>
      <c r="AE228" s="316"/>
      <c r="AF228" s="323">
        <f ca="1">Table2[[#This Row],[End Date]]+2-TODAY()</f>
        <v>75</v>
      </c>
      <c r="AG228" s="316">
        <f>IF(ISBLANK(Table2[[#This Row],[Roster Received by]]),1,0)</f>
        <v>1</v>
      </c>
      <c r="AH228" s="316">
        <f ca="1">IF(Table2[[#This Row],[Start Date]]&gt;TODAY(),1,)</f>
        <v>1</v>
      </c>
      <c r="AI228" s="316">
        <f>IF(ISBLANK(Table2[[#This Row],[Primary Instructor]]),0,1)</f>
        <v>1</v>
      </c>
      <c r="AJ228" s="316">
        <f>IF(ISBLANK(Table2[[#This Row],[Instructor 2]]),0,1)</f>
        <v>0</v>
      </c>
      <c r="AK228" s="316">
        <f>Table2[[#This Row],[Course Length (Hours)]]/(SUM(Table2[[#This Row],[1]:[2]]))</f>
        <v>40</v>
      </c>
      <c r="AL228" s="124">
        <v>37</v>
      </c>
      <c r="AM228" s="433">
        <v>2</v>
      </c>
      <c r="AN228" s="363" t="str">
        <f>VLOOKUP(Table2[[#This Row],[Course Title]],'TSD-Data'!$A$1:$G$80,7,FALSE)</f>
        <v>N4</v>
      </c>
    </row>
    <row r="229" spans="2:40" s="428" customFormat="1" ht="15" customHeight="1" x14ac:dyDescent="0.25">
      <c r="B229" s="364"/>
      <c r="C229" s="364" t="s">
        <v>71</v>
      </c>
      <c r="D229" s="316" t="str">
        <f>VLOOKUP(Table2[[#This Row],[Course Title]],'TSD-Data'!$A$1:$E$80,2,FALSE)</f>
        <v>A-493-0061</v>
      </c>
      <c r="E229" s="316" t="str">
        <f>VLOOKUP(Table2[[#This Row],[Course Title]],'TSD-Data'!$A$1:$E$80,3,FALSE)</f>
        <v>288E</v>
      </c>
      <c r="F229" s="364" t="s">
        <v>25</v>
      </c>
      <c r="G229" s="344">
        <v>46076</v>
      </c>
      <c r="H229" s="344">
        <v>46079</v>
      </c>
      <c r="I229" s="317" t="s">
        <v>163</v>
      </c>
      <c r="J229" s="318"/>
      <c r="K229" s="431">
        <v>0.5</v>
      </c>
      <c r="L229" s="429">
        <v>0.375</v>
      </c>
      <c r="M229" s="431">
        <v>0.83333333333333337</v>
      </c>
      <c r="N229" s="431">
        <v>0.75</v>
      </c>
      <c r="O229" s="431">
        <v>0.29166666666666669</v>
      </c>
      <c r="P229" s="431">
        <v>8.3333333333333329E-2</v>
      </c>
      <c r="Q229" s="321" t="s">
        <v>272</v>
      </c>
      <c r="R229" s="321"/>
      <c r="S229" s="321"/>
      <c r="T229" s="316">
        <f>VLOOKUP(Table2[[#This Row],[Course Title]],'TSD-Data'!$A$1:$E$80,4,FALSE)</f>
        <v>45</v>
      </c>
      <c r="U229" s="316">
        <f>VLOOKUP(Table2[[#This Row],[Course Title]],'TSD-Data'!$A$1:$F$80,6,FALSE)</f>
        <v>30</v>
      </c>
      <c r="V229" s="323">
        <f>VLOOKUP(Table2[[#This Row],[Course Title]],'TSD-Data'!$A$1:$F$80,5,FALSE)</f>
        <v>4</v>
      </c>
      <c r="W229" s="323">
        <v>620</v>
      </c>
      <c r="X229" s="316">
        <f>Table2[[#This Row],[Quotas]]-Table2[[#This Row],[Open Quotas]]</f>
        <v>10</v>
      </c>
      <c r="Y229" s="316">
        <v>0</v>
      </c>
      <c r="Z229" s="323"/>
      <c r="AA229" s="323"/>
      <c r="AB229" s="316"/>
      <c r="AC229" s="316"/>
      <c r="AD229" s="316"/>
      <c r="AE229" s="316"/>
      <c r="AF229" s="323">
        <f ca="1">Table2[[#This Row],[End Date]]+2-TODAY()</f>
        <v>74</v>
      </c>
      <c r="AG229" s="316">
        <f>IF(ISBLANK(Table2[[#This Row],[Roster Received by]]),1,0)</f>
        <v>1</v>
      </c>
      <c r="AH229" s="316">
        <f ca="1">IF(Table2[[#This Row],[Start Date]]&gt;TODAY(),1,)</f>
        <v>1</v>
      </c>
      <c r="AI229" s="316">
        <f>IF(ISBLANK(Table2[[#This Row],[Primary Instructor]]),0,1)</f>
        <v>1</v>
      </c>
      <c r="AJ229" s="316">
        <f>IF(ISBLANK(Table2[[#This Row],[Instructor 2]]),0,1)</f>
        <v>0</v>
      </c>
      <c r="AK229" s="316">
        <f>Table2[[#This Row],[Course Length (Hours)]]/(SUM(Table2[[#This Row],[1]:[2]]))</f>
        <v>30</v>
      </c>
      <c r="AL229" s="124">
        <v>35</v>
      </c>
      <c r="AM229" s="433">
        <v>2</v>
      </c>
      <c r="AN229" s="363" t="str">
        <f>VLOOKUP(Table2[[#This Row],[Course Title]],'TSD-Data'!$A$1:$G$80,7,FALSE)</f>
        <v>N5</v>
      </c>
    </row>
    <row r="230" spans="2:40" s="428" customFormat="1" ht="15" customHeight="1" x14ac:dyDescent="0.25">
      <c r="B230" s="364"/>
      <c r="C230" s="94" t="s">
        <v>77</v>
      </c>
      <c r="D230" s="70" t="str">
        <f>VLOOKUP(Table2[[#This Row],[Course Title]],'TSD-Data'!$A$1:$E$80,2,FALSE)</f>
        <v>A-493-0077</v>
      </c>
      <c r="E230" s="70" t="str">
        <f>VLOOKUP(Table2[[#This Row],[Course Title]],'TSD-Data'!$A$1:$E$80,3,FALSE)</f>
        <v>0381</v>
      </c>
      <c r="F230" s="94" t="s">
        <v>293</v>
      </c>
      <c r="G230" s="72">
        <v>46076</v>
      </c>
      <c r="H230" s="72">
        <v>46078</v>
      </c>
      <c r="I230" s="317" t="s">
        <v>163</v>
      </c>
      <c r="J230" s="318">
        <v>0.33333333333333331</v>
      </c>
      <c r="K230" s="318"/>
      <c r="L230" s="344"/>
      <c r="M230" s="317"/>
      <c r="N230" s="317"/>
      <c r="O230" s="317"/>
      <c r="P230" s="317"/>
      <c r="Q230" s="321" t="s">
        <v>168</v>
      </c>
      <c r="R230" s="321"/>
      <c r="S230" s="321"/>
      <c r="T230" s="316">
        <f>VLOOKUP(Table2[[#This Row],[Course Title]],'TSD-Data'!$A$1:$E$80,4,FALSE)</f>
        <v>25</v>
      </c>
      <c r="U230" s="316">
        <f>VLOOKUP(Table2[[#This Row],[Course Title]],'TSD-Data'!$A$1:$F$80,6,FALSE)</f>
        <v>24</v>
      </c>
      <c r="V230" s="323">
        <f>VLOOKUP(Table2[[#This Row],[Course Title]],'TSD-Data'!$A$1:$F$80,5,FALSE)</f>
        <v>3</v>
      </c>
      <c r="W230" s="323">
        <v>63</v>
      </c>
      <c r="X230" s="316">
        <f>Table2[[#This Row],[Quotas]]-Table2[[#This Row],[Open Quotas]]</f>
        <v>2</v>
      </c>
      <c r="Y230" s="316"/>
      <c r="Z230" s="323"/>
      <c r="AA230" s="323"/>
      <c r="AB230" s="363"/>
      <c r="AC230" s="363"/>
      <c r="AD230" s="316"/>
      <c r="AE230" s="316"/>
      <c r="AF230" s="323">
        <f ca="1">Table2[[#This Row],[End Date]]+2-TODAY()</f>
        <v>73</v>
      </c>
      <c r="AG230" s="316">
        <f>IF(ISBLANK(Table2[[#This Row],[Roster Received by]]),1,0)</f>
        <v>1</v>
      </c>
      <c r="AH230" s="316">
        <f ca="1">IF(Table2[[#This Row],[Start Date]]&gt;TODAY(),1,)</f>
        <v>1</v>
      </c>
      <c r="AI230" s="316">
        <f>IF(ISBLANK(Table2[[#This Row],[Primary Instructor]]),0,1)</f>
        <v>1</v>
      </c>
      <c r="AJ230" s="316">
        <f>IF(ISBLANK(Table2[[#This Row],[Instructor 2]]),0,1)</f>
        <v>0</v>
      </c>
      <c r="AK230" s="316">
        <f>Table2[[#This Row],[Course Length (Hours)]]/(SUM(Table2[[#This Row],[1]:[2]]))</f>
        <v>24</v>
      </c>
      <c r="AL230" s="638">
        <v>23</v>
      </c>
      <c r="AM230" s="433">
        <v>2</v>
      </c>
      <c r="AN230" s="363" t="str">
        <f>VLOOKUP(Table2[[#This Row],[Course Title]],'TSD-Data'!$A$1:$G$80,7,FALSE)</f>
        <v>N4</v>
      </c>
    </row>
    <row r="231" spans="2:40" s="428" customFormat="1" ht="15" customHeight="1" x14ac:dyDescent="0.25">
      <c r="B231" s="315"/>
      <c r="C231" s="94" t="s">
        <v>77</v>
      </c>
      <c r="D231" s="70" t="str">
        <f>VLOOKUP(Table2[[#This Row],[Course Title]],'TSD-Data'!$A$1:$E$80,2,FALSE)</f>
        <v>A-493-0077</v>
      </c>
      <c r="E231" s="70" t="str">
        <f>VLOOKUP(Table2[[#This Row],[Course Title]],'TSD-Data'!$A$1:$E$80,3,FALSE)</f>
        <v>0381</v>
      </c>
      <c r="F231" s="94" t="s">
        <v>286</v>
      </c>
      <c r="G231" s="72">
        <v>46076</v>
      </c>
      <c r="H231" s="72">
        <v>46078</v>
      </c>
      <c r="I231" s="317" t="s">
        <v>163</v>
      </c>
      <c r="J231" s="318">
        <v>0.33333333333333331</v>
      </c>
      <c r="K231" s="318"/>
      <c r="L231" s="344"/>
      <c r="M231" s="317"/>
      <c r="N231" s="317"/>
      <c r="O231" s="317"/>
      <c r="P231" s="317"/>
      <c r="Q231" s="321" t="s">
        <v>168</v>
      </c>
      <c r="R231" s="321"/>
      <c r="S231" s="321"/>
      <c r="T231" s="316">
        <f>VLOOKUP(Table2[[#This Row],[Course Title]],'TSD-Data'!$A$1:$E$80,4,FALSE)</f>
        <v>25</v>
      </c>
      <c r="U231" s="316">
        <f>VLOOKUP(Table2[[#This Row],[Course Title]],'TSD-Data'!$A$1:$F$80,6,FALSE)</f>
        <v>24</v>
      </c>
      <c r="V231" s="323">
        <f>VLOOKUP(Table2[[#This Row],[Course Title]],'TSD-Data'!$A$1:$F$80,5,FALSE)</f>
        <v>3</v>
      </c>
      <c r="W231" s="323">
        <v>53</v>
      </c>
      <c r="X231" s="316">
        <f>Table2[[#This Row],[Quotas]]-Table2[[#This Row],[Open Quotas]]</f>
        <v>0</v>
      </c>
      <c r="Y231" s="316"/>
      <c r="Z231" s="323"/>
      <c r="AA231" s="323"/>
      <c r="AB231" s="363"/>
      <c r="AC231" s="363"/>
      <c r="AD231" s="316"/>
      <c r="AE231" s="316"/>
      <c r="AF231" s="323">
        <f ca="1">Table2[[#This Row],[End Date]]+2-TODAY()</f>
        <v>73</v>
      </c>
      <c r="AG231" s="316">
        <f>IF(ISBLANK(Table2[[#This Row],[Roster Received by]]),1,0)</f>
        <v>1</v>
      </c>
      <c r="AH231" s="316">
        <f ca="1">IF(Table2[[#This Row],[Start Date]]&gt;TODAY(),1,)</f>
        <v>1</v>
      </c>
      <c r="AI231" s="316">
        <f>IF(ISBLANK(Table2[[#This Row],[Primary Instructor]]),0,1)</f>
        <v>1</v>
      </c>
      <c r="AJ231" s="316">
        <f>IF(ISBLANK(Table2[[#This Row],[Instructor 2]]),0,1)</f>
        <v>0</v>
      </c>
      <c r="AK231" s="316">
        <f>Table2[[#This Row],[Course Length (Hours)]]/(SUM(Table2[[#This Row],[1]:[2]]))</f>
        <v>24</v>
      </c>
      <c r="AL231" s="638">
        <v>25</v>
      </c>
      <c r="AM231" s="433">
        <v>2</v>
      </c>
      <c r="AN231" s="363" t="str">
        <f>VLOOKUP(Table2[[#This Row],[Course Title]],'TSD-Data'!$A$1:$G$80,7,FALSE)</f>
        <v>N4</v>
      </c>
    </row>
    <row r="232" spans="2:40" s="428" customFormat="1" ht="15" customHeight="1" x14ac:dyDescent="0.25">
      <c r="B232" s="315"/>
      <c r="C232" s="364" t="s">
        <v>108</v>
      </c>
      <c r="D232" s="316" t="str">
        <f>VLOOKUP(Table2[[#This Row],[Course Title]],'TSD-Data'!$A$1:$E$80,2,FALSE)</f>
        <v>A-493-0085</v>
      </c>
      <c r="E232" s="316">
        <f>VLOOKUP(Table2[[#This Row],[Course Title]],'TSD-Data'!$A$1:$E$80,3,FALSE)</f>
        <v>3555</v>
      </c>
      <c r="F232" s="315" t="s">
        <v>25</v>
      </c>
      <c r="G232" s="344">
        <v>46076</v>
      </c>
      <c r="H232" s="344">
        <v>46079</v>
      </c>
      <c r="I232" s="317" t="s">
        <v>163</v>
      </c>
      <c r="J232" s="318"/>
      <c r="K232" s="345">
        <v>0.79166666666666663</v>
      </c>
      <c r="L232" s="429">
        <v>0.66666666666666663</v>
      </c>
      <c r="M232" s="429">
        <v>0.125</v>
      </c>
      <c r="N232" s="429">
        <v>4.1666666666666664E-2</v>
      </c>
      <c r="O232" s="429">
        <v>0.58333333333333337</v>
      </c>
      <c r="P232" s="429">
        <v>0.375</v>
      </c>
      <c r="Q232" s="321" t="s">
        <v>461</v>
      </c>
      <c r="R232" s="321"/>
      <c r="S232" s="321"/>
      <c r="T232" s="316">
        <f>VLOOKUP(Table2[[#This Row],[Course Title]],'TSD-Data'!$A$1:$E$80,4,FALSE)</f>
        <v>45</v>
      </c>
      <c r="U232" s="316">
        <f>VLOOKUP(Table2[[#This Row],[Course Title]],'TSD-Data'!$A$1:$F$80,6,FALSE)</f>
        <v>32</v>
      </c>
      <c r="V232" s="323">
        <f>VLOOKUP(Table2[[#This Row],[Course Title]],'TSD-Data'!$A$1:$F$80,5,FALSE)</f>
        <v>4</v>
      </c>
      <c r="W232" s="323">
        <v>166</v>
      </c>
      <c r="X232" s="316">
        <f>Table2[[#This Row],[Quotas]]-Table2[[#This Row],[Open Quotas]]</f>
        <v>6</v>
      </c>
      <c r="Y232" s="316">
        <v>0</v>
      </c>
      <c r="Z232" s="323"/>
      <c r="AA232" s="323"/>
      <c r="AB232" s="316"/>
      <c r="AC232" s="316"/>
      <c r="AD232" s="316"/>
      <c r="AE232" s="316"/>
      <c r="AF232" s="323">
        <f ca="1">Table2[[#This Row],[End Date]]+2-TODAY()</f>
        <v>74</v>
      </c>
      <c r="AG232" s="316">
        <f>IF(ISBLANK(Table2[[#This Row],[Roster Received by]]),1,0)</f>
        <v>1</v>
      </c>
      <c r="AH232" s="316">
        <f ca="1">IF(Table2[[#This Row],[Start Date]]&gt;TODAY(),1,)</f>
        <v>1</v>
      </c>
      <c r="AI232" s="316">
        <f>IF(ISBLANK(Table2[[#This Row],[Primary Instructor]]),0,1)</f>
        <v>1</v>
      </c>
      <c r="AJ232" s="316">
        <f>IF(ISBLANK(Table2[[#This Row],[Instructor 2]]),0,1)</f>
        <v>0</v>
      </c>
      <c r="AK232" s="316">
        <f>Table2[[#This Row],[Course Length (Hours)]]/(SUM(Table2[[#This Row],[1]:[2]]))</f>
        <v>32</v>
      </c>
      <c r="AL232" s="124">
        <v>39</v>
      </c>
      <c r="AM232" s="433">
        <v>2</v>
      </c>
      <c r="AN232" s="363" t="str">
        <f>VLOOKUP(Table2[[#This Row],[Course Title]],'TSD-Data'!$A$1:$G$80,7,FALSE)</f>
        <v>N3</v>
      </c>
    </row>
    <row r="233" spans="2:40" s="428" customFormat="1" ht="15" customHeight="1" x14ac:dyDescent="0.25">
      <c r="B233" s="315"/>
      <c r="C233" s="364" t="s">
        <v>113</v>
      </c>
      <c r="D233" s="316" t="str">
        <f>VLOOKUP(Table2[[#This Row],[Course Title]],'TSD-Data'!$A$1:$E$80,2,FALSE)</f>
        <v>A-570-0100</v>
      </c>
      <c r="E233" s="316" t="str">
        <f>VLOOKUP(Table2[[#This Row],[Course Title]],'TSD-Data'!$A$1:$E$80,3,FALSE)</f>
        <v>18B7</v>
      </c>
      <c r="F233" s="364" t="s">
        <v>25</v>
      </c>
      <c r="G233" s="344">
        <v>46076</v>
      </c>
      <c r="H233" s="344">
        <v>46077</v>
      </c>
      <c r="I233" s="317" t="s">
        <v>163</v>
      </c>
      <c r="J233" s="318"/>
      <c r="K233" s="429">
        <v>0.5</v>
      </c>
      <c r="L233" s="429">
        <v>0.375</v>
      </c>
      <c r="M233" s="429">
        <v>0.83333333333333337</v>
      </c>
      <c r="N233" s="429">
        <v>0.75</v>
      </c>
      <c r="O233" s="429">
        <v>0.29166666666666669</v>
      </c>
      <c r="P233" s="429">
        <v>8.3333333333333329E-2</v>
      </c>
      <c r="Q233" s="321" t="s">
        <v>431</v>
      </c>
      <c r="R233" s="321"/>
      <c r="S233" s="321"/>
      <c r="T233" s="316">
        <f>VLOOKUP(Table2[[#This Row],[Course Title]],'TSD-Data'!$A$1:$E$80,4,FALSE)</f>
        <v>45</v>
      </c>
      <c r="U233" s="316">
        <f>VLOOKUP(Table2[[#This Row],[Course Title]],'TSD-Data'!$A$1:$F$80,6,FALSE)</f>
        <v>16</v>
      </c>
      <c r="V233" s="323">
        <f>VLOOKUP(Table2[[#This Row],[Course Title]],'TSD-Data'!$A$1:$F$80,5,FALSE)</f>
        <v>2</v>
      </c>
      <c r="W233" s="323">
        <v>663</v>
      </c>
      <c r="X233" s="316">
        <f>Table2[[#This Row],[Quotas]]-Table2[[#This Row],[Open Quotas]]</f>
        <v>1</v>
      </c>
      <c r="Y233" s="316">
        <v>0</v>
      </c>
      <c r="Z233" s="323"/>
      <c r="AA233" s="323"/>
      <c r="AB233" s="316"/>
      <c r="AC233" s="316"/>
      <c r="AD233" s="316"/>
      <c r="AE233" s="316"/>
      <c r="AF233" s="323">
        <f ca="1">Table2[[#This Row],[End Date]]+2-TODAY()</f>
        <v>72</v>
      </c>
      <c r="AG233" s="316">
        <f>IF(ISBLANK(Table2[[#This Row],[Roster Received by]]),1,0)</f>
        <v>1</v>
      </c>
      <c r="AH233" s="316">
        <f ca="1">IF(Table2[[#This Row],[Start Date]]&gt;TODAY(),1,)</f>
        <v>1</v>
      </c>
      <c r="AI233" s="316">
        <f>IF(ISBLANK(Table2[[#This Row],[Primary Instructor]]),0,1)</f>
        <v>1</v>
      </c>
      <c r="AJ233" s="316">
        <f>IF(ISBLANK(Table2[[#This Row],[Instructor 2]]),0,1)</f>
        <v>0</v>
      </c>
      <c r="AK233" s="316">
        <f>Table2[[#This Row],[Course Length (Hours)]]/(SUM(Table2[[#This Row],[1]:[2]]))</f>
        <v>16</v>
      </c>
      <c r="AL233" s="124">
        <v>44</v>
      </c>
      <c r="AM233" s="433">
        <v>2</v>
      </c>
      <c r="AN233" s="363" t="str">
        <f>VLOOKUP(Table2[[#This Row],[Course Title]],'TSD-Data'!$A$1:$G$80,7,FALSE)</f>
        <v>N8</v>
      </c>
    </row>
    <row r="234" spans="2:40" s="428" customFormat="1" ht="15" customHeight="1" x14ac:dyDescent="0.25">
      <c r="B234" s="315"/>
      <c r="C234" s="364" t="s">
        <v>116</v>
      </c>
      <c r="D234" s="421" t="str">
        <f>VLOOKUP(Table2[[#This Row],[Course Title]],'TSD-Data'!$A$1:$E$80,2,FALSE)</f>
        <v>A-493-0072</v>
      </c>
      <c r="E234" s="421" t="str">
        <f>VLOOKUP(Table2[[#This Row],[Course Title]],'TSD-Data'!$A$1:$E$80,3,FALSE)</f>
        <v>713U</v>
      </c>
      <c r="F234" s="364" t="s">
        <v>170</v>
      </c>
      <c r="G234" s="344">
        <v>46076</v>
      </c>
      <c r="H234" s="344">
        <v>46080</v>
      </c>
      <c r="I234" s="317" t="s">
        <v>163</v>
      </c>
      <c r="J234" s="318">
        <v>0.33333333333333331</v>
      </c>
      <c r="K234" s="345"/>
      <c r="L234" s="344"/>
      <c r="M234" s="344"/>
      <c r="N234" s="344"/>
      <c r="O234" s="344"/>
      <c r="P234" s="344"/>
      <c r="Q234" s="321" t="s">
        <v>174</v>
      </c>
      <c r="R234" s="321"/>
      <c r="S234" s="321" t="s">
        <v>164</v>
      </c>
      <c r="T234" s="316">
        <f>VLOOKUP(Table2[[#This Row],[Course Title]],'TSD-Data'!$A$1:$E$80,4,FALSE)</f>
        <v>30</v>
      </c>
      <c r="U234" s="316">
        <f>VLOOKUP(Table2[[#This Row],[Course Title]],'TSD-Data'!$A$1:$F$80,6,FALSE)</f>
        <v>40</v>
      </c>
      <c r="V234" s="323">
        <f>VLOOKUP(Table2[[#This Row],[Course Title]],'TSD-Data'!$A$1:$F$80,5,FALSE)</f>
        <v>5</v>
      </c>
      <c r="W234" s="323">
        <v>78</v>
      </c>
      <c r="X234" s="316">
        <f>Table2[[#This Row],[Quotas]]-Table2[[#This Row],[Open Quotas]]</f>
        <v>15</v>
      </c>
      <c r="Y234" s="316">
        <v>0</v>
      </c>
      <c r="Z234" s="323"/>
      <c r="AA234" s="323"/>
      <c r="AB234" s="316"/>
      <c r="AC234" s="316"/>
      <c r="AD234" s="316"/>
      <c r="AE234" s="316"/>
      <c r="AF234" s="323">
        <f ca="1">Table2[[#This Row],[End Date]]+2-TODAY()</f>
        <v>75</v>
      </c>
      <c r="AG234" s="316">
        <f>IF(ISBLANK(Table2[[#This Row],[Roster Received by]]),1,0)</f>
        <v>1</v>
      </c>
      <c r="AH234" s="316">
        <f ca="1">IF(Table2[[#This Row],[Start Date]]&gt;TODAY(),1,)</f>
        <v>1</v>
      </c>
      <c r="AI234" s="316">
        <f>IF(ISBLANK(Table2[[#This Row],[Primary Instructor]]),0,1)</f>
        <v>1</v>
      </c>
      <c r="AJ234" s="316">
        <f>IF(ISBLANK(Table2[[#This Row],[Instructor 2]]),0,1)</f>
        <v>0</v>
      </c>
      <c r="AK234" s="316">
        <f>Table2[[#This Row],[Course Length (Hours)]]/(SUM(Table2[[#This Row],[1]:[2]]))</f>
        <v>40</v>
      </c>
      <c r="AL234" s="124">
        <v>15</v>
      </c>
      <c r="AM234" s="433">
        <v>2</v>
      </c>
      <c r="AN234" s="363" t="str">
        <f>VLOOKUP(Table2[[#This Row],[Course Title]],'TSD-Data'!$A$1:$G$80,7,FALSE)</f>
        <v>N3</v>
      </c>
    </row>
    <row r="235" spans="2:40" s="428" customFormat="1" ht="15" customHeight="1" x14ac:dyDescent="0.25">
      <c r="B235" s="315"/>
      <c r="C235" s="364" t="s">
        <v>395</v>
      </c>
      <c r="D235" s="363" t="str">
        <f>VLOOKUP(Table2[[#This Row],[Course Title]],'TSD-Data'!$A$1:$E$80,2,FALSE)</f>
        <v>A-493-3002</v>
      </c>
      <c r="E235" s="363" t="str">
        <f>VLOOKUP(Table2[[#This Row],[Course Title]],'TSD-Data'!$A$1:$E$80,3,FALSE)</f>
        <v>31V4</v>
      </c>
      <c r="F235" s="364" t="s">
        <v>25</v>
      </c>
      <c r="G235" s="344">
        <v>46076</v>
      </c>
      <c r="H235" s="344">
        <v>46076</v>
      </c>
      <c r="I235" s="317" t="s">
        <v>163</v>
      </c>
      <c r="J235" s="318"/>
      <c r="K235" s="318">
        <v>0.45833333333333331</v>
      </c>
      <c r="L235" s="345">
        <v>0.33333333333333331</v>
      </c>
      <c r="M235" s="318">
        <v>0.79166666666666663</v>
      </c>
      <c r="N235" s="318">
        <v>0.70833333333333337</v>
      </c>
      <c r="O235" s="318">
        <v>0.25</v>
      </c>
      <c r="P235" s="318">
        <v>4.1666666666666664E-2</v>
      </c>
      <c r="Q235" s="321" t="s">
        <v>439</v>
      </c>
      <c r="R235" s="321"/>
      <c r="S235" s="321"/>
      <c r="T235" s="363">
        <f>VLOOKUP(Table2[[#This Row],[Course Title]],'TSD-Data'!$A$1:$E$80,4,FALSE)</f>
        <v>1000</v>
      </c>
      <c r="U235" s="363">
        <f>VLOOKUP(Table2[[#This Row],[Course Title]],'TSD-Data'!$A$1:$F$80,6,FALSE)</f>
        <v>4</v>
      </c>
      <c r="V235" s="323">
        <f>VLOOKUP(Table2[[#This Row],[Course Title]],'TSD-Data'!$A$1:$F$80,5,FALSE)</f>
        <v>0.5</v>
      </c>
      <c r="W235" s="323"/>
      <c r="X235" s="316">
        <f>Table2[[#This Row],[Quotas]]-Table2[[#This Row],[Open Quotas]]</f>
        <v>1</v>
      </c>
      <c r="Y235" s="316">
        <v>0</v>
      </c>
      <c r="Z235" s="323"/>
      <c r="AA235" s="323"/>
      <c r="AB235" s="363"/>
      <c r="AC235" s="363"/>
      <c r="AD235" s="316"/>
      <c r="AE235" s="316"/>
      <c r="AF235" s="323">
        <f ca="1">Table2[[#This Row],[End Date]]+2-TODAY()</f>
        <v>71</v>
      </c>
      <c r="AG235" s="363">
        <f>IF(ISBLANK(Table2[[#This Row],[Roster Received by]]),1,0)</f>
        <v>1</v>
      </c>
      <c r="AH235" s="363">
        <f ca="1">IF(Table2[[#This Row],[Start Date]]&gt;TODAY(),1,)</f>
        <v>1</v>
      </c>
      <c r="AI235" s="363">
        <f>IF(ISBLANK(Table2[[#This Row],[Primary Instructor]]),0,1)</f>
        <v>1</v>
      </c>
      <c r="AJ235" s="363">
        <f>IF(ISBLANK(Table2[[#This Row],[Instructor 2]]),0,1)</f>
        <v>0</v>
      </c>
      <c r="AK235" s="363">
        <f>Table2[[#This Row],[Course Length (Hours)]]/(SUM(Table2[[#This Row],[1]:[2]]))</f>
        <v>4</v>
      </c>
      <c r="AL235" s="638">
        <v>999</v>
      </c>
      <c r="AM235" s="363">
        <v>2</v>
      </c>
      <c r="AN235" s="363" t="str">
        <f>VLOOKUP(Table2[[#This Row],[Course Title]],'TSD-Data'!$A$1:$G$80,7,FALSE)</f>
        <v>N8</v>
      </c>
    </row>
    <row r="236" spans="2:40" s="428" customFormat="1" x14ac:dyDescent="0.25">
      <c r="B236" s="315"/>
      <c r="C236" s="364" t="s">
        <v>401</v>
      </c>
      <c r="D236" s="363" t="str">
        <f>VLOOKUP(Table2[[#This Row],[Course Title]],'TSD-Data'!$A$1:$E$80,2,FALSE)</f>
        <v>A-493-3003</v>
      </c>
      <c r="E236" s="363" t="str">
        <f>VLOOKUP(Table2[[#This Row],[Course Title]],'TSD-Data'!$A$1:$E$80,3,FALSE)</f>
        <v>31V5</v>
      </c>
      <c r="F236" s="364" t="s">
        <v>25</v>
      </c>
      <c r="G236" s="344">
        <v>46076</v>
      </c>
      <c r="H236" s="344">
        <v>46076</v>
      </c>
      <c r="I236" s="317" t="s">
        <v>163</v>
      </c>
      <c r="J236" s="318"/>
      <c r="K236" s="318">
        <v>0.625</v>
      </c>
      <c r="L236" s="345">
        <v>0.5</v>
      </c>
      <c r="M236" s="318">
        <v>0.95833333333333337</v>
      </c>
      <c r="N236" s="318">
        <v>0.875</v>
      </c>
      <c r="O236" s="318">
        <v>0.41666666666666669</v>
      </c>
      <c r="P236" s="318">
        <v>0.20833333333333334</v>
      </c>
      <c r="Q236" s="321" t="s">
        <v>439</v>
      </c>
      <c r="R236" s="321"/>
      <c r="S236" s="321"/>
      <c r="T236" s="363">
        <f>VLOOKUP(Table2[[#This Row],[Course Title]],'TSD-Data'!$A$1:$E$80,4,FALSE)</f>
        <v>1000</v>
      </c>
      <c r="U236" s="363">
        <f>VLOOKUP(Table2[[#This Row],[Course Title]],'TSD-Data'!$A$1:$F$80,6,FALSE)</f>
        <v>0.75</v>
      </c>
      <c r="V236" s="323">
        <f>VLOOKUP(Table2[[#This Row],[Course Title]],'TSD-Data'!$A$1:$F$80,5,FALSE)</f>
        <v>0.1</v>
      </c>
      <c r="W236" s="323"/>
      <c r="X236" s="316">
        <f>Table2[[#This Row],[Quotas]]-Table2[[#This Row],[Open Quotas]]</f>
        <v>1</v>
      </c>
      <c r="Y236" s="316">
        <v>0</v>
      </c>
      <c r="Z236" s="323"/>
      <c r="AA236" s="323"/>
      <c r="AB236" s="363"/>
      <c r="AC236" s="363"/>
      <c r="AD236" s="316"/>
      <c r="AE236" s="316"/>
      <c r="AF236" s="323">
        <f ca="1">Table2[[#This Row],[End Date]]+2-TODAY()</f>
        <v>71</v>
      </c>
      <c r="AG236" s="363">
        <f>IF(ISBLANK(Table2[[#This Row],[Roster Received by]]),1,0)</f>
        <v>1</v>
      </c>
      <c r="AH236" s="363">
        <f ca="1">IF(Table2[[#This Row],[Start Date]]&gt;TODAY(),1,)</f>
        <v>1</v>
      </c>
      <c r="AI236" s="363">
        <f>IF(ISBLANK(Table2[[#This Row],[Primary Instructor]]),0,1)</f>
        <v>1</v>
      </c>
      <c r="AJ236" s="363">
        <f>IF(ISBLANK(Table2[[#This Row],[Instructor 2]]),0,1)</f>
        <v>0</v>
      </c>
      <c r="AK236" s="363">
        <f>Table2[[#This Row],[Course Length (Hours)]]/(SUM(Table2[[#This Row],[1]:[2]]))</f>
        <v>0.75</v>
      </c>
      <c r="AL236" s="638">
        <v>999</v>
      </c>
      <c r="AM236" s="363">
        <v>2</v>
      </c>
      <c r="AN236" s="363" t="str">
        <f>VLOOKUP(Table2[[#This Row],[Course Title]],'TSD-Data'!$A$1:$G$80,7,FALSE)</f>
        <v>N8</v>
      </c>
    </row>
    <row r="237" spans="2:40" s="428" customFormat="1" x14ac:dyDescent="0.25">
      <c r="B237" s="315"/>
      <c r="C237" s="364" t="s">
        <v>404</v>
      </c>
      <c r="D237" s="363" t="str">
        <f>VLOOKUP(Table2[[#This Row],[Course Title]],'TSD-Data'!$A$1:$E$80,2,FALSE)</f>
        <v>A-493-3006</v>
      </c>
      <c r="E237" s="363" t="str">
        <f>VLOOKUP(Table2[[#This Row],[Course Title]],'TSD-Data'!$A$1:$E$80,3,FALSE)</f>
        <v>31V8</v>
      </c>
      <c r="F237" s="364" t="s">
        <v>25</v>
      </c>
      <c r="G237" s="344">
        <v>46076</v>
      </c>
      <c r="H237" s="344">
        <v>46076</v>
      </c>
      <c r="I237" s="317" t="s">
        <v>163</v>
      </c>
      <c r="J237" s="318"/>
      <c r="K237" s="318">
        <v>0.75</v>
      </c>
      <c r="L237" s="345">
        <v>0.625</v>
      </c>
      <c r="M237" s="318">
        <v>8.3333333333333329E-2</v>
      </c>
      <c r="N237" s="318">
        <v>6.9444444444444447E-4</v>
      </c>
      <c r="O237" s="318">
        <v>0.54166666666666663</v>
      </c>
      <c r="P237" s="318">
        <v>0.33333333333333331</v>
      </c>
      <c r="Q237" s="321" t="s">
        <v>439</v>
      </c>
      <c r="R237" s="321"/>
      <c r="S237" s="321"/>
      <c r="T237" s="363">
        <f>VLOOKUP(Table2[[#This Row],[Course Title]],'TSD-Data'!$A$1:$E$80,4,FALSE)</f>
        <v>1000</v>
      </c>
      <c r="U237" s="363">
        <f>VLOOKUP(Table2[[#This Row],[Course Title]],'TSD-Data'!$A$1:$F$80,6,FALSE)</f>
        <v>0.75</v>
      </c>
      <c r="V237" s="323">
        <f>VLOOKUP(Table2[[#This Row],[Course Title]],'TSD-Data'!$A$1:$F$80,5,FALSE)</f>
        <v>0.1</v>
      </c>
      <c r="W237" s="323"/>
      <c r="X237" s="316">
        <f>Table2[[#This Row],[Quotas]]-Table2[[#This Row],[Open Quotas]]</f>
        <v>1</v>
      </c>
      <c r="Y237" s="316">
        <v>0</v>
      </c>
      <c r="Z237" s="323"/>
      <c r="AA237" s="323"/>
      <c r="AB237" s="363"/>
      <c r="AC237" s="363"/>
      <c r="AD237" s="316"/>
      <c r="AE237" s="316"/>
      <c r="AF237" s="323">
        <f ca="1">Table2[[#This Row],[End Date]]+2-TODAY()</f>
        <v>71</v>
      </c>
      <c r="AG237" s="363">
        <f>IF(ISBLANK(Table2[[#This Row],[Roster Received by]]),1,0)</f>
        <v>1</v>
      </c>
      <c r="AH237" s="363">
        <f ca="1">IF(Table2[[#This Row],[Start Date]]&gt;TODAY(),1,)</f>
        <v>1</v>
      </c>
      <c r="AI237" s="363">
        <f>IF(ISBLANK(Table2[[#This Row],[Primary Instructor]]),0,1)</f>
        <v>1</v>
      </c>
      <c r="AJ237" s="363">
        <f>IF(ISBLANK(Table2[[#This Row],[Instructor 2]]),0,1)</f>
        <v>0</v>
      </c>
      <c r="AK237" s="363">
        <f>Table2[[#This Row],[Course Length (Hours)]]/(SUM(Table2[[#This Row],[1]:[2]]))</f>
        <v>0.75</v>
      </c>
      <c r="AL237" s="638">
        <v>999</v>
      </c>
      <c r="AM237" s="363">
        <v>2</v>
      </c>
      <c r="AN237" s="363" t="str">
        <f>VLOOKUP(Table2[[#This Row],[Course Title]],'TSD-Data'!$A$1:$G$80,7,FALSE)</f>
        <v>N8</v>
      </c>
    </row>
    <row r="238" spans="2:40" s="428" customFormat="1" ht="15" customHeight="1" x14ac:dyDescent="0.25">
      <c r="B238" s="315"/>
      <c r="C238" s="364" t="s">
        <v>407</v>
      </c>
      <c r="D238" s="363" t="str">
        <f>VLOOKUP(Table2[[#This Row],[Course Title]],'TSD-Data'!$A$1:$E$80,2,FALSE)</f>
        <v>A-493-3007</v>
      </c>
      <c r="E238" s="363" t="str">
        <f>VLOOKUP(Table2[[#This Row],[Course Title]],'TSD-Data'!$A$1:$E$80,3,FALSE)</f>
        <v>31V9</v>
      </c>
      <c r="F238" s="364" t="s">
        <v>25</v>
      </c>
      <c r="G238" s="344">
        <v>46076</v>
      </c>
      <c r="H238" s="344">
        <v>46076</v>
      </c>
      <c r="I238" s="317" t="s">
        <v>163</v>
      </c>
      <c r="J238" s="318"/>
      <c r="K238" s="318">
        <v>0.79166666666666663</v>
      </c>
      <c r="L238" s="345">
        <v>0.66666666666666663</v>
      </c>
      <c r="M238" s="318">
        <v>0.125</v>
      </c>
      <c r="N238" s="318">
        <v>4.1666666666666664E-2</v>
      </c>
      <c r="O238" s="318">
        <v>0.58333333333333337</v>
      </c>
      <c r="P238" s="318">
        <v>0.375</v>
      </c>
      <c r="Q238" s="321" t="s">
        <v>439</v>
      </c>
      <c r="R238" s="321"/>
      <c r="S238" s="321"/>
      <c r="T238" s="363">
        <f>VLOOKUP(Table2[[#This Row],[Course Title]],'TSD-Data'!$A$1:$E$80,4,FALSE)</f>
        <v>1000</v>
      </c>
      <c r="U238" s="363">
        <f>VLOOKUP(Table2[[#This Row],[Course Title]],'TSD-Data'!$A$1:$F$80,6,FALSE)</f>
        <v>0.75</v>
      </c>
      <c r="V238" s="323">
        <f>VLOOKUP(Table2[[#This Row],[Course Title]],'TSD-Data'!$A$1:$F$80,5,FALSE)</f>
        <v>0.1</v>
      </c>
      <c r="W238" s="323"/>
      <c r="X238" s="316">
        <f>Table2[[#This Row],[Quotas]]-Table2[[#This Row],[Open Quotas]]</f>
        <v>1</v>
      </c>
      <c r="Y238" s="316">
        <v>0</v>
      </c>
      <c r="Z238" s="323"/>
      <c r="AA238" s="323"/>
      <c r="AB238" s="363"/>
      <c r="AC238" s="363"/>
      <c r="AD238" s="316"/>
      <c r="AE238" s="316"/>
      <c r="AF238" s="323">
        <f ca="1">Table2[[#This Row],[End Date]]+2-TODAY()</f>
        <v>71</v>
      </c>
      <c r="AG238" s="363">
        <f>IF(ISBLANK(Table2[[#This Row],[Roster Received by]]),1,0)</f>
        <v>1</v>
      </c>
      <c r="AH238" s="363">
        <f ca="1">IF(Table2[[#This Row],[Start Date]]&gt;TODAY(),1,)</f>
        <v>1</v>
      </c>
      <c r="AI238" s="363">
        <f>IF(ISBLANK(Table2[[#This Row],[Primary Instructor]]),0,1)</f>
        <v>1</v>
      </c>
      <c r="AJ238" s="363">
        <f>IF(ISBLANK(Table2[[#This Row],[Instructor 2]]),0,1)</f>
        <v>0</v>
      </c>
      <c r="AK238" s="363">
        <f>Table2[[#This Row],[Course Length (Hours)]]/(SUM(Table2[[#This Row],[1]:[2]]))</f>
        <v>0.75</v>
      </c>
      <c r="AL238" s="638">
        <v>999</v>
      </c>
      <c r="AM238" s="363">
        <v>2</v>
      </c>
      <c r="AN238" s="363" t="str">
        <f>VLOOKUP(Table2[[#This Row],[Course Title]],'TSD-Data'!$A$1:$G$80,7,FALSE)</f>
        <v>N8</v>
      </c>
    </row>
    <row r="239" spans="2:40" s="428" customFormat="1" ht="15" customHeight="1" x14ac:dyDescent="0.25">
      <c r="B239" s="315"/>
      <c r="C239" s="364" t="s">
        <v>100</v>
      </c>
      <c r="D239" s="316" t="str">
        <f>VLOOKUP(Table2[[#This Row],[Course Title]],'TSD-Data'!$A$1:$E$80,2,FALSE)</f>
        <v>A-493-0550</v>
      </c>
      <c r="E239" s="316" t="str">
        <f>VLOOKUP(Table2[[#This Row],[Course Title]],'TSD-Data'!$A$1:$E$80,3,FALSE)</f>
        <v>09K5</v>
      </c>
      <c r="F239" s="315" t="s">
        <v>25</v>
      </c>
      <c r="G239" s="344">
        <v>46076</v>
      </c>
      <c r="H239" s="344">
        <v>46079</v>
      </c>
      <c r="I239" s="317" t="s">
        <v>163</v>
      </c>
      <c r="J239" s="318"/>
      <c r="K239" s="345">
        <v>0.33333333333333331</v>
      </c>
      <c r="L239" s="345">
        <v>0.20833333333333334</v>
      </c>
      <c r="M239" s="434">
        <v>1600</v>
      </c>
      <c r="N239" s="434">
        <v>1400</v>
      </c>
      <c r="O239" s="345">
        <v>0.125</v>
      </c>
      <c r="P239" s="434">
        <v>2200</v>
      </c>
      <c r="Q239" s="321" t="s">
        <v>426</v>
      </c>
      <c r="R239" s="321"/>
      <c r="S239" s="321"/>
      <c r="T239" s="316">
        <f>VLOOKUP(Table2[[#This Row],[Course Title]],'TSD-Data'!$A$1:$E$80,4,FALSE)</f>
        <v>45</v>
      </c>
      <c r="U239" s="316">
        <f>VLOOKUP(Table2[[#This Row],[Course Title]],'TSD-Data'!$A$1:$F$80,6,FALSE)</f>
        <v>32</v>
      </c>
      <c r="V239" s="323">
        <f>VLOOKUP(Table2[[#This Row],[Course Title]],'TSD-Data'!$A$1:$F$80,5,FALSE)</f>
        <v>4</v>
      </c>
      <c r="W239" s="323">
        <v>455</v>
      </c>
      <c r="X239" s="316">
        <f>Table2[[#This Row],[Quotas]]-Table2[[#This Row],[Open Quotas]]</f>
        <v>5</v>
      </c>
      <c r="Y239" s="316">
        <v>0</v>
      </c>
      <c r="Z239" s="323"/>
      <c r="AA239" s="323"/>
      <c r="AB239" s="316"/>
      <c r="AC239" s="316"/>
      <c r="AD239" s="316"/>
      <c r="AE239" s="316"/>
      <c r="AF239" s="323">
        <f ca="1">Table2[[#This Row],[End Date]]+2-TODAY()</f>
        <v>74</v>
      </c>
      <c r="AG239" s="316">
        <f>IF(ISBLANK(Table2[[#This Row],[Roster Received by]]),1,0)</f>
        <v>1</v>
      </c>
      <c r="AH239" s="316">
        <f ca="1">IF(Table2[[#This Row],[Start Date]]&gt;TODAY(),1,)</f>
        <v>1</v>
      </c>
      <c r="AI239" s="316">
        <f>IF(ISBLANK(Table2[[#This Row],[Primary Instructor]]),0,1)</f>
        <v>1</v>
      </c>
      <c r="AJ239" s="316">
        <f>IF(ISBLANK(Table2[[#This Row],[Instructor 2]]),0,1)</f>
        <v>0</v>
      </c>
      <c r="AK239" s="316">
        <f>Table2[[#This Row],[Course Length (Hours)]]/(SUM(Table2[[#This Row],[1]:[2]]))</f>
        <v>32</v>
      </c>
      <c r="AL239" s="124">
        <v>40</v>
      </c>
      <c r="AM239" s="433">
        <v>2</v>
      </c>
      <c r="AN239" s="363" t="str">
        <f>VLOOKUP(Table2[[#This Row],[Course Title]],'TSD-Data'!$A$1:$G$80,7,FALSE)</f>
        <v>N5</v>
      </c>
    </row>
    <row r="240" spans="2:40" s="428" customFormat="1" x14ac:dyDescent="0.25">
      <c r="B240" s="315"/>
      <c r="C240" s="364" t="s">
        <v>106</v>
      </c>
      <c r="D240" s="421" t="str">
        <f>VLOOKUP(Table2[[#This Row],[Course Title]],'TSD-Data'!$A$1:$E$80,2,FALSE)</f>
        <v>A-493-0078</v>
      </c>
      <c r="E240" s="421">
        <f>VLOOKUP(Table2[[#This Row],[Course Title]],'TSD-Data'!$A$1:$E$80,3,FALSE)</f>
        <v>1228</v>
      </c>
      <c r="F240" s="364" t="s">
        <v>25</v>
      </c>
      <c r="G240" s="344">
        <v>46076</v>
      </c>
      <c r="H240" s="344">
        <v>46079</v>
      </c>
      <c r="I240" s="317" t="s">
        <v>163</v>
      </c>
      <c r="J240" s="318"/>
      <c r="K240" s="429">
        <v>0.5</v>
      </c>
      <c r="L240" s="429">
        <v>0.375</v>
      </c>
      <c r="M240" s="429">
        <v>0.83333333333333337</v>
      </c>
      <c r="N240" s="429">
        <v>0.75</v>
      </c>
      <c r="O240" s="429">
        <v>0.29166666666666669</v>
      </c>
      <c r="P240" s="429">
        <v>8.3333333333333329E-2</v>
      </c>
      <c r="Q240" s="321" t="s">
        <v>172</v>
      </c>
      <c r="R240" s="321"/>
      <c r="S240" s="321"/>
      <c r="T240" s="316">
        <f>VLOOKUP(Table2[[#This Row],[Course Title]],'TSD-Data'!$A$1:$E$80,4,FALSE)</f>
        <v>45</v>
      </c>
      <c r="U240" s="316">
        <f>VLOOKUP(Table2[[#This Row],[Course Title]],'TSD-Data'!$A$1:$F$80,6,FALSE)</f>
        <v>32</v>
      </c>
      <c r="V240" s="323">
        <f>VLOOKUP(Table2[[#This Row],[Course Title]],'TSD-Data'!$A$1:$F$80,5,FALSE)</f>
        <v>4</v>
      </c>
      <c r="W240" s="323">
        <v>568</v>
      </c>
      <c r="X240" s="316">
        <f>Table2[[#This Row],[Quotas]]-Table2[[#This Row],[Open Quotas]]</f>
        <v>16</v>
      </c>
      <c r="Y240" s="316">
        <v>0</v>
      </c>
      <c r="Z240" s="323"/>
      <c r="AA240" s="323"/>
      <c r="AB240" s="316"/>
      <c r="AC240" s="316"/>
      <c r="AD240" s="316"/>
      <c r="AE240" s="316"/>
      <c r="AF240" s="323">
        <f ca="1">Table2[[#This Row],[End Date]]+2-TODAY()</f>
        <v>74</v>
      </c>
      <c r="AG240" s="316">
        <f>IF(ISBLANK(Table2[[#This Row],[Roster Received by]]),1,0)</f>
        <v>1</v>
      </c>
      <c r="AH240" s="316">
        <f ca="1">IF(Table2[[#This Row],[Start Date]]&gt;TODAY(),1,)</f>
        <v>1</v>
      </c>
      <c r="AI240" s="316">
        <f>IF(ISBLANK(Table2[[#This Row],[Primary Instructor]]),0,1)</f>
        <v>1</v>
      </c>
      <c r="AJ240" s="316">
        <f>IF(ISBLANK(Table2[[#This Row],[Instructor 2]]),0,1)</f>
        <v>0</v>
      </c>
      <c r="AK240" s="316">
        <f>Table2[[#This Row],[Course Length (Hours)]]/(SUM(Table2[[#This Row],[1]:[2]]))</f>
        <v>32</v>
      </c>
      <c r="AL240" s="124">
        <v>29</v>
      </c>
      <c r="AM240" s="433">
        <v>2</v>
      </c>
      <c r="AN240" s="363" t="str">
        <f>VLOOKUP(Table2[[#This Row],[Course Title]],'TSD-Data'!$A$1:$G$80,7,FALSE)</f>
        <v>N5</v>
      </c>
    </row>
    <row r="241" spans="2:40" s="428" customFormat="1" x14ac:dyDescent="0.25">
      <c r="B241" s="315"/>
      <c r="C241" s="315" t="s">
        <v>408</v>
      </c>
      <c r="D241" s="316" t="str">
        <f>VLOOKUP(Table2[[#This Row],[Course Title]],'TSD-Data'!$A$1:$E$80,2,FALSE)</f>
        <v>A-4J-0019</v>
      </c>
      <c r="E241" s="316" t="str">
        <f>VLOOKUP(Table2[[#This Row],[Course Title]],'TSD-Data'!$A$1:$E$80,3,FALSE)</f>
        <v>28SL/285M</v>
      </c>
      <c r="F241" s="364" t="s">
        <v>441</v>
      </c>
      <c r="G241" s="344">
        <v>46076</v>
      </c>
      <c r="H241" s="344">
        <v>46080</v>
      </c>
      <c r="I241" s="317" t="s">
        <v>163</v>
      </c>
      <c r="J241" s="318">
        <v>0.3125</v>
      </c>
      <c r="K241" s="318"/>
      <c r="L241" s="317"/>
      <c r="M241" s="317"/>
      <c r="N241" s="317"/>
      <c r="O241" s="317"/>
      <c r="P241" s="317"/>
      <c r="Q241" s="321" t="s">
        <v>442</v>
      </c>
      <c r="R241" s="321" t="s">
        <v>443</v>
      </c>
      <c r="S241" s="321"/>
      <c r="T241" s="316">
        <f>VLOOKUP(Table2[[#This Row],[Course Title]],'TSD-Data'!$A$1:$E$80,4,FALSE)</f>
        <v>20</v>
      </c>
      <c r="U241" s="316">
        <f>VLOOKUP(Table2[[#This Row],[Course Title]],'TSD-Data'!$A$1:$F$80,6,FALSE)</f>
        <v>40</v>
      </c>
      <c r="V241" s="323">
        <f>VLOOKUP(Table2[[#This Row],[Course Title]],'TSD-Data'!$A$1:$F$80,5,FALSE)</f>
        <v>5</v>
      </c>
      <c r="W241" s="323">
        <v>148</v>
      </c>
      <c r="X241" s="316">
        <f>Table2[[#This Row],[Quotas]]-Table2[[#This Row],[Open Quotas]]</f>
        <v>20</v>
      </c>
      <c r="Y241" s="316">
        <v>30</v>
      </c>
      <c r="Z241" s="323"/>
      <c r="AA241" s="323"/>
      <c r="AB241" s="316"/>
      <c r="AC241" s="316"/>
      <c r="AD241" s="316"/>
      <c r="AE241" s="316"/>
      <c r="AF241" s="323">
        <f ca="1">Table2[[#This Row],[End Date]]+2-TODAY()</f>
        <v>75</v>
      </c>
      <c r="AG241" s="316">
        <f>IF(ISBLANK(Table2[[#This Row],[Roster Received by]]),1,0)</f>
        <v>1</v>
      </c>
      <c r="AH241" s="316">
        <f ca="1">IF(Table2[[#This Row],[Start Date]]&gt;TODAY(),1,)</f>
        <v>1</v>
      </c>
      <c r="AI241" s="316">
        <f>IF(ISBLANK(Table2[[#This Row],[Primary Instructor]]),0,1)</f>
        <v>1</v>
      </c>
      <c r="AJ241" s="316">
        <f>IF(ISBLANK(Table2[[#This Row],[Instructor 2]]),0,1)</f>
        <v>1</v>
      </c>
      <c r="AK241" s="316">
        <f>Table2[[#This Row],[Course Length (Hours)]]/(SUM(Table2[[#This Row],[1]:[2]]))</f>
        <v>20</v>
      </c>
      <c r="AL241" s="124">
        <v>0</v>
      </c>
      <c r="AM241" s="433">
        <v>2</v>
      </c>
      <c r="AN241" s="363" t="str">
        <f>VLOOKUP(Table2[[#This Row],[Course Title]],'TSD-Data'!$A$1:$G$80,7,FALSE)</f>
        <v>N8</v>
      </c>
    </row>
    <row r="242" spans="2:40" s="428" customFormat="1" x14ac:dyDescent="0.25">
      <c r="B242" s="315"/>
      <c r="C242" s="364" t="s">
        <v>393</v>
      </c>
      <c r="D242" s="363" t="str">
        <f>VLOOKUP(Table2[[#This Row],[Course Title]],'TSD-Data'!$A$1:$E$80,2,FALSE)</f>
        <v>A-493-3011</v>
      </c>
      <c r="E242" s="363" t="str">
        <f>VLOOKUP(Table2[[#This Row],[Course Title]],'TSD-Data'!$A$1:$E$80,3,FALSE)</f>
        <v>31VD</v>
      </c>
      <c r="F242" s="364" t="s">
        <v>25</v>
      </c>
      <c r="G242" s="344">
        <v>46077</v>
      </c>
      <c r="H242" s="344">
        <v>46077</v>
      </c>
      <c r="I242" s="125" t="s">
        <v>163</v>
      </c>
      <c r="J242" s="318"/>
      <c r="K242" s="318">
        <v>0.75</v>
      </c>
      <c r="L242" s="345">
        <v>0.625</v>
      </c>
      <c r="M242" s="318">
        <v>8.3333333333333329E-2</v>
      </c>
      <c r="N242" s="318">
        <v>6.9444444444444447E-4</v>
      </c>
      <c r="O242" s="318">
        <v>0.54166666666666663</v>
      </c>
      <c r="P242" s="318">
        <v>0.33333333333333331</v>
      </c>
      <c r="Q242" s="321" t="s">
        <v>439</v>
      </c>
      <c r="R242" s="321"/>
      <c r="S242" s="321"/>
      <c r="T242" s="363">
        <f>VLOOKUP(Table2[[#This Row],[Course Title]],'TSD-Data'!$A$1:$E$80,4,FALSE)</f>
        <v>1000</v>
      </c>
      <c r="U242" s="363">
        <f>VLOOKUP(Table2[[#This Row],[Course Title]],'TSD-Data'!$A$1:$F$80,6,FALSE)</f>
        <v>2.5</v>
      </c>
      <c r="V242" s="323">
        <f>VLOOKUP(Table2[[#This Row],[Course Title]],'TSD-Data'!$A$1:$F$80,5,FALSE)</f>
        <v>0.3</v>
      </c>
      <c r="W242" s="323"/>
      <c r="X242" s="316">
        <f>Table2[[#This Row],[Quotas]]-Table2[[#This Row],[Open Quotas]]</f>
        <v>1</v>
      </c>
      <c r="Y242" s="316">
        <v>0</v>
      </c>
      <c r="Z242" s="323"/>
      <c r="AA242" s="323"/>
      <c r="AB242" s="363"/>
      <c r="AC242" s="363"/>
      <c r="AD242" s="316"/>
      <c r="AE242" s="316"/>
      <c r="AF242" s="323">
        <f ca="1">Table2[[#This Row],[End Date]]+2-TODAY()</f>
        <v>72</v>
      </c>
      <c r="AG242" s="363">
        <f>IF(ISBLANK(Table2[[#This Row],[Roster Received by]]),1,0)</f>
        <v>1</v>
      </c>
      <c r="AH242" s="363">
        <f ca="1">IF(Table2[[#This Row],[Start Date]]&gt;TODAY(),1,)</f>
        <v>1</v>
      </c>
      <c r="AI242" s="363">
        <f>IF(ISBLANK(Table2[[#This Row],[Primary Instructor]]),0,1)</f>
        <v>1</v>
      </c>
      <c r="AJ242" s="363">
        <f>IF(ISBLANK(Table2[[#This Row],[Instructor 2]]),0,1)</f>
        <v>0</v>
      </c>
      <c r="AK242" s="363">
        <f>Table2[[#This Row],[Course Length (Hours)]]/(SUM(Table2[[#This Row],[1]:[2]]))</f>
        <v>2.5</v>
      </c>
      <c r="AL242" s="638">
        <v>999</v>
      </c>
      <c r="AM242" s="363">
        <v>2</v>
      </c>
      <c r="AN242" s="363" t="str">
        <f>VLOOKUP(Table2[[#This Row],[Course Title]],'TSD-Data'!$A$1:$G$80,7,FALSE)</f>
        <v>N8</v>
      </c>
    </row>
    <row r="243" spans="2:40" s="428" customFormat="1" ht="15" customHeight="1" x14ac:dyDescent="0.25">
      <c r="B243" s="315"/>
      <c r="C243" s="364" t="s">
        <v>394</v>
      </c>
      <c r="D243" s="363" t="str">
        <f>VLOOKUP(Table2[[#This Row],[Course Title]],'TSD-Data'!$A$1:$E$80,2,FALSE)</f>
        <v>A-493-3010</v>
      </c>
      <c r="E243" s="363" t="str">
        <f>VLOOKUP(Table2[[#This Row],[Course Title]],'TSD-Data'!$A$1:$E$80,3,FALSE)</f>
        <v>31VC</v>
      </c>
      <c r="F243" s="364" t="s">
        <v>25</v>
      </c>
      <c r="G243" s="344">
        <v>46077</v>
      </c>
      <c r="H243" s="344">
        <v>46077</v>
      </c>
      <c r="I243" s="125" t="s">
        <v>163</v>
      </c>
      <c r="J243" s="318"/>
      <c r="K243" s="318">
        <v>0.45833333333333331</v>
      </c>
      <c r="L243" s="345">
        <v>0.33333333333333331</v>
      </c>
      <c r="M243" s="318">
        <v>0.79166666666666663</v>
      </c>
      <c r="N243" s="318">
        <v>0.70833333333333337</v>
      </c>
      <c r="O243" s="318">
        <v>0.25</v>
      </c>
      <c r="P243" s="318">
        <v>4.1666666666666664E-2</v>
      </c>
      <c r="Q243" s="321" t="s">
        <v>439</v>
      </c>
      <c r="R243" s="321"/>
      <c r="S243" s="321"/>
      <c r="T243" s="363">
        <f>VLOOKUP(Table2[[#This Row],[Course Title]],'TSD-Data'!$A$1:$E$80,4,FALSE)</f>
        <v>1000</v>
      </c>
      <c r="U243" s="363">
        <f>VLOOKUP(Table2[[#This Row],[Course Title]],'TSD-Data'!$A$1:$F$80,6,FALSE)</f>
        <v>3.5</v>
      </c>
      <c r="V243" s="323">
        <f>VLOOKUP(Table2[[#This Row],[Course Title]],'TSD-Data'!$A$1:$F$80,5,FALSE)</f>
        <v>0.4</v>
      </c>
      <c r="W243" s="323"/>
      <c r="X243" s="316">
        <f>Table2[[#This Row],[Quotas]]-Table2[[#This Row],[Open Quotas]]</f>
        <v>1</v>
      </c>
      <c r="Y243" s="316">
        <v>0</v>
      </c>
      <c r="Z243" s="323"/>
      <c r="AA243" s="323"/>
      <c r="AB243" s="363"/>
      <c r="AC243" s="363"/>
      <c r="AD243" s="316"/>
      <c r="AE243" s="316"/>
      <c r="AF243" s="323">
        <f ca="1">Table2[[#This Row],[End Date]]+2-TODAY()</f>
        <v>72</v>
      </c>
      <c r="AG243" s="363">
        <f>IF(ISBLANK(Table2[[#This Row],[Roster Received by]]),1,0)</f>
        <v>1</v>
      </c>
      <c r="AH243" s="363">
        <f ca="1">IF(Table2[[#This Row],[Start Date]]&gt;TODAY(),1,)</f>
        <v>1</v>
      </c>
      <c r="AI243" s="363">
        <f>IF(ISBLANK(Table2[[#This Row],[Primary Instructor]]),0,1)</f>
        <v>1</v>
      </c>
      <c r="AJ243" s="363">
        <f>IF(ISBLANK(Table2[[#This Row],[Instructor 2]]),0,1)</f>
        <v>0</v>
      </c>
      <c r="AK243" s="363">
        <f>Table2[[#This Row],[Course Length (Hours)]]/(SUM(Table2[[#This Row],[1]:[2]]))</f>
        <v>3.5</v>
      </c>
      <c r="AL243" s="638">
        <v>999</v>
      </c>
      <c r="AM243" s="363">
        <v>2</v>
      </c>
      <c r="AN243" s="363" t="str">
        <f>VLOOKUP(Table2[[#This Row],[Course Title]],'TSD-Data'!$A$1:$G$80,7,FALSE)</f>
        <v>N8</v>
      </c>
    </row>
    <row r="244" spans="2:40" s="428" customFormat="1" ht="15" customHeight="1" x14ac:dyDescent="0.25">
      <c r="B244" s="315"/>
      <c r="C244" s="364" t="s">
        <v>390</v>
      </c>
      <c r="D244" s="363" t="str">
        <f>VLOOKUP(Table2[[#This Row],[Course Title]],'TSD-Data'!$A$1:$E$80,2,FALSE)</f>
        <v>A-493-3018</v>
      </c>
      <c r="E244" s="363" t="str">
        <f>VLOOKUP(Table2[[#This Row],[Course Title]],'TSD-Data'!$A$1:$E$80,3,FALSE)</f>
        <v>31YM</v>
      </c>
      <c r="F244" s="364" t="s">
        <v>25</v>
      </c>
      <c r="G244" s="344">
        <v>46078</v>
      </c>
      <c r="H244" s="344">
        <v>46078</v>
      </c>
      <c r="I244" s="125" t="s">
        <v>163</v>
      </c>
      <c r="J244" s="318"/>
      <c r="K244" s="318">
        <v>0.72916666666666663</v>
      </c>
      <c r="L244" s="345">
        <v>0.60416666666666663</v>
      </c>
      <c r="M244" s="318">
        <v>6.25E-2</v>
      </c>
      <c r="N244" s="318">
        <v>0.97916666666666663</v>
      </c>
      <c r="O244" s="318">
        <v>0.52083333333333337</v>
      </c>
      <c r="P244" s="318">
        <v>0.3125</v>
      </c>
      <c r="Q244" s="321" t="s">
        <v>439</v>
      </c>
      <c r="R244" s="321"/>
      <c r="S244" s="321"/>
      <c r="T244" s="363">
        <f>VLOOKUP(Table2[[#This Row],[Course Title]],'TSD-Data'!$A$1:$E$80,4,FALSE)</f>
        <v>1000</v>
      </c>
      <c r="U244" s="363">
        <f>VLOOKUP(Table2[[#This Row],[Course Title]],'TSD-Data'!$A$1:$F$80,6,FALSE)</f>
        <v>2.5</v>
      </c>
      <c r="V244" s="323">
        <f>VLOOKUP(Table2[[#This Row],[Course Title]],'TSD-Data'!$A$1:$F$80,5,FALSE)</f>
        <v>0.3</v>
      </c>
      <c r="W244" s="323"/>
      <c r="X244" s="316">
        <f>Table2[[#This Row],[Quotas]]-Table2[[#This Row],[Open Quotas]]</f>
        <v>1</v>
      </c>
      <c r="Y244" s="316">
        <v>0</v>
      </c>
      <c r="Z244" s="323"/>
      <c r="AA244" s="323"/>
      <c r="AB244" s="363"/>
      <c r="AC244" s="363"/>
      <c r="AD244" s="316"/>
      <c r="AE244" s="316"/>
      <c r="AF244" s="323">
        <f ca="1">Table2[[#This Row],[End Date]]+2-TODAY()</f>
        <v>73</v>
      </c>
      <c r="AG244" s="363">
        <f>IF(ISBLANK(Table2[[#This Row],[Roster Received by]]),1,0)</f>
        <v>1</v>
      </c>
      <c r="AH244" s="363">
        <f ca="1">IF(Table2[[#This Row],[Start Date]]&gt;TODAY(),1,)</f>
        <v>1</v>
      </c>
      <c r="AI244" s="363">
        <f>IF(ISBLANK(Table2[[#This Row],[Primary Instructor]]),0,1)</f>
        <v>1</v>
      </c>
      <c r="AJ244" s="363">
        <f>IF(ISBLANK(Table2[[#This Row],[Instructor 2]]),0,1)</f>
        <v>0</v>
      </c>
      <c r="AK244" s="363">
        <f>Table2[[#This Row],[Course Length (Hours)]]/(SUM(Table2[[#This Row],[1]:[2]]))</f>
        <v>2.5</v>
      </c>
      <c r="AL244" s="638">
        <v>999</v>
      </c>
      <c r="AM244" s="363">
        <v>2</v>
      </c>
      <c r="AN244" s="363" t="str">
        <f>VLOOKUP(Table2[[#This Row],[Course Title]],'TSD-Data'!$A$1:$G$80,7,FALSE)</f>
        <v>N8</v>
      </c>
    </row>
    <row r="245" spans="2:40" s="428" customFormat="1" ht="15" customHeight="1" x14ac:dyDescent="0.25">
      <c r="B245" s="315"/>
      <c r="C245" s="364" t="s">
        <v>392</v>
      </c>
      <c r="D245" s="363" t="str">
        <f>VLOOKUP(Table2[[#This Row],[Course Title]],'TSD-Data'!$A$1:$E$80,2,FALSE)</f>
        <v>A-493-3004</v>
      </c>
      <c r="E245" s="363" t="str">
        <f>VLOOKUP(Table2[[#This Row],[Course Title]],'TSD-Data'!$A$1:$E$80,3,FALSE)</f>
        <v>31V6</v>
      </c>
      <c r="F245" s="364" t="s">
        <v>25</v>
      </c>
      <c r="G245" s="344">
        <v>46078</v>
      </c>
      <c r="H245" s="344">
        <v>46078</v>
      </c>
      <c r="I245" s="125" t="s">
        <v>163</v>
      </c>
      <c r="J245" s="318"/>
      <c r="K245" s="318">
        <v>0.64583333333333337</v>
      </c>
      <c r="L245" s="345">
        <v>0.52083333333333337</v>
      </c>
      <c r="M245" s="318">
        <v>0.97916666666666663</v>
      </c>
      <c r="N245" s="318">
        <v>0.89583333333333337</v>
      </c>
      <c r="O245" s="318">
        <v>0.4375</v>
      </c>
      <c r="P245" s="318">
        <v>0.22916666666666666</v>
      </c>
      <c r="Q245" s="321" t="s">
        <v>439</v>
      </c>
      <c r="R245" s="321"/>
      <c r="S245" s="321"/>
      <c r="T245" s="363">
        <f>VLOOKUP(Table2[[#This Row],[Course Title]],'TSD-Data'!$A$1:$E$80,4,FALSE)</f>
        <v>1000</v>
      </c>
      <c r="U245" s="363">
        <f>VLOOKUP(Table2[[#This Row],[Course Title]],'TSD-Data'!$A$1:$F$80,6,FALSE)</f>
        <v>1.5</v>
      </c>
      <c r="V245" s="323">
        <f>VLOOKUP(Table2[[#This Row],[Course Title]],'TSD-Data'!$A$1:$F$80,5,FALSE)</f>
        <v>0.2</v>
      </c>
      <c r="W245" s="323"/>
      <c r="X245" s="316">
        <f>Table2[[#This Row],[Quotas]]-Table2[[#This Row],[Open Quotas]]</f>
        <v>1</v>
      </c>
      <c r="Y245" s="316">
        <v>0</v>
      </c>
      <c r="Z245" s="323"/>
      <c r="AA245" s="323"/>
      <c r="AB245" s="363"/>
      <c r="AC245" s="363"/>
      <c r="AD245" s="316"/>
      <c r="AE245" s="316"/>
      <c r="AF245" s="323">
        <f ca="1">Table2[[#This Row],[End Date]]+2-TODAY()</f>
        <v>73</v>
      </c>
      <c r="AG245" s="363">
        <f>IF(ISBLANK(Table2[[#This Row],[Roster Received by]]),1,0)</f>
        <v>1</v>
      </c>
      <c r="AH245" s="363">
        <f ca="1">IF(Table2[[#This Row],[Start Date]]&gt;TODAY(),1,)</f>
        <v>1</v>
      </c>
      <c r="AI245" s="363">
        <f>IF(ISBLANK(Table2[[#This Row],[Primary Instructor]]),0,1)</f>
        <v>1</v>
      </c>
      <c r="AJ245" s="363">
        <f>IF(ISBLANK(Table2[[#This Row],[Instructor 2]]),0,1)</f>
        <v>0</v>
      </c>
      <c r="AK245" s="363">
        <f>Table2[[#This Row],[Course Length (Hours)]]/(SUM(Table2[[#This Row],[1]:[2]]))</f>
        <v>1.5</v>
      </c>
      <c r="AL245" s="638">
        <v>999</v>
      </c>
      <c r="AM245" s="363">
        <v>2</v>
      </c>
      <c r="AN245" s="363" t="str">
        <f>VLOOKUP(Table2[[#This Row],[Course Title]],'TSD-Data'!$A$1:$G$80,7,FALSE)</f>
        <v>N8</v>
      </c>
    </row>
    <row r="246" spans="2:40" s="428" customFormat="1" ht="15" customHeight="1" x14ac:dyDescent="0.25">
      <c r="B246" s="315"/>
      <c r="C246" s="364" t="s">
        <v>403</v>
      </c>
      <c r="D246" s="363" t="str">
        <f>VLOOKUP(Table2[[#This Row],[Course Title]],'TSD-Data'!$A$1:$E$80,2,FALSE)</f>
        <v>A-493-3001</v>
      </c>
      <c r="E246" s="363" t="str">
        <f>VLOOKUP(Table2[[#This Row],[Course Title]],'TSD-Data'!$A$1:$E$80,3,FALSE)</f>
        <v>31V3</v>
      </c>
      <c r="F246" s="364" t="s">
        <v>25</v>
      </c>
      <c r="G246" s="344">
        <v>46078</v>
      </c>
      <c r="H246" s="344">
        <v>46078</v>
      </c>
      <c r="I246" s="125" t="s">
        <v>163</v>
      </c>
      <c r="J246" s="318"/>
      <c r="K246" s="318">
        <v>0.45833333333333331</v>
      </c>
      <c r="L246" s="345">
        <v>0.33333333333333331</v>
      </c>
      <c r="M246" s="318">
        <v>0.79166666666666663</v>
      </c>
      <c r="N246" s="318">
        <v>0.70833333333333337</v>
      </c>
      <c r="O246" s="318">
        <v>0.25</v>
      </c>
      <c r="P246" s="318">
        <v>4.1666666666666664E-2</v>
      </c>
      <c r="Q246" s="321" t="s">
        <v>439</v>
      </c>
      <c r="R246" s="321"/>
      <c r="S246" s="321"/>
      <c r="T246" s="363">
        <f>VLOOKUP(Table2[[#This Row],[Course Title]],'TSD-Data'!$A$1:$E$80,4,FALSE)</f>
        <v>1000</v>
      </c>
      <c r="U246" s="363">
        <f>VLOOKUP(Table2[[#This Row],[Course Title]],'TSD-Data'!$A$1:$F$80,6,FALSE)</f>
        <v>2</v>
      </c>
      <c r="V246" s="323">
        <f>VLOOKUP(Table2[[#This Row],[Course Title]],'TSD-Data'!$A$1:$F$80,5,FALSE)</f>
        <v>0.25</v>
      </c>
      <c r="W246" s="323"/>
      <c r="X246" s="316">
        <f>Table2[[#This Row],[Quotas]]-Table2[[#This Row],[Open Quotas]]</f>
        <v>1</v>
      </c>
      <c r="Y246" s="316">
        <v>0</v>
      </c>
      <c r="Z246" s="323"/>
      <c r="AA246" s="323"/>
      <c r="AB246" s="363"/>
      <c r="AC246" s="363"/>
      <c r="AD246" s="316"/>
      <c r="AE246" s="316"/>
      <c r="AF246" s="323">
        <f ca="1">Table2[[#This Row],[End Date]]+2-TODAY()</f>
        <v>73</v>
      </c>
      <c r="AG246" s="363">
        <f>IF(ISBLANK(Table2[[#This Row],[Roster Received by]]),1,0)</f>
        <v>1</v>
      </c>
      <c r="AH246" s="363">
        <f ca="1">IF(Table2[[#This Row],[Start Date]]&gt;TODAY(),1,)</f>
        <v>1</v>
      </c>
      <c r="AI246" s="363">
        <f>IF(ISBLANK(Table2[[#This Row],[Primary Instructor]]),0,1)</f>
        <v>1</v>
      </c>
      <c r="AJ246" s="363">
        <f>IF(ISBLANK(Table2[[#This Row],[Instructor 2]]),0,1)</f>
        <v>0</v>
      </c>
      <c r="AK246" s="363">
        <f>Table2[[#This Row],[Course Length (Hours)]]/(SUM(Table2[[#This Row],[1]:[2]]))</f>
        <v>2</v>
      </c>
      <c r="AL246" s="638">
        <v>999</v>
      </c>
      <c r="AM246" s="363">
        <v>2</v>
      </c>
      <c r="AN246" s="363" t="str">
        <f>VLOOKUP(Table2[[#This Row],[Course Title]],'TSD-Data'!$A$1:$G$80,7,FALSE)</f>
        <v>N8</v>
      </c>
    </row>
    <row r="247" spans="2:40" s="428" customFormat="1" ht="15" customHeight="1" x14ac:dyDescent="0.25">
      <c r="B247" s="315"/>
      <c r="C247" s="94" t="s">
        <v>80</v>
      </c>
      <c r="D247" s="70" t="str">
        <f>VLOOKUP(Table2[[#This Row],[Course Title]],'TSD-Data'!$A$1:$E$80,2,FALSE)</f>
        <v>A-493-0083</v>
      </c>
      <c r="E247" s="70" t="str">
        <f>VLOOKUP(Table2[[#This Row],[Course Title]],'TSD-Data'!$A$1:$E$80,3,FALSE)</f>
        <v>339E</v>
      </c>
      <c r="F247" s="94" t="s">
        <v>293</v>
      </c>
      <c r="G247" s="72">
        <v>46079</v>
      </c>
      <c r="H247" s="72">
        <v>46079</v>
      </c>
      <c r="I247" s="125" t="s">
        <v>163</v>
      </c>
      <c r="J247" s="318">
        <v>0.33333333333333331</v>
      </c>
      <c r="K247" s="318"/>
      <c r="L247" s="317"/>
      <c r="M247" s="317"/>
      <c r="N247" s="317"/>
      <c r="O247" s="317"/>
      <c r="P247" s="317"/>
      <c r="Q247" s="321" t="s">
        <v>168</v>
      </c>
      <c r="R247" s="321"/>
      <c r="S247" s="321"/>
      <c r="T247" s="316">
        <f>VLOOKUP(Table2[[#This Row],[Course Title]],'TSD-Data'!$A$1:$E$80,4,FALSE)</f>
        <v>30</v>
      </c>
      <c r="U247" s="316">
        <f>VLOOKUP(Table2[[#This Row],[Course Title]],'TSD-Data'!$A$1:$F$80,6,FALSE)</f>
        <v>8</v>
      </c>
      <c r="V247" s="323">
        <f>VLOOKUP(Table2[[#This Row],[Course Title]],'TSD-Data'!$A$1:$F$80,5,FALSE)</f>
        <v>1</v>
      </c>
      <c r="W247" s="323">
        <v>54</v>
      </c>
      <c r="X247" s="316">
        <f>Table2[[#This Row],[Quotas]]-Table2[[#This Row],[Open Quotas]]</f>
        <v>8</v>
      </c>
      <c r="Y247" s="316"/>
      <c r="Z247" s="323"/>
      <c r="AA247" s="323"/>
      <c r="AB247" s="363"/>
      <c r="AC247" s="363"/>
      <c r="AD247" s="316"/>
      <c r="AE247" s="316"/>
      <c r="AF247" s="323">
        <f ca="1">Table2[[#This Row],[End Date]]+2-TODAY()</f>
        <v>74</v>
      </c>
      <c r="AG247" s="316">
        <f>IF(ISBLANK(Table2[[#This Row],[Roster Received by]]),1,0)</f>
        <v>1</v>
      </c>
      <c r="AH247" s="316">
        <f ca="1">IF(Table2[[#This Row],[Start Date]]&gt;TODAY(),1,)</f>
        <v>1</v>
      </c>
      <c r="AI247" s="316">
        <f>IF(ISBLANK(Table2[[#This Row],[Primary Instructor]]),0,1)</f>
        <v>1</v>
      </c>
      <c r="AJ247" s="316">
        <f>IF(ISBLANK(Table2[[#This Row],[Instructor 2]]),0,1)</f>
        <v>0</v>
      </c>
      <c r="AK247" s="316">
        <f>Table2[[#This Row],[Course Length (Hours)]]/(SUM(Table2[[#This Row],[1]:[2]]))</f>
        <v>8</v>
      </c>
      <c r="AL247" s="638">
        <v>22</v>
      </c>
      <c r="AM247" s="433">
        <v>2</v>
      </c>
      <c r="AN247" s="363" t="str">
        <f>VLOOKUP(Table2[[#This Row],[Course Title]],'TSD-Data'!$A$1:$G$80,7,FALSE)</f>
        <v>N4</v>
      </c>
    </row>
    <row r="248" spans="2:40" s="428" customFormat="1" ht="15" customHeight="1" x14ac:dyDescent="0.25">
      <c r="B248" s="315"/>
      <c r="C248" s="364" t="s">
        <v>397</v>
      </c>
      <c r="D248" s="363" t="str">
        <f>VLOOKUP(Table2[[#This Row],[Course Title]],'TSD-Data'!$A$1:$E$80,2,FALSE)</f>
        <v>A-493-3013</v>
      </c>
      <c r="E248" s="363" t="str">
        <f>VLOOKUP(Table2[[#This Row],[Course Title]],'TSD-Data'!$A$1:$E$80,3,FALSE)</f>
        <v>31YG</v>
      </c>
      <c r="F248" s="364" t="s">
        <v>25</v>
      </c>
      <c r="G248" s="344">
        <v>46079</v>
      </c>
      <c r="H248" s="344">
        <v>46079</v>
      </c>
      <c r="I248" s="125" t="s">
        <v>163</v>
      </c>
      <c r="J248" s="318"/>
      <c r="K248" s="318">
        <v>0.5625</v>
      </c>
      <c r="L248" s="345">
        <v>0.4375</v>
      </c>
      <c r="M248" s="318">
        <v>0.89583333333333337</v>
      </c>
      <c r="N248" s="318">
        <v>0.8125</v>
      </c>
      <c r="O248" s="318">
        <v>0.35416666666666669</v>
      </c>
      <c r="P248" s="318">
        <v>0.14583333333333334</v>
      </c>
      <c r="Q248" s="321" t="s">
        <v>439</v>
      </c>
      <c r="R248" s="321"/>
      <c r="S248" s="321"/>
      <c r="T248" s="363">
        <f>VLOOKUP(Table2[[#This Row],[Course Title]],'TSD-Data'!$A$1:$E$80,4,FALSE)</f>
        <v>1000</v>
      </c>
      <c r="U248" s="363">
        <f>VLOOKUP(Table2[[#This Row],[Course Title]],'TSD-Data'!$A$1:$F$80,6,FALSE)</f>
        <v>1</v>
      </c>
      <c r="V248" s="323">
        <f>VLOOKUP(Table2[[#This Row],[Course Title]],'TSD-Data'!$A$1:$F$80,5,FALSE)</f>
        <v>0.1</v>
      </c>
      <c r="W248" s="323"/>
      <c r="X248" s="316">
        <f>Table2[[#This Row],[Quotas]]-Table2[[#This Row],[Open Quotas]]</f>
        <v>1</v>
      </c>
      <c r="Y248" s="316">
        <v>0</v>
      </c>
      <c r="Z248" s="323"/>
      <c r="AA248" s="323"/>
      <c r="AB248" s="363"/>
      <c r="AC248" s="363"/>
      <c r="AD248" s="316"/>
      <c r="AE248" s="316"/>
      <c r="AF248" s="323">
        <f ca="1">Table2[[#This Row],[End Date]]+2-TODAY()</f>
        <v>74</v>
      </c>
      <c r="AG248" s="363">
        <f>IF(ISBLANK(Table2[[#This Row],[Roster Received by]]),1,0)</f>
        <v>1</v>
      </c>
      <c r="AH248" s="363">
        <f ca="1">IF(Table2[[#This Row],[Start Date]]&gt;TODAY(),1,)</f>
        <v>1</v>
      </c>
      <c r="AI248" s="363">
        <f>IF(ISBLANK(Table2[[#This Row],[Primary Instructor]]),0,1)</f>
        <v>1</v>
      </c>
      <c r="AJ248" s="363">
        <f>IF(ISBLANK(Table2[[#This Row],[Instructor 2]]),0,1)</f>
        <v>0</v>
      </c>
      <c r="AK248" s="363">
        <f>Table2[[#This Row],[Course Length (Hours)]]/(SUM(Table2[[#This Row],[1]:[2]]))</f>
        <v>1</v>
      </c>
      <c r="AL248" s="638">
        <v>999</v>
      </c>
      <c r="AM248" s="363">
        <v>2</v>
      </c>
      <c r="AN248" s="363" t="str">
        <f>VLOOKUP(Table2[[#This Row],[Course Title]],'TSD-Data'!$A$1:$G$80,7,FALSE)</f>
        <v>N8</v>
      </c>
    </row>
    <row r="249" spans="2:40" s="428" customFormat="1" ht="15" customHeight="1" x14ac:dyDescent="0.25">
      <c r="B249" s="315"/>
      <c r="C249" s="364" t="s">
        <v>398</v>
      </c>
      <c r="D249" s="363" t="str">
        <f>VLOOKUP(Table2[[#This Row],[Course Title]],'TSD-Data'!$A$1:$E$80,2,FALSE)</f>
        <v>A-493-3014</v>
      </c>
      <c r="E249" s="363" t="str">
        <f>VLOOKUP(Table2[[#This Row],[Course Title]],'TSD-Data'!$A$1:$E$80,3,FALSE)</f>
        <v>31Yh</v>
      </c>
      <c r="F249" s="364" t="s">
        <v>25</v>
      </c>
      <c r="G249" s="344">
        <v>46079</v>
      </c>
      <c r="H249" s="344">
        <v>46079</v>
      </c>
      <c r="I249" s="125" t="s">
        <v>163</v>
      </c>
      <c r="J249" s="318"/>
      <c r="K249" s="318">
        <v>0.72916666666666663</v>
      </c>
      <c r="L249" s="345">
        <v>0.60416666666666663</v>
      </c>
      <c r="M249" s="318">
        <v>6.25E-2</v>
      </c>
      <c r="N249" s="318">
        <v>0.97916666666666663</v>
      </c>
      <c r="O249" s="318">
        <v>0.52083333333333337</v>
      </c>
      <c r="P249" s="318">
        <v>0.3125</v>
      </c>
      <c r="Q249" s="321" t="s">
        <v>439</v>
      </c>
      <c r="R249" s="321"/>
      <c r="S249" s="321"/>
      <c r="T249" s="363">
        <f>VLOOKUP(Table2[[#This Row],[Course Title]],'TSD-Data'!$A$1:$E$80,4,FALSE)</f>
        <v>1000</v>
      </c>
      <c r="U249" s="363">
        <f>VLOOKUP(Table2[[#This Row],[Course Title]],'TSD-Data'!$A$1:$F$80,6,FALSE)</f>
        <v>0.75</v>
      </c>
      <c r="V249" s="323">
        <f>VLOOKUP(Table2[[#This Row],[Course Title]],'TSD-Data'!$A$1:$F$80,5,FALSE)</f>
        <v>0.1</v>
      </c>
      <c r="W249" s="323"/>
      <c r="X249" s="316">
        <f>Table2[[#This Row],[Quotas]]-Table2[[#This Row],[Open Quotas]]</f>
        <v>1</v>
      </c>
      <c r="Y249" s="316">
        <v>0</v>
      </c>
      <c r="Z249" s="323"/>
      <c r="AA249" s="323"/>
      <c r="AB249" s="363"/>
      <c r="AC249" s="363"/>
      <c r="AD249" s="316"/>
      <c r="AE249" s="316"/>
      <c r="AF249" s="323">
        <f ca="1">Table2[[#This Row],[End Date]]+2-TODAY()</f>
        <v>74</v>
      </c>
      <c r="AG249" s="363">
        <f>IF(ISBLANK(Table2[[#This Row],[Roster Received by]]),1,0)</f>
        <v>1</v>
      </c>
      <c r="AH249" s="363">
        <f ca="1">IF(Table2[[#This Row],[Start Date]]&gt;TODAY(),1,)</f>
        <v>1</v>
      </c>
      <c r="AI249" s="363">
        <f>IF(ISBLANK(Table2[[#This Row],[Primary Instructor]]),0,1)</f>
        <v>1</v>
      </c>
      <c r="AJ249" s="363">
        <f>IF(ISBLANK(Table2[[#This Row],[Instructor 2]]),0,1)</f>
        <v>0</v>
      </c>
      <c r="AK249" s="363">
        <f>Table2[[#This Row],[Course Length (Hours)]]/(SUM(Table2[[#This Row],[1]:[2]]))</f>
        <v>0.75</v>
      </c>
      <c r="AL249" s="638">
        <v>999</v>
      </c>
      <c r="AM249" s="363">
        <v>2</v>
      </c>
      <c r="AN249" s="363" t="str">
        <f>VLOOKUP(Table2[[#This Row],[Course Title]],'TSD-Data'!$A$1:$G$80,7,FALSE)</f>
        <v>N8</v>
      </c>
    </row>
    <row r="250" spans="2:40" s="428" customFormat="1" x14ac:dyDescent="0.25">
      <c r="B250" s="315"/>
      <c r="C250" s="364" t="s">
        <v>399</v>
      </c>
      <c r="D250" s="363" t="str">
        <f>VLOOKUP(Table2[[#This Row],[Course Title]],'TSD-Data'!$A$1:$E$80,2,FALSE)</f>
        <v>A-493-3015</v>
      </c>
      <c r="E250" s="363" t="str">
        <f>VLOOKUP(Table2[[#This Row],[Course Title]],'TSD-Data'!$A$1:$E$80,3,FALSE)</f>
        <v>31YJ</v>
      </c>
      <c r="F250" s="364" t="s">
        <v>25</v>
      </c>
      <c r="G250" s="344">
        <v>46079</v>
      </c>
      <c r="H250" s="344">
        <v>46079</v>
      </c>
      <c r="I250" s="125" t="s">
        <v>163</v>
      </c>
      <c r="J250" s="318"/>
      <c r="K250" s="318">
        <v>0.45833333333333331</v>
      </c>
      <c r="L250" s="345">
        <v>0.33333333333333331</v>
      </c>
      <c r="M250" s="318">
        <v>0.79166666666666663</v>
      </c>
      <c r="N250" s="318">
        <v>0.70833333333333337</v>
      </c>
      <c r="O250" s="318">
        <v>0.25</v>
      </c>
      <c r="P250" s="318">
        <v>4.1666666666666664E-2</v>
      </c>
      <c r="Q250" s="321" t="s">
        <v>439</v>
      </c>
      <c r="R250" s="321"/>
      <c r="S250" s="321"/>
      <c r="T250" s="363">
        <f>VLOOKUP(Table2[[#This Row],[Course Title]],'TSD-Data'!$A$1:$E$80,4,FALSE)</f>
        <v>1000</v>
      </c>
      <c r="U250" s="363">
        <f>VLOOKUP(Table2[[#This Row],[Course Title]],'TSD-Data'!$A$1:$F$80,6,FALSE)</f>
        <v>1</v>
      </c>
      <c r="V250" s="323">
        <f>VLOOKUP(Table2[[#This Row],[Course Title]],'TSD-Data'!$A$1:$F$80,5,FALSE)</f>
        <v>0.1</v>
      </c>
      <c r="W250" s="323"/>
      <c r="X250" s="316">
        <f>Table2[[#This Row],[Quotas]]-Table2[[#This Row],[Open Quotas]]</f>
        <v>1</v>
      </c>
      <c r="Y250" s="316">
        <v>0</v>
      </c>
      <c r="Z250" s="323"/>
      <c r="AA250" s="323"/>
      <c r="AB250" s="363"/>
      <c r="AC250" s="363"/>
      <c r="AD250" s="316"/>
      <c r="AE250" s="316"/>
      <c r="AF250" s="323">
        <f ca="1">Table2[[#This Row],[End Date]]+2-TODAY()</f>
        <v>74</v>
      </c>
      <c r="AG250" s="363">
        <f>IF(ISBLANK(Table2[[#This Row],[Roster Received by]]),1,0)</f>
        <v>1</v>
      </c>
      <c r="AH250" s="363">
        <f ca="1">IF(Table2[[#This Row],[Start Date]]&gt;TODAY(),1,)</f>
        <v>1</v>
      </c>
      <c r="AI250" s="363">
        <f>IF(ISBLANK(Table2[[#This Row],[Primary Instructor]]),0,1)</f>
        <v>1</v>
      </c>
      <c r="AJ250" s="363">
        <f>IF(ISBLANK(Table2[[#This Row],[Instructor 2]]),0,1)</f>
        <v>0</v>
      </c>
      <c r="AK250" s="363">
        <f>Table2[[#This Row],[Course Length (Hours)]]/(SUM(Table2[[#This Row],[1]:[2]]))</f>
        <v>1</v>
      </c>
      <c r="AL250" s="638">
        <v>999</v>
      </c>
      <c r="AM250" s="363">
        <v>2</v>
      </c>
      <c r="AN250" s="363" t="str">
        <f>VLOOKUP(Table2[[#This Row],[Course Title]],'TSD-Data'!$A$1:$G$80,7,FALSE)</f>
        <v>N8</v>
      </c>
    </row>
    <row r="251" spans="2:40" s="428" customFormat="1" ht="15" customHeight="1" x14ac:dyDescent="0.25">
      <c r="B251" s="315"/>
      <c r="C251" s="364" t="s">
        <v>400</v>
      </c>
      <c r="D251" s="363" t="str">
        <f>VLOOKUP(Table2[[#This Row],[Course Title]],'TSD-Data'!$A$1:$E$80,2,FALSE)</f>
        <v>A-493-3016</v>
      </c>
      <c r="E251" s="363" t="str">
        <f>VLOOKUP(Table2[[#This Row],[Course Title]],'TSD-Data'!$A$1:$E$80,3,FALSE)</f>
        <v>31Yk</v>
      </c>
      <c r="F251" s="364" t="s">
        <v>25</v>
      </c>
      <c r="G251" s="344">
        <v>46079</v>
      </c>
      <c r="H251" s="344">
        <v>46079</v>
      </c>
      <c r="I251" s="125" t="s">
        <v>163</v>
      </c>
      <c r="J251" s="318"/>
      <c r="K251" s="318">
        <v>0.64583333333333337</v>
      </c>
      <c r="L251" s="345">
        <v>0.52083333333333337</v>
      </c>
      <c r="M251" s="318">
        <v>0.97916666666666663</v>
      </c>
      <c r="N251" s="318">
        <v>0.89583333333333337</v>
      </c>
      <c r="O251" s="318">
        <v>0.4375</v>
      </c>
      <c r="P251" s="318">
        <v>0.22916666666666666</v>
      </c>
      <c r="Q251" s="321" t="s">
        <v>439</v>
      </c>
      <c r="R251" s="321"/>
      <c r="S251" s="321"/>
      <c r="T251" s="363">
        <f>VLOOKUP(Table2[[#This Row],[Course Title]],'TSD-Data'!$A$1:$E$80,4,FALSE)</f>
        <v>1000</v>
      </c>
      <c r="U251" s="363">
        <f>VLOOKUP(Table2[[#This Row],[Course Title]],'TSD-Data'!$A$1:$F$80,6,FALSE)</f>
        <v>1</v>
      </c>
      <c r="V251" s="323">
        <f>VLOOKUP(Table2[[#This Row],[Course Title]],'TSD-Data'!$A$1:$F$80,5,FALSE)</f>
        <v>0.1</v>
      </c>
      <c r="W251" s="323"/>
      <c r="X251" s="316">
        <f>Table2[[#This Row],[Quotas]]-Table2[[#This Row],[Open Quotas]]</f>
        <v>1</v>
      </c>
      <c r="Y251" s="316">
        <v>0</v>
      </c>
      <c r="Z251" s="323"/>
      <c r="AA251" s="323"/>
      <c r="AB251" s="363"/>
      <c r="AC251" s="363"/>
      <c r="AD251" s="316"/>
      <c r="AE251" s="316"/>
      <c r="AF251" s="323">
        <f ca="1">Table2[[#This Row],[End Date]]+2-TODAY()</f>
        <v>74</v>
      </c>
      <c r="AG251" s="363">
        <f>IF(ISBLANK(Table2[[#This Row],[Roster Received by]]),1,0)</f>
        <v>1</v>
      </c>
      <c r="AH251" s="363">
        <f ca="1">IF(Table2[[#This Row],[Start Date]]&gt;TODAY(),1,)</f>
        <v>1</v>
      </c>
      <c r="AI251" s="363">
        <f>IF(ISBLANK(Table2[[#This Row],[Primary Instructor]]),0,1)</f>
        <v>1</v>
      </c>
      <c r="AJ251" s="363">
        <f>IF(ISBLANK(Table2[[#This Row],[Instructor 2]]),0,1)</f>
        <v>0</v>
      </c>
      <c r="AK251" s="363">
        <f>Table2[[#This Row],[Course Length (Hours)]]/(SUM(Table2[[#This Row],[1]:[2]]))</f>
        <v>1</v>
      </c>
      <c r="AL251" s="638">
        <v>999</v>
      </c>
      <c r="AM251" s="363">
        <v>2</v>
      </c>
      <c r="AN251" s="363" t="str">
        <f>VLOOKUP(Table2[[#This Row],[Course Title]],'TSD-Data'!$A$1:$G$80,7,FALSE)</f>
        <v>N8</v>
      </c>
    </row>
    <row r="252" spans="2:40" s="428" customFormat="1" x14ac:dyDescent="0.25">
      <c r="B252" s="315"/>
      <c r="C252" s="94" t="s">
        <v>80</v>
      </c>
      <c r="D252" s="70" t="str">
        <f>VLOOKUP(Table2[[#This Row],[Course Title]],'TSD-Data'!$A$1:$E$80,2,FALSE)</f>
        <v>A-493-0083</v>
      </c>
      <c r="E252" s="70" t="str">
        <f>VLOOKUP(Table2[[#This Row],[Course Title]],'TSD-Data'!$A$1:$E$80,3,FALSE)</f>
        <v>339E</v>
      </c>
      <c r="F252" s="703" t="s">
        <v>300</v>
      </c>
      <c r="G252" s="704">
        <v>46080</v>
      </c>
      <c r="H252" s="704">
        <v>46080</v>
      </c>
      <c r="I252" s="317" t="s">
        <v>163</v>
      </c>
      <c r="J252" s="318">
        <v>0.33333333333333331</v>
      </c>
      <c r="K252" s="318"/>
      <c r="L252" s="317"/>
      <c r="M252" s="317"/>
      <c r="N252" s="317"/>
      <c r="O252" s="317"/>
      <c r="P252" s="317"/>
      <c r="Q252" s="321" t="s">
        <v>168</v>
      </c>
      <c r="R252" s="321"/>
      <c r="S252" s="321"/>
      <c r="T252" s="316">
        <f>VLOOKUP(Table2[[#This Row],[Course Title]],'TSD-Data'!$A$1:$E$80,4,FALSE)</f>
        <v>30</v>
      </c>
      <c r="U252" s="316">
        <f>VLOOKUP(Table2[[#This Row],[Course Title]],'TSD-Data'!$A$1:$F$80,6,FALSE)</f>
        <v>8</v>
      </c>
      <c r="V252" s="323">
        <f>VLOOKUP(Table2[[#This Row],[Course Title]],'TSD-Data'!$A$1:$F$80,5,FALSE)</f>
        <v>1</v>
      </c>
      <c r="W252" s="323">
        <v>35</v>
      </c>
      <c r="X252" s="316">
        <f>Table2[[#This Row],[Quotas]]-Table2[[#This Row],[Open Quotas]]</f>
        <v>3</v>
      </c>
      <c r="Y252" s="316"/>
      <c r="Z252" s="323"/>
      <c r="AA252" s="323"/>
      <c r="AB252" s="363"/>
      <c r="AC252" s="363"/>
      <c r="AD252" s="316"/>
      <c r="AE252" s="316"/>
      <c r="AF252" s="323">
        <f ca="1">Table2[[#This Row],[End Date]]+2-TODAY()</f>
        <v>75</v>
      </c>
      <c r="AG252" s="316">
        <f>IF(ISBLANK(Table2[[#This Row],[Roster Received by]]),1,0)</f>
        <v>1</v>
      </c>
      <c r="AH252" s="316">
        <f ca="1">IF(Table2[[#This Row],[Start Date]]&gt;TODAY(),1,)</f>
        <v>1</v>
      </c>
      <c r="AI252" s="316">
        <f>IF(ISBLANK(Table2[[#This Row],[Primary Instructor]]),0,1)</f>
        <v>1</v>
      </c>
      <c r="AJ252" s="316">
        <f>IF(ISBLANK(Table2[[#This Row],[Instructor 2]]),0,1)</f>
        <v>0</v>
      </c>
      <c r="AK252" s="316">
        <f>Table2[[#This Row],[Course Length (Hours)]]/(SUM(Table2[[#This Row],[1]:[2]]))</f>
        <v>8</v>
      </c>
      <c r="AL252" s="638">
        <v>27</v>
      </c>
      <c r="AM252" s="433">
        <v>2</v>
      </c>
      <c r="AN252" s="363" t="str">
        <f>VLOOKUP(Table2[[#This Row],[Course Title]],'TSD-Data'!$A$1:$G$80,7,FALSE)</f>
        <v>N4</v>
      </c>
    </row>
    <row r="253" spans="2:40" s="428" customFormat="1" ht="15" customHeight="1" x14ac:dyDescent="0.25">
      <c r="B253" s="315"/>
      <c r="C253" s="364" t="s">
        <v>391</v>
      </c>
      <c r="D253" s="363" t="str">
        <f>VLOOKUP(Table2[[#This Row],[Course Title]],'TSD-Data'!$A$1:$E$80,2,FALSE)</f>
        <v>A-493-3005</v>
      </c>
      <c r="E253" s="363" t="str">
        <f>VLOOKUP(Table2[[#This Row],[Course Title]],'TSD-Data'!$A$1:$E$80,3,FALSE)</f>
        <v>31V7</v>
      </c>
      <c r="F253" s="364" t="s">
        <v>25</v>
      </c>
      <c r="G253" s="344">
        <v>46080</v>
      </c>
      <c r="H253" s="344">
        <v>46080</v>
      </c>
      <c r="I253" s="125" t="s">
        <v>163</v>
      </c>
      <c r="J253" s="318"/>
      <c r="K253" s="318">
        <v>0.61458333333333337</v>
      </c>
      <c r="L253" s="345">
        <v>0.48958333333333331</v>
      </c>
      <c r="M253" s="318">
        <v>0.94791666666666663</v>
      </c>
      <c r="N253" s="318">
        <v>0.86458333333333337</v>
      </c>
      <c r="O253" s="318">
        <v>0.40625</v>
      </c>
      <c r="P253" s="318">
        <v>0.19791666666666666</v>
      </c>
      <c r="Q253" s="321" t="s">
        <v>439</v>
      </c>
      <c r="R253" s="321"/>
      <c r="S253" s="321"/>
      <c r="T253" s="363">
        <f>VLOOKUP(Table2[[#This Row],[Course Title]],'TSD-Data'!$A$1:$E$80,4,FALSE)</f>
        <v>1000</v>
      </c>
      <c r="U253" s="363">
        <f>VLOOKUP(Table2[[#This Row],[Course Title]],'TSD-Data'!$A$1:$F$80,6,FALSE)</f>
        <v>2</v>
      </c>
      <c r="V253" s="323">
        <f>VLOOKUP(Table2[[#This Row],[Course Title]],'TSD-Data'!$A$1:$F$80,5,FALSE)</f>
        <v>0.25</v>
      </c>
      <c r="W253" s="323"/>
      <c r="X253" s="316">
        <f>Table2[[#This Row],[Quotas]]-Table2[[#This Row],[Open Quotas]]</f>
        <v>1</v>
      </c>
      <c r="Y253" s="316">
        <v>0</v>
      </c>
      <c r="Z253" s="323"/>
      <c r="AA253" s="323"/>
      <c r="AB253" s="363"/>
      <c r="AC253" s="363"/>
      <c r="AD253" s="316"/>
      <c r="AE253" s="316"/>
      <c r="AF253" s="323">
        <f ca="1">Table2[[#This Row],[End Date]]+2-TODAY()</f>
        <v>75</v>
      </c>
      <c r="AG253" s="363">
        <f>IF(ISBLANK(Table2[[#This Row],[Roster Received by]]),1,0)</f>
        <v>1</v>
      </c>
      <c r="AH253" s="363">
        <f ca="1">IF(Table2[[#This Row],[Start Date]]&gt;TODAY(),1,)</f>
        <v>1</v>
      </c>
      <c r="AI253" s="363">
        <f>IF(ISBLANK(Table2[[#This Row],[Primary Instructor]]),0,1)</f>
        <v>1</v>
      </c>
      <c r="AJ253" s="363">
        <f>IF(ISBLANK(Table2[[#This Row],[Instructor 2]]),0,1)</f>
        <v>0</v>
      </c>
      <c r="AK253" s="363">
        <f>Table2[[#This Row],[Course Length (Hours)]]/(SUM(Table2[[#This Row],[1]:[2]]))</f>
        <v>2</v>
      </c>
      <c r="AL253" s="638">
        <v>999</v>
      </c>
      <c r="AM253" s="363">
        <v>2</v>
      </c>
      <c r="AN253" s="363" t="str">
        <f>VLOOKUP(Table2[[#This Row],[Course Title]],'TSD-Data'!$A$1:$G$80,7,FALSE)</f>
        <v>N8</v>
      </c>
    </row>
    <row r="254" spans="2:40" s="428" customFormat="1" ht="15" customHeight="1" x14ac:dyDescent="0.25">
      <c r="B254" s="315"/>
      <c r="C254" s="364" t="s">
        <v>396</v>
      </c>
      <c r="D254" s="363" t="str">
        <f>VLOOKUP(Table2[[#This Row],[Course Title]],'TSD-Data'!$A$1:$E$80,2,FALSE)</f>
        <v>A-493-3017</v>
      </c>
      <c r="E254" s="363" t="str">
        <f>VLOOKUP(Table2[[#This Row],[Course Title]],'TSD-Data'!$A$1:$E$80,3,FALSE)</f>
        <v>31YL</v>
      </c>
      <c r="F254" s="364" t="s">
        <v>25</v>
      </c>
      <c r="G254" s="344">
        <v>46080</v>
      </c>
      <c r="H254" s="344">
        <v>46080</v>
      </c>
      <c r="I254" s="125" t="s">
        <v>163</v>
      </c>
      <c r="J254" s="318"/>
      <c r="K254" s="318">
        <v>0.69791666666666663</v>
      </c>
      <c r="L254" s="345">
        <v>0.57291666666666663</v>
      </c>
      <c r="M254" s="318">
        <v>3.125E-2</v>
      </c>
      <c r="N254" s="318">
        <v>0.94791666666666663</v>
      </c>
      <c r="O254" s="318">
        <v>0.48958333333333331</v>
      </c>
      <c r="P254" s="318">
        <v>0.28125</v>
      </c>
      <c r="Q254" s="321" t="s">
        <v>439</v>
      </c>
      <c r="R254" s="321"/>
      <c r="S254" s="321"/>
      <c r="T254" s="363">
        <f>VLOOKUP(Table2[[#This Row],[Course Title]],'TSD-Data'!$A$1:$E$80,4,FALSE)</f>
        <v>1000</v>
      </c>
      <c r="U254" s="363">
        <f>VLOOKUP(Table2[[#This Row],[Course Title]],'TSD-Data'!$A$1:$F$80,6,FALSE)</f>
        <v>2.5</v>
      </c>
      <c r="V254" s="323">
        <f>VLOOKUP(Table2[[#This Row],[Course Title]],'TSD-Data'!$A$1:$F$80,5,FALSE)</f>
        <v>0.3</v>
      </c>
      <c r="W254" s="323"/>
      <c r="X254" s="316">
        <f>Table2[[#This Row],[Quotas]]-Table2[[#This Row],[Open Quotas]]</f>
        <v>1</v>
      </c>
      <c r="Y254" s="316">
        <v>0</v>
      </c>
      <c r="Z254" s="323"/>
      <c r="AA254" s="323"/>
      <c r="AB254" s="363"/>
      <c r="AC254" s="363"/>
      <c r="AD254" s="316"/>
      <c r="AE254" s="316"/>
      <c r="AF254" s="323">
        <f ca="1">Table2[[#This Row],[End Date]]+2-TODAY()</f>
        <v>75</v>
      </c>
      <c r="AG254" s="363">
        <f>IF(ISBLANK(Table2[[#This Row],[Roster Received by]]),1,0)</f>
        <v>1</v>
      </c>
      <c r="AH254" s="363">
        <f ca="1">IF(Table2[[#This Row],[Start Date]]&gt;TODAY(),1,)</f>
        <v>1</v>
      </c>
      <c r="AI254" s="363">
        <f>IF(ISBLANK(Table2[[#This Row],[Primary Instructor]]),0,1)</f>
        <v>1</v>
      </c>
      <c r="AJ254" s="363">
        <f>IF(ISBLANK(Table2[[#This Row],[Instructor 2]]),0,1)</f>
        <v>0</v>
      </c>
      <c r="AK254" s="363">
        <f>Table2[[#This Row],[Course Length (Hours)]]/(SUM(Table2[[#This Row],[1]:[2]]))</f>
        <v>2.5</v>
      </c>
      <c r="AL254" s="638">
        <v>999</v>
      </c>
      <c r="AM254" s="363">
        <v>2</v>
      </c>
      <c r="AN254" s="363" t="str">
        <f>VLOOKUP(Table2[[#This Row],[Course Title]],'TSD-Data'!$A$1:$G$80,7,FALSE)</f>
        <v>N8</v>
      </c>
    </row>
    <row r="255" spans="2:40" s="428" customFormat="1" x14ac:dyDescent="0.25">
      <c r="B255" s="315"/>
      <c r="C255" s="364" t="s">
        <v>402</v>
      </c>
      <c r="D255" s="363" t="str">
        <f>VLOOKUP(Table2[[#This Row],[Course Title]],'TSD-Data'!$A$1:$E$80,2,FALSE)</f>
        <v>A-493-3008</v>
      </c>
      <c r="E255" s="363" t="str">
        <f>VLOOKUP(Table2[[#This Row],[Course Title]],'TSD-Data'!$A$1:$E$80,3,FALSE)</f>
        <v>31VA</v>
      </c>
      <c r="F255" s="364" t="s">
        <v>25</v>
      </c>
      <c r="G255" s="344">
        <v>46080</v>
      </c>
      <c r="H255" s="344">
        <v>46080</v>
      </c>
      <c r="I255" s="125" t="s">
        <v>163</v>
      </c>
      <c r="J255" s="318"/>
      <c r="K255" s="318">
        <v>0.52083333333333337</v>
      </c>
      <c r="L255" s="345">
        <v>0.39583333333333331</v>
      </c>
      <c r="M255" s="318">
        <v>0.85416666666666663</v>
      </c>
      <c r="N255" s="318">
        <v>0.77083333333333337</v>
      </c>
      <c r="O255" s="318">
        <v>0.3125</v>
      </c>
      <c r="P255" s="318">
        <v>0.10416666666666667</v>
      </c>
      <c r="Q255" s="321" t="s">
        <v>439</v>
      </c>
      <c r="R255" s="321"/>
      <c r="S255" s="321"/>
      <c r="T255" s="363">
        <f>VLOOKUP(Table2[[#This Row],[Course Title]],'TSD-Data'!$A$1:$E$80,4,FALSE)</f>
        <v>1000</v>
      </c>
      <c r="U255" s="363">
        <f>VLOOKUP(Table2[[#This Row],[Course Title]],'TSD-Data'!$A$1:$F$80,6,FALSE)</f>
        <v>1</v>
      </c>
      <c r="V255" s="323">
        <f>VLOOKUP(Table2[[#This Row],[Course Title]],'TSD-Data'!$A$1:$F$80,5,FALSE)</f>
        <v>0.1</v>
      </c>
      <c r="W255" s="323"/>
      <c r="X255" s="316">
        <f>Table2[[#This Row],[Quotas]]-Table2[[#This Row],[Open Quotas]]</f>
        <v>1</v>
      </c>
      <c r="Y255" s="316">
        <v>0</v>
      </c>
      <c r="Z255" s="323"/>
      <c r="AA255" s="323"/>
      <c r="AB255" s="363"/>
      <c r="AC255" s="363"/>
      <c r="AD255" s="316"/>
      <c r="AE255" s="316"/>
      <c r="AF255" s="323">
        <f ca="1">Table2[[#This Row],[End Date]]+2-TODAY()</f>
        <v>75</v>
      </c>
      <c r="AG255" s="363">
        <f>IF(ISBLANK(Table2[[#This Row],[Roster Received by]]),1,0)</f>
        <v>1</v>
      </c>
      <c r="AH255" s="363">
        <f ca="1">IF(Table2[[#This Row],[Start Date]]&gt;TODAY(),1,)</f>
        <v>1</v>
      </c>
      <c r="AI255" s="363">
        <f>IF(ISBLANK(Table2[[#This Row],[Primary Instructor]]),0,1)</f>
        <v>1</v>
      </c>
      <c r="AJ255" s="363">
        <f>IF(ISBLANK(Table2[[#This Row],[Instructor 2]]),0,1)</f>
        <v>0</v>
      </c>
      <c r="AK255" s="363">
        <f>Table2[[#This Row],[Course Length (Hours)]]/(SUM(Table2[[#This Row],[1]:[2]]))</f>
        <v>1</v>
      </c>
      <c r="AL255" s="638">
        <v>999</v>
      </c>
      <c r="AM255" s="363">
        <v>2</v>
      </c>
      <c r="AN255" s="363" t="str">
        <f>VLOOKUP(Table2[[#This Row],[Course Title]],'TSD-Data'!$A$1:$G$80,7,FALSE)</f>
        <v>N8</v>
      </c>
    </row>
    <row r="256" spans="2:40" s="428" customFormat="1" x14ac:dyDescent="0.25">
      <c r="B256" s="315"/>
      <c r="C256" s="364" t="s">
        <v>405</v>
      </c>
      <c r="D256" s="363" t="str">
        <f>VLOOKUP(Table2[[#This Row],[Course Title]],'TSD-Data'!$A$1:$E$80,2,FALSE)</f>
        <v>A-493-3012</v>
      </c>
      <c r="E256" s="363" t="str">
        <f>VLOOKUP(Table2[[#This Row],[Course Title]],'TSD-Data'!$A$1:$E$80,3,FALSE)</f>
        <v>31YF</v>
      </c>
      <c r="F256" s="364" t="s">
        <v>25</v>
      </c>
      <c r="G256" s="344">
        <v>46080</v>
      </c>
      <c r="H256" s="344">
        <v>46080</v>
      </c>
      <c r="I256" s="125" t="s">
        <v>163</v>
      </c>
      <c r="J256" s="318"/>
      <c r="K256" s="318">
        <v>0.45833333333333331</v>
      </c>
      <c r="L256" s="345">
        <v>0.33333333333333331</v>
      </c>
      <c r="M256" s="318">
        <v>0.79166666666666663</v>
      </c>
      <c r="N256" s="318">
        <v>0.70833333333333337</v>
      </c>
      <c r="O256" s="318">
        <v>0.25</v>
      </c>
      <c r="P256" s="318">
        <v>4.1666666666666664E-2</v>
      </c>
      <c r="Q256" s="321" t="s">
        <v>439</v>
      </c>
      <c r="R256" s="321"/>
      <c r="S256" s="321"/>
      <c r="T256" s="363">
        <f>VLOOKUP(Table2[[#This Row],[Course Title]],'TSD-Data'!$A$1:$E$80,4,FALSE)</f>
        <v>1000</v>
      </c>
      <c r="U256" s="363">
        <f>VLOOKUP(Table2[[#This Row],[Course Title]],'TSD-Data'!$A$1:$F$80,6,FALSE)</f>
        <v>1</v>
      </c>
      <c r="V256" s="323">
        <f>VLOOKUP(Table2[[#This Row],[Course Title]],'TSD-Data'!$A$1:$F$80,5,FALSE)</f>
        <v>0.1</v>
      </c>
      <c r="W256" s="323"/>
      <c r="X256" s="316">
        <f>Table2[[#This Row],[Quotas]]-Table2[[#This Row],[Open Quotas]]</f>
        <v>1</v>
      </c>
      <c r="Y256" s="316">
        <v>0</v>
      </c>
      <c r="Z256" s="323"/>
      <c r="AA256" s="323"/>
      <c r="AB256" s="363"/>
      <c r="AC256" s="363"/>
      <c r="AD256" s="316"/>
      <c r="AE256" s="316"/>
      <c r="AF256" s="323">
        <f ca="1">Table2[[#This Row],[End Date]]+2-TODAY()</f>
        <v>75</v>
      </c>
      <c r="AG256" s="363">
        <f>IF(ISBLANK(Table2[[#This Row],[Roster Received by]]),1,0)</f>
        <v>1</v>
      </c>
      <c r="AH256" s="363">
        <f ca="1">IF(Table2[[#This Row],[Start Date]]&gt;TODAY(),1,)</f>
        <v>1</v>
      </c>
      <c r="AI256" s="363">
        <f>IF(ISBLANK(Table2[[#This Row],[Primary Instructor]]),0,1)</f>
        <v>1</v>
      </c>
      <c r="AJ256" s="363">
        <f>IF(ISBLANK(Table2[[#This Row],[Instructor 2]]),0,1)</f>
        <v>0</v>
      </c>
      <c r="AK256" s="363">
        <f>Table2[[#This Row],[Course Length (Hours)]]/(SUM(Table2[[#This Row],[1]:[2]]))</f>
        <v>1</v>
      </c>
      <c r="AL256" s="638">
        <v>999</v>
      </c>
      <c r="AM256" s="363">
        <v>2</v>
      </c>
      <c r="AN256" s="363" t="str">
        <f>VLOOKUP(Table2[[#This Row],[Course Title]],'TSD-Data'!$A$1:$G$80,7,FALSE)</f>
        <v>N8</v>
      </c>
    </row>
    <row r="257" spans="2:40" s="428" customFormat="1" x14ac:dyDescent="0.25">
      <c r="B257" s="315"/>
      <c r="C257" s="364" t="s">
        <v>406</v>
      </c>
      <c r="D257" s="363" t="str">
        <f>VLOOKUP(Table2[[#This Row],[Course Title]],'TSD-Data'!$A$1:$E$80,2,FALSE)</f>
        <v>A-493-3009</v>
      </c>
      <c r="E257" s="363" t="str">
        <f>VLOOKUP(Table2[[#This Row],[Course Title]],'TSD-Data'!$A$1:$E$80,3,FALSE)</f>
        <v>31VB</v>
      </c>
      <c r="F257" s="364" t="s">
        <v>25</v>
      </c>
      <c r="G257" s="344">
        <v>46080</v>
      </c>
      <c r="H257" s="344">
        <v>46080</v>
      </c>
      <c r="I257" s="125" t="s">
        <v>163</v>
      </c>
      <c r="J257" s="318"/>
      <c r="K257" s="318">
        <v>0.57291666666666663</v>
      </c>
      <c r="L257" s="345">
        <v>0.44791666666666669</v>
      </c>
      <c r="M257" s="318">
        <v>0.90625</v>
      </c>
      <c r="N257" s="318">
        <v>0.82291666666666663</v>
      </c>
      <c r="O257" s="318">
        <v>0.36458333333333331</v>
      </c>
      <c r="P257" s="318">
        <v>0.15625</v>
      </c>
      <c r="Q257" s="321" t="s">
        <v>439</v>
      </c>
      <c r="R257" s="321"/>
      <c r="S257" s="321"/>
      <c r="T257" s="363">
        <f>VLOOKUP(Table2[[#This Row],[Course Title]],'TSD-Data'!$A$1:$E$80,4,FALSE)</f>
        <v>1000</v>
      </c>
      <c r="U257" s="363">
        <f>VLOOKUP(Table2[[#This Row],[Course Title]],'TSD-Data'!$A$1:$F$80,6,FALSE)</f>
        <v>1</v>
      </c>
      <c r="V257" s="323">
        <f>VLOOKUP(Table2[[#This Row],[Course Title]],'TSD-Data'!$A$1:$F$80,5,FALSE)</f>
        <v>0.1</v>
      </c>
      <c r="W257" s="323"/>
      <c r="X257" s="316">
        <f>Table2[[#This Row],[Quotas]]-Table2[[#This Row],[Open Quotas]]</f>
        <v>1</v>
      </c>
      <c r="Y257" s="316">
        <v>0</v>
      </c>
      <c r="Z257" s="323"/>
      <c r="AA257" s="323"/>
      <c r="AB257" s="363"/>
      <c r="AC257" s="363"/>
      <c r="AD257" s="316"/>
      <c r="AE257" s="316"/>
      <c r="AF257" s="323">
        <f ca="1">Table2[[#This Row],[End Date]]+2-TODAY()</f>
        <v>75</v>
      </c>
      <c r="AG257" s="363">
        <f>IF(ISBLANK(Table2[[#This Row],[Roster Received by]]),1,0)</f>
        <v>1</v>
      </c>
      <c r="AH257" s="363">
        <f ca="1">IF(Table2[[#This Row],[Start Date]]&gt;TODAY(),1,)</f>
        <v>1</v>
      </c>
      <c r="AI257" s="363">
        <f>IF(ISBLANK(Table2[[#This Row],[Primary Instructor]]),0,1)</f>
        <v>1</v>
      </c>
      <c r="AJ257" s="363">
        <f>IF(ISBLANK(Table2[[#This Row],[Instructor 2]]),0,1)</f>
        <v>0</v>
      </c>
      <c r="AK257" s="363">
        <f>Table2[[#This Row],[Course Length (Hours)]]/(SUM(Table2[[#This Row],[1]:[2]]))</f>
        <v>1</v>
      </c>
      <c r="AL257" s="638">
        <v>999</v>
      </c>
      <c r="AM257" s="363">
        <v>2</v>
      </c>
      <c r="AN257" s="363" t="str">
        <f>VLOOKUP(Table2[[#This Row],[Course Title]],'TSD-Data'!$A$1:$G$80,7,FALSE)</f>
        <v>N8</v>
      </c>
    </row>
    <row r="258" spans="2:40" s="428" customFormat="1" x14ac:dyDescent="0.25">
      <c r="B258" s="315"/>
      <c r="C258" s="439" t="s">
        <v>38</v>
      </c>
      <c r="D258" s="421" t="str">
        <f>VLOOKUP(Table2[[#This Row],[Course Title]],'TSD-Data'!$A$1:$E$80,2,FALSE)</f>
        <v>A-493-0069</v>
      </c>
      <c r="E258" s="421" t="str">
        <f>VLOOKUP(Table2[[#This Row],[Course Title]],'TSD-Data'!$A$1:$E$80,3,FALSE)</f>
        <v>450U</v>
      </c>
      <c r="F258" s="364" t="s">
        <v>263</v>
      </c>
      <c r="G258" s="344">
        <v>46083</v>
      </c>
      <c r="H258" s="344">
        <v>46087</v>
      </c>
      <c r="I258" s="317" t="s">
        <v>163</v>
      </c>
      <c r="J258" s="318">
        <v>0.33333333333333331</v>
      </c>
      <c r="K258" s="345"/>
      <c r="L258" s="344"/>
      <c r="M258" s="344"/>
      <c r="N258" s="344"/>
      <c r="O258" s="344"/>
      <c r="P258" s="344"/>
      <c r="Q258" s="321" t="s">
        <v>175</v>
      </c>
      <c r="R258" s="321" t="s">
        <v>445</v>
      </c>
      <c r="S258" s="321"/>
      <c r="T258" s="316">
        <f>VLOOKUP(Table2[[#This Row],[Course Title]],'TSD-Data'!$A$1:$E$80,4,FALSE)</f>
        <v>25</v>
      </c>
      <c r="U258" s="316">
        <f>VLOOKUP(Table2[[#This Row],[Course Title]],'TSD-Data'!$A$1:$F$80,6,FALSE)</f>
        <v>40</v>
      </c>
      <c r="V258" s="323">
        <f>VLOOKUP(Table2[[#This Row],[Course Title]],'TSD-Data'!$A$1:$F$80,5,FALSE)</f>
        <v>5</v>
      </c>
      <c r="W258" s="323">
        <v>27</v>
      </c>
      <c r="X258" s="316">
        <f>Table2[[#This Row],[Quotas]]-Table2[[#This Row],[Open Quotas]]</f>
        <v>1</v>
      </c>
      <c r="Y258" s="316">
        <v>0</v>
      </c>
      <c r="Z258" s="323"/>
      <c r="AA258" s="323"/>
      <c r="AB258" s="316"/>
      <c r="AC258" s="316"/>
      <c r="AD258" s="316"/>
      <c r="AE258" s="316"/>
      <c r="AF258" s="323">
        <f ca="1">Table2[[#This Row],[End Date]]+2-TODAY()</f>
        <v>82</v>
      </c>
      <c r="AG258" s="316">
        <f>IF(ISBLANK(Table2[[#This Row],[Roster Received by]]),1,0)</f>
        <v>1</v>
      </c>
      <c r="AH258" s="316">
        <f ca="1">IF(Table2[[#This Row],[Start Date]]&gt;TODAY(),1,)</f>
        <v>1</v>
      </c>
      <c r="AI258" s="316">
        <f>IF(ISBLANK(Table2[[#This Row],[Primary Instructor]]),0,1)</f>
        <v>1</v>
      </c>
      <c r="AJ258" s="316">
        <f>IF(ISBLANK(Table2[[#This Row],[Instructor 2]]),0,1)</f>
        <v>1</v>
      </c>
      <c r="AK258" s="316">
        <f>Table2[[#This Row],[Course Length (Hours)]]/(SUM(Table2[[#This Row],[1]:[2]]))</f>
        <v>20</v>
      </c>
      <c r="AL258" s="124">
        <v>24</v>
      </c>
      <c r="AM258" s="433">
        <v>2</v>
      </c>
      <c r="AN258" s="363" t="str">
        <f>VLOOKUP(Table2[[#This Row],[Course Title]],'TSD-Data'!$A$1:$G$80,7,FALSE)</f>
        <v>N3</v>
      </c>
    </row>
    <row r="259" spans="2:40" s="428" customFormat="1" ht="15" customHeight="1" x14ac:dyDescent="0.25">
      <c r="B259" s="315"/>
      <c r="C259" s="94" t="s">
        <v>77</v>
      </c>
      <c r="D259" s="70" t="str">
        <f>VLOOKUP(Table2[[#This Row],[Course Title]],'TSD-Data'!$A$1:$E$80,2,FALSE)</f>
        <v>A-493-0077</v>
      </c>
      <c r="E259" s="70" t="str">
        <f>VLOOKUP(Table2[[#This Row],[Course Title]],'TSD-Data'!$A$1:$E$80,3,FALSE)</f>
        <v>0381</v>
      </c>
      <c r="F259" s="94" t="s">
        <v>343</v>
      </c>
      <c r="G259" s="72">
        <v>46083</v>
      </c>
      <c r="H259" s="72">
        <v>46085</v>
      </c>
      <c r="I259" s="317" t="s">
        <v>163</v>
      </c>
      <c r="J259" s="318">
        <v>0.33333333333333331</v>
      </c>
      <c r="K259" s="318"/>
      <c r="L259" s="344"/>
      <c r="M259" s="317"/>
      <c r="N259" s="317"/>
      <c r="O259" s="317"/>
      <c r="P259" s="317"/>
      <c r="Q259" s="321" t="s">
        <v>168</v>
      </c>
      <c r="R259" s="321"/>
      <c r="S259" s="321"/>
      <c r="T259" s="316">
        <f>VLOOKUP(Table2[[#This Row],[Course Title]],'TSD-Data'!$A$1:$E$80,4,FALSE)</f>
        <v>25</v>
      </c>
      <c r="U259" s="316">
        <f>VLOOKUP(Table2[[#This Row],[Course Title]],'TSD-Data'!$A$1:$F$80,6,FALSE)</f>
        <v>24</v>
      </c>
      <c r="V259" s="323">
        <f>VLOOKUP(Table2[[#This Row],[Course Title]],'TSD-Data'!$A$1:$F$80,5,FALSE)</f>
        <v>3</v>
      </c>
      <c r="W259" s="323">
        <v>35</v>
      </c>
      <c r="X259" s="316">
        <f>Table2[[#This Row],[Quotas]]-Table2[[#This Row],[Open Quotas]]</f>
        <v>0</v>
      </c>
      <c r="Y259" s="316"/>
      <c r="Z259" s="323"/>
      <c r="AA259" s="323"/>
      <c r="AB259" s="363"/>
      <c r="AC259" s="363"/>
      <c r="AD259" s="316"/>
      <c r="AE259" s="316"/>
      <c r="AF259" s="323">
        <f ca="1">Table2[[#This Row],[End Date]]+2-TODAY()</f>
        <v>80</v>
      </c>
      <c r="AG259" s="316">
        <f>IF(ISBLANK(Table2[[#This Row],[Roster Received by]]),1,0)</f>
        <v>1</v>
      </c>
      <c r="AH259" s="316">
        <f ca="1">IF(Table2[[#This Row],[Start Date]]&gt;TODAY(),1,)</f>
        <v>1</v>
      </c>
      <c r="AI259" s="316">
        <f>IF(ISBLANK(Table2[[#This Row],[Primary Instructor]]),0,1)</f>
        <v>1</v>
      </c>
      <c r="AJ259" s="316">
        <f>IF(ISBLANK(Table2[[#This Row],[Instructor 2]]),0,1)</f>
        <v>0</v>
      </c>
      <c r="AK259" s="316">
        <f>Table2[[#This Row],[Course Length (Hours)]]/(SUM(Table2[[#This Row],[1]:[2]]))</f>
        <v>24</v>
      </c>
      <c r="AL259" s="638">
        <v>25</v>
      </c>
      <c r="AM259" s="433">
        <v>2</v>
      </c>
      <c r="AN259" s="363" t="str">
        <f>VLOOKUP(Table2[[#This Row],[Course Title]],'TSD-Data'!$A$1:$G$80,7,FALSE)</f>
        <v>N4</v>
      </c>
    </row>
    <row r="260" spans="2:40" s="428" customFormat="1" x14ac:dyDescent="0.25">
      <c r="B260" s="364"/>
      <c r="C260" s="364" t="s">
        <v>116</v>
      </c>
      <c r="D260" s="421" t="str">
        <f>VLOOKUP(Table2[[#This Row],[Course Title]],'TSD-Data'!$A$1:$E$80,2,FALSE)</f>
        <v>A-493-0072</v>
      </c>
      <c r="E260" s="421" t="str">
        <f>VLOOKUP(Table2[[#This Row],[Course Title]],'TSD-Data'!$A$1:$E$80,3,FALSE)</f>
        <v>713U</v>
      </c>
      <c r="F260" s="364" t="s">
        <v>171</v>
      </c>
      <c r="G260" s="344">
        <v>46083</v>
      </c>
      <c r="H260" s="344">
        <v>46087</v>
      </c>
      <c r="I260" s="317" t="s">
        <v>163</v>
      </c>
      <c r="J260" s="318">
        <v>0.33333333333333331</v>
      </c>
      <c r="K260" s="345"/>
      <c r="L260" s="344"/>
      <c r="M260" s="344"/>
      <c r="N260" s="344"/>
      <c r="O260" s="344"/>
      <c r="P260" s="344"/>
      <c r="Q260" s="321" t="s">
        <v>174</v>
      </c>
      <c r="R260" s="321"/>
      <c r="S260" s="321" t="s">
        <v>164</v>
      </c>
      <c r="T260" s="316">
        <f>VLOOKUP(Table2[[#This Row],[Course Title]],'TSD-Data'!$A$1:$E$80,4,FALSE)</f>
        <v>30</v>
      </c>
      <c r="U260" s="316">
        <f>VLOOKUP(Table2[[#This Row],[Course Title]],'TSD-Data'!$A$1:$F$80,6,FALSE)</f>
        <v>40</v>
      </c>
      <c r="V260" s="323">
        <f>VLOOKUP(Table2[[#This Row],[Course Title]],'TSD-Data'!$A$1:$F$80,5,FALSE)</f>
        <v>5</v>
      </c>
      <c r="W260" s="323">
        <v>36</v>
      </c>
      <c r="X260" s="316">
        <f>Table2[[#This Row],[Quotas]]-Table2[[#This Row],[Open Quotas]]</f>
        <v>4</v>
      </c>
      <c r="Y260" s="316">
        <v>0</v>
      </c>
      <c r="Z260" s="323"/>
      <c r="AA260" s="323"/>
      <c r="AB260" s="316"/>
      <c r="AC260" s="316"/>
      <c r="AD260" s="316"/>
      <c r="AE260" s="316"/>
      <c r="AF260" s="323">
        <f ca="1">Table2[[#This Row],[End Date]]+2-TODAY()</f>
        <v>82</v>
      </c>
      <c r="AG260" s="316">
        <f>IF(ISBLANK(Table2[[#This Row],[Roster Received by]]),1,0)</f>
        <v>1</v>
      </c>
      <c r="AH260" s="316">
        <f ca="1">IF(Table2[[#This Row],[Start Date]]&gt;TODAY(),1,)</f>
        <v>1</v>
      </c>
      <c r="AI260" s="316">
        <f>IF(ISBLANK(Table2[[#This Row],[Primary Instructor]]),0,1)</f>
        <v>1</v>
      </c>
      <c r="AJ260" s="316">
        <f>IF(ISBLANK(Table2[[#This Row],[Instructor 2]]),0,1)</f>
        <v>0</v>
      </c>
      <c r="AK260" s="316">
        <f>Table2[[#This Row],[Course Length (Hours)]]/(SUM(Table2[[#This Row],[1]:[2]]))</f>
        <v>40</v>
      </c>
      <c r="AL260" s="124">
        <v>26</v>
      </c>
      <c r="AM260" s="433">
        <v>2</v>
      </c>
      <c r="AN260" s="363" t="str">
        <f>VLOOKUP(Table2[[#This Row],[Course Title]],'TSD-Data'!$A$1:$G$80,7,FALSE)</f>
        <v>N3</v>
      </c>
    </row>
    <row r="261" spans="2:40" s="428" customFormat="1" ht="15" customHeight="1" x14ac:dyDescent="0.25">
      <c r="B261" s="315"/>
      <c r="C261" s="364" t="s">
        <v>74</v>
      </c>
      <c r="D261" s="316" t="str">
        <f>VLOOKUP(Table2[[#This Row],[Course Title]],'TSD-Data'!$A$1:$E$80,2,FALSE)</f>
        <v>A-322-2604</v>
      </c>
      <c r="E261" s="316" t="str">
        <f>VLOOKUP(Table2[[#This Row],[Course Title]],'TSD-Data'!$A$1:$E$80,3,FALSE)</f>
        <v>10ZZ</v>
      </c>
      <c r="F261" s="315" t="s">
        <v>25</v>
      </c>
      <c r="G261" s="344">
        <v>46083</v>
      </c>
      <c r="H261" s="344">
        <v>46085</v>
      </c>
      <c r="I261" s="317" t="s">
        <v>163</v>
      </c>
      <c r="J261" s="318"/>
      <c r="K261" s="332">
        <v>0.5</v>
      </c>
      <c r="L261" s="429">
        <v>0.375</v>
      </c>
      <c r="M261" s="431">
        <v>0.79166666666666663</v>
      </c>
      <c r="N261" s="431">
        <v>0.75</v>
      </c>
      <c r="O261" s="431">
        <v>0.25</v>
      </c>
      <c r="P261" s="431">
        <v>4.1666666666666664E-2</v>
      </c>
      <c r="Q261" s="321" t="s">
        <v>444</v>
      </c>
      <c r="R261" s="321"/>
      <c r="S261" s="321"/>
      <c r="T261" s="316">
        <f>VLOOKUP(Table2[[#This Row],[Course Title]],'TSD-Data'!$A$1:$E$80,4,FALSE)</f>
        <v>45</v>
      </c>
      <c r="U261" s="316">
        <f>VLOOKUP(Table2[[#This Row],[Course Title]],'TSD-Data'!$A$1:$F$80,6,FALSE)</f>
        <v>24</v>
      </c>
      <c r="V261" s="323">
        <f>VLOOKUP(Table2[[#This Row],[Course Title]],'TSD-Data'!$A$1:$F$80,5,FALSE)</f>
        <v>3</v>
      </c>
      <c r="W261" s="323">
        <v>663</v>
      </c>
      <c r="X261" s="316">
        <f>Table2[[#This Row],[Quotas]]-Table2[[#This Row],[Open Quotas]]</f>
        <v>3</v>
      </c>
      <c r="Y261" s="316">
        <v>0</v>
      </c>
      <c r="Z261" s="323"/>
      <c r="AA261" s="323"/>
      <c r="AB261" s="316"/>
      <c r="AC261" s="316"/>
      <c r="AD261" s="316"/>
      <c r="AE261" s="316"/>
      <c r="AF261" s="323">
        <f ca="1">Table2[[#This Row],[End Date]]+2-TODAY()</f>
        <v>80</v>
      </c>
      <c r="AG261" s="316">
        <f>IF(ISBLANK(Table2[[#This Row],[Roster Received by]]),1,0)</f>
        <v>1</v>
      </c>
      <c r="AH261" s="316">
        <f ca="1">IF(Table2[[#This Row],[Start Date]]&gt;TODAY(),1,)</f>
        <v>1</v>
      </c>
      <c r="AI261" s="316">
        <f>IF(ISBLANK(Table2[[#This Row],[Primary Instructor]]),0,1)</f>
        <v>1</v>
      </c>
      <c r="AJ261" s="316">
        <f>IF(ISBLANK(Table2[[#This Row],[Instructor 2]]),0,1)</f>
        <v>0</v>
      </c>
      <c r="AK261" s="316">
        <f>Table2[[#This Row],[Course Length (Hours)]]/(SUM(Table2[[#This Row],[1]:[2]]))</f>
        <v>24</v>
      </c>
      <c r="AL261" s="124">
        <v>42</v>
      </c>
      <c r="AM261" s="433">
        <v>2</v>
      </c>
      <c r="AN261" s="363" t="str">
        <f>VLOOKUP(Table2[[#This Row],[Course Title]],'TSD-Data'!$A$1:$G$80,7,FALSE)</f>
        <v>N8</v>
      </c>
    </row>
    <row r="262" spans="2:40" s="428" customFormat="1" x14ac:dyDescent="0.25">
      <c r="B262" s="315"/>
      <c r="C262" s="364" t="s">
        <v>65</v>
      </c>
      <c r="D262" s="316" t="str">
        <f>VLOOKUP(Table2[[#This Row],[Course Title]],'TSD-Data'!$A$1:$E$80,2,FALSE)</f>
        <v>A-493-0099</v>
      </c>
      <c r="E262" s="316" t="str">
        <f>VLOOKUP(Table2[[#This Row],[Course Title]],'TSD-Data'!$A$1:$E$80,3,FALSE)</f>
        <v>12JW</v>
      </c>
      <c r="F262" s="315" t="s">
        <v>25</v>
      </c>
      <c r="G262" s="344">
        <v>46084</v>
      </c>
      <c r="H262" s="344">
        <v>46086</v>
      </c>
      <c r="I262" s="317" t="s">
        <v>163</v>
      </c>
      <c r="J262" s="318"/>
      <c r="K262" s="431">
        <v>0.5</v>
      </c>
      <c r="L262" s="429">
        <v>0.375</v>
      </c>
      <c r="M262" s="429">
        <v>0.83333333333333337</v>
      </c>
      <c r="N262" s="429">
        <v>0.75</v>
      </c>
      <c r="O262" s="429">
        <v>0.29166666666666669</v>
      </c>
      <c r="P262" s="429">
        <v>8.3333333333333329E-2</v>
      </c>
      <c r="Q262" s="321" t="s">
        <v>273</v>
      </c>
      <c r="R262" s="321"/>
      <c r="S262" s="321"/>
      <c r="T262" s="316">
        <f>VLOOKUP(Table2[[#This Row],[Course Title]],'TSD-Data'!$A$1:$E$80,4,FALSE)</f>
        <v>45</v>
      </c>
      <c r="U262" s="316">
        <f>VLOOKUP(Table2[[#This Row],[Course Title]],'TSD-Data'!$A$1:$F$80,6,FALSE)</f>
        <v>24</v>
      </c>
      <c r="V262" s="323">
        <f>VLOOKUP(Table2[[#This Row],[Course Title]],'TSD-Data'!$A$1:$F$80,5,FALSE)</f>
        <v>3</v>
      </c>
      <c r="W262" s="323">
        <v>934</v>
      </c>
      <c r="X262" s="316">
        <f>Table2[[#This Row],[Quotas]]-Table2[[#This Row],[Open Quotas]]</f>
        <v>7</v>
      </c>
      <c r="Y262" s="316">
        <v>0</v>
      </c>
      <c r="Z262" s="323"/>
      <c r="AA262" s="323"/>
      <c r="AB262" s="316"/>
      <c r="AC262" s="316"/>
      <c r="AD262" s="316"/>
      <c r="AE262" s="316"/>
      <c r="AF262" s="323">
        <f ca="1">Table2[[#This Row],[End Date]]+2-TODAY()</f>
        <v>81</v>
      </c>
      <c r="AG262" s="316">
        <f>IF(ISBLANK(Table2[[#This Row],[Roster Received by]]),1,0)</f>
        <v>1</v>
      </c>
      <c r="AH262" s="316">
        <f ca="1">IF(Table2[[#This Row],[Start Date]]&gt;TODAY(),1,)</f>
        <v>1</v>
      </c>
      <c r="AI262" s="316">
        <f>IF(ISBLANK(Table2[[#This Row],[Primary Instructor]]),0,1)</f>
        <v>1</v>
      </c>
      <c r="AJ262" s="316">
        <f>IF(ISBLANK(Table2[[#This Row],[Instructor 2]]),0,1)</f>
        <v>0</v>
      </c>
      <c r="AK262" s="316">
        <f>Table2[[#This Row],[Course Length (Hours)]]/(SUM(Table2[[#This Row],[1]:[2]]))</f>
        <v>24</v>
      </c>
      <c r="AL262" s="124">
        <v>38</v>
      </c>
      <c r="AM262" s="433">
        <v>2</v>
      </c>
      <c r="AN262" s="363" t="str">
        <f>VLOOKUP(Table2[[#This Row],[Course Title]],'TSD-Data'!$A$1:$G$80,7,FALSE)</f>
        <v>N5</v>
      </c>
    </row>
    <row r="263" spans="2:40" s="428" customFormat="1" ht="15" customHeight="1" x14ac:dyDescent="0.25">
      <c r="B263" s="315"/>
      <c r="C263" s="94" t="s">
        <v>80</v>
      </c>
      <c r="D263" s="70" t="str">
        <f>VLOOKUP(Table2[[#This Row],[Course Title]],'TSD-Data'!$A$1:$E$80,2,FALSE)</f>
        <v>A-493-0083</v>
      </c>
      <c r="E263" s="70" t="str">
        <f>VLOOKUP(Table2[[#This Row],[Course Title]],'TSD-Data'!$A$1:$E$80,3,FALSE)</f>
        <v>339E</v>
      </c>
      <c r="F263" s="94" t="s">
        <v>343</v>
      </c>
      <c r="G263" s="72">
        <v>46086</v>
      </c>
      <c r="H263" s="72">
        <v>46086</v>
      </c>
      <c r="I263" s="317" t="s">
        <v>163</v>
      </c>
      <c r="J263" s="318">
        <v>0.33333333333333331</v>
      </c>
      <c r="K263" s="318"/>
      <c r="L263" s="344"/>
      <c r="M263" s="344"/>
      <c r="N263" s="344"/>
      <c r="O263" s="344"/>
      <c r="P263" s="344"/>
      <c r="Q263" s="321" t="s">
        <v>168</v>
      </c>
      <c r="R263" s="321"/>
      <c r="S263" s="321"/>
      <c r="T263" s="316">
        <f>VLOOKUP(Table2[[#This Row],[Course Title]],'TSD-Data'!$A$1:$E$80,4,FALSE)</f>
        <v>30</v>
      </c>
      <c r="U263" s="316">
        <f>VLOOKUP(Table2[[#This Row],[Course Title]],'TSD-Data'!$A$1:$F$80,6,FALSE)</f>
        <v>8</v>
      </c>
      <c r="V263" s="323">
        <f>VLOOKUP(Table2[[#This Row],[Course Title]],'TSD-Data'!$A$1:$F$80,5,FALSE)</f>
        <v>1</v>
      </c>
      <c r="W263" s="323">
        <v>60</v>
      </c>
      <c r="X263" s="316">
        <f>Table2[[#This Row],[Quotas]]-Table2[[#This Row],[Open Quotas]]</f>
        <v>0</v>
      </c>
      <c r="Y263" s="316"/>
      <c r="Z263" s="323"/>
      <c r="AA263" s="323"/>
      <c r="AB263" s="363"/>
      <c r="AC263" s="363"/>
      <c r="AD263" s="316"/>
      <c r="AE263" s="316"/>
      <c r="AF263" s="323">
        <f ca="1">Table2[[#This Row],[End Date]]+2-TODAY()</f>
        <v>81</v>
      </c>
      <c r="AG263" s="316">
        <f>IF(ISBLANK(Table2[[#This Row],[Roster Received by]]),1,0)</f>
        <v>1</v>
      </c>
      <c r="AH263" s="316">
        <f ca="1">IF(Table2[[#This Row],[Start Date]]&gt;TODAY(),1,)</f>
        <v>1</v>
      </c>
      <c r="AI263" s="316">
        <f>IF(ISBLANK(Table2[[#This Row],[Primary Instructor]]),0,1)</f>
        <v>1</v>
      </c>
      <c r="AJ263" s="316">
        <f>IF(ISBLANK(Table2[[#This Row],[Instructor 2]]),0,1)</f>
        <v>0</v>
      </c>
      <c r="AK263" s="316">
        <f>Table2[[#This Row],[Course Length (Hours)]]/(SUM(Table2[[#This Row],[1]:[2]]))</f>
        <v>8</v>
      </c>
      <c r="AL263" s="638">
        <v>30</v>
      </c>
      <c r="AM263" s="433">
        <v>2</v>
      </c>
      <c r="AN263" s="363" t="str">
        <f>VLOOKUP(Table2[[#This Row],[Course Title]],'TSD-Data'!$A$1:$G$80,7,FALSE)</f>
        <v>N4</v>
      </c>
    </row>
    <row r="264" spans="2:40" s="428" customFormat="1" x14ac:dyDescent="0.25">
      <c r="B264" s="315"/>
      <c r="C264" s="364" t="s">
        <v>48</v>
      </c>
      <c r="D264" s="316" t="str">
        <f>VLOOKUP(Table2[[#This Row],[Course Title]],'TSD-Data'!$A$1:$E$80,2,FALSE)</f>
        <v>A-493-0103</v>
      </c>
      <c r="E264" s="316" t="str">
        <f>VLOOKUP(Table2[[#This Row],[Course Title]],'TSD-Data'!$A$1:$E$80,3,FALSE)</f>
        <v>12JY</v>
      </c>
      <c r="F264" s="364" t="s">
        <v>255</v>
      </c>
      <c r="G264" s="344">
        <v>46090</v>
      </c>
      <c r="H264" s="344">
        <v>46094</v>
      </c>
      <c r="I264" s="317" t="s">
        <v>163</v>
      </c>
      <c r="J264" s="318">
        <v>0.33333333333333331</v>
      </c>
      <c r="K264" s="318"/>
      <c r="L264" s="344"/>
      <c r="M264" s="317"/>
      <c r="N264" s="317"/>
      <c r="O264" s="317"/>
      <c r="P264" s="317"/>
      <c r="Q264" s="321" t="s">
        <v>275</v>
      </c>
      <c r="R264" s="321"/>
      <c r="S264" s="321"/>
      <c r="T264" s="316">
        <f>VLOOKUP(Table2[[#This Row],[Course Title]],'TSD-Data'!$A$1:$E$80,4,FALSE)</f>
        <v>25</v>
      </c>
      <c r="U264" s="316">
        <f>VLOOKUP(Table2[[#This Row],[Course Title]],'TSD-Data'!$A$1:$F$80,6,FALSE)</f>
        <v>40</v>
      </c>
      <c r="V264" s="323">
        <f>VLOOKUP(Table2[[#This Row],[Course Title]],'TSD-Data'!$A$1:$F$80,5,FALSE)</f>
        <v>5</v>
      </c>
      <c r="W264" s="323">
        <v>52</v>
      </c>
      <c r="X264" s="316">
        <f>Table2[[#This Row],[Quotas]]-Table2[[#This Row],[Open Quotas]]</f>
        <v>6</v>
      </c>
      <c r="Y264" s="316">
        <v>0</v>
      </c>
      <c r="Z264" s="323"/>
      <c r="AA264" s="323"/>
      <c r="AB264" s="316"/>
      <c r="AC264" s="316"/>
      <c r="AD264" s="316"/>
      <c r="AE264" s="316"/>
      <c r="AF264" s="323">
        <f ca="1">Table2[[#This Row],[End Date]]+2-TODAY()</f>
        <v>89</v>
      </c>
      <c r="AG264" s="316">
        <f>IF(ISBLANK(Table2[[#This Row],[Roster Received by]]),1,0)</f>
        <v>1</v>
      </c>
      <c r="AH264" s="316">
        <f ca="1">IF(Table2[[#This Row],[Start Date]]&gt;TODAY(),1,)</f>
        <v>1</v>
      </c>
      <c r="AI264" s="316">
        <f>IF(ISBLANK(Table2[[#This Row],[Primary Instructor]]),0,1)</f>
        <v>1</v>
      </c>
      <c r="AJ264" s="316">
        <f>IF(ISBLANK(Table2[[#This Row],[Instructor 2]]),0,1)</f>
        <v>0</v>
      </c>
      <c r="AK264" s="316">
        <f>Table2[[#This Row],[Course Length (Hours)]]/(SUM(Table2[[#This Row],[1]:[2]]))</f>
        <v>40</v>
      </c>
      <c r="AL264" s="124">
        <v>19</v>
      </c>
      <c r="AM264" s="433">
        <v>2</v>
      </c>
      <c r="AN264" s="363" t="str">
        <f>VLOOKUP(Table2[[#This Row],[Course Title]],'TSD-Data'!$A$1:$G$80,7,FALSE)</f>
        <v>N5</v>
      </c>
    </row>
    <row r="265" spans="2:40" s="428" customFormat="1" x14ac:dyDescent="0.25">
      <c r="B265" s="315"/>
      <c r="C265" s="439" t="s">
        <v>28</v>
      </c>
      <c r="D265" s="316" t="str">
        <f>VLOOKUP(Table2[[#This Row],[Course Title]],'TSD-Data'!$A$1:$E$80,2,FALSE)</f>
        <v>A-493-0014</v>
      </c>
      <c r="E265" s="316">
        <f>VLOOKUP(Table2[[#This Row],[Course Title]],'TSD-Data'!$A$1:$E$80,3,FALSE)</f>
        <v>3878</v>
      </c>
      <c r="F265" s="364" t="s">
        <v>263</v>
      </c>
      <c r="G265" s="344">
        <v>46090</v>
      </c>
      <c r="H265" s="344">
        <v>46092</v>
      </c>
      <c r="I265" s="317" t="s">
        <v>163</v>
      </c>
      <c r="J265" s="318">
        <v>0.33333333333333331</v>
      </c>
      <c r="K265" s="346"/>
      <c r="L265" s="344"/>
      <c r="M265" s="344"/>
      <c r="N265" s="344"/>
      <c r="O265" s="344"/>
      <c r="P265" s="344"/>
      <c r="Q265" s="321" t="s">
        <v>175</v>
      </c>
      <c r="R265" s="321" t="s">
        <v>445</v>
      </c>
      <c r="S265" s="321"/>
      <c r="T265" s="316">
        <f>VLOOKUP(Table2[[#This Row],[Course Title]],'TSD-Data'!$A$1:$E$80,4,FALSE)</f>
        <v>25</v>
      </c>
      <c r="U265" s="316">
        <f>VLOOKUP(Table2[[#This Row],[Course Title]],'TSD-Data'!$A$1:$F$80,6,FALSE)</f>
        <v>24</v>
      </c>
      <c r="V265" s="323">
        <f>VLOOKUP(Table2[[#This Row],[Course Title]],'TSD-Data'!$A$1:$F$80,5,FALSE)</f>
        <v>3</v>
      </c>
      <c r="W265" s="323">
        <v>35</v>
      </c>
      <c r="X265" s="316">
        <f>Table2[[#This Row],[Quotas]]-Table2[[#This Row],[Open Quotas]]</f>
        <v>3</v>
      </c>
      <c r="Y265" s="316">
        <v>0</v>
      </c>
      <c r="Z265" s="323"/>
      <c r="AA265" s="323"/>
      <c r="AB265" s="316"/>
      <c r="AC265" s="316"/>
      <c r="AD265" s="316"/>
      <c r="AE265" s="316"/>
      <c r="AF265" s="323">
        <f ca="1">Table2[[#This Row],[End Date]]+2-TODAY()</f>
        <v>87</v>
      </c>
      <c r="AG265" s="316">
        <f>IF(ISBLANK(Table2[[#This Row],[Roster Received by]]),1,0)</f>
        <v>1</v>
      </c>
      <c r="AH265" s="316">
        <f ca="1">IF(Table2[[#This Row],[Start Date]]&gt;TODAY(),1,)</f>
        <v>1</v>
      </c>
      <c r="AI265" s="316">
        <f>IF(ISBLANK(Table2[[#This Row],[Primary Instructor]]),0,1)</f>
        <v>1</v>
      </c>
      <c r="AJ265" s="316">
        <f>IF(ISBLANK(Table2[[#This Row],[Instructor 2]]),0,1)</f>
        <v>1</v>
      </c>
      <c r="AK265" s="316">
        <f>Table2[[#This Row],[Course Length (Hours)]]/(SUM(Table2[[#This Row],[1]:[2]]))</f>
        <v>12</v>
      </c>
      <c r="AL265" s="124">
        <v>22</v>
      </c>
      <c r="AM265" s="433">
        <v>2</v>
      </c>
      <c r="AN265" s="363" t="str">
        <f>VLOOKUP(Table2[[#This Row],[Course Title]],'TSD-Data'!$A$1:$G$80,7,FALSE)</f>
        <v>N3</v>
      </c>
    </row>
    <row r="266" spans="2:40" s="428" customFormat="1" x14ac:dyDescent="0.25">
      <c r="B266" s="315"/>
      <c r="C266" s="364" t="s">
        <v>58</v>
      </c>
      <c r="D266" s="363" t="str">
        <f>VLOOKUP(Table2[[#This Row],[Course Title]],'TSD-Data'!$A$1:$E$80,2,FALSE)</f>
        <v>A-760-2166</v>
      </c>
      <c r="E266" s="363" t="str">
        <f>VLOOKUP(Table2[[#This Row],[Course Title]],'TSD-Data'!$A$1:$E$80,3,FALSE)</f>
        <v>438J</v>
      </c>
      <c r="F266" s="364" t="s">
        <v>171</v>
      </c>
      <c r="G266" s="344">
        <v>46090</v>
      </c>
      <c r="H266" s="344">
        <v>46091</v>
      </c>
      <c r="I266" s="317" t="s">
        <v>163</v>
      </c>
      <c r="J266" s="318">
        <v>0.33333333333333331</v>
      </c>
      <c r="K266" s="345"/>
      <c r="L266" s="344"/>
      <c r="M266" s="344"/>
      <c r="N266" s="344"/>
      <c r="O266" s="344"/>
      <c r="P266" s="344"/>
      <c r="Q266" s="321" t="s">
        <v>174</v>
      </c>
      <c r="R266" s="321"/>
      <c r="S266" s="321" t="s">
        <v>164</v>
      </c>
      <c r="T266" s="316">
        <f>VLOOKUP(Table2[[#This Row],[Course Title]],'TSD-Data'!$A$1:$E$80,4,FALSE)</f>
        <v>25</v>
      </c>
      <c r="U266" s="316">
        <f>VLOOKUP(Table2[[#This Row],[Course Title]],'TSD-Data'!$A$1:$F$80,6,FALSE)</f>
        <v>16</v>
      </c>
      <c r="V266" s="323">
        <f>VLOOKUP(Table2[[#This Row],[Course Title]],'TSD-Data'!$A$1:$F$80,5,FALSE)</f>
        <v>2</v>
      </c>
      <c r="W266" s="323"/>
      <c r="X266" s="316">
        <f>Table2[[#This Row],[Quotas]]-Table2[[#This Row],[Open Quotas]]</f>
        <v>8</v>
      </c>
      <c r="Y266" s="316">
        <v>0</v>
      </c>
      <c r="Z266" s="323"/>
      <c r="AA266" s="323"/>
      <c r="AB266" s="363"/>
      <c r="AC266" s="363"/>
      <c r="AD266" s="316"/>
      <c r="AE266" s="316"/>
      <c r="AF266" s="323">
        <f ca="1">Table2[[#This Row],[End Date]]+2-TODAY()</f>
        <v>86</v>
      </c>
      <c r="AG266" s="316">
        <f>IF(ISBLANK(Table2[[#This Row],[Roster Received by]]),1,0)</f>
        <v>1</v>
      </c>
      <c r="AH266" s="316">
        <f ca="1">IF(Table2[[#This Row],[Start Date]]&gt;TODAY(),1,)</f>
        <v>1</v>
      </c>
      <c r="AI266" s="316">
        <f>IF(ISBLANK(Table2[[#This Row],[Primary Instructor]]),0,1)</f>
        <v>1</v>
      </c>
      <c r="AJ266" s="316">
        <f>IF(ISBLANK(Table2[[#This Row],[Instructor 2]]),0,1)</f>
        <v>0</v>
      </c>
      <c r="AK266" s="316">
        <f>Table2[[#This Row],[Course Length (Hours)]]/(SUM(Table2[[#This Row],[1]:[2]]))</f>
        <v>16</v>
      </c>
      <c r="AL266" s="638">
        <v>17</v>
      </c>
      <c r="AM266" s="433">
        <v>2</v>
      </c>
      <c r="AN266" s="363" t="str">
        <f>VLOOKUP(Table2[[#This Row],[Course Title]],'TSD-Data'!$A$1:$G$80,7,FALSE)</f>
        <v>N3</v>
      </c>
    </row>
    <row r="267" spans="2:40" s="428" customFormat="1" x14ac:dyDescent="0.25">
      <c r="B267" s="437" t="s">
        <v>462</v>
      </c>
      <c r="C267" s="342" t="s">
        <v>61</v>
      </c>
      <c r="D267" s="316" t="str">
        <f>VLOOKUP(Table2[[#This Row],[Course Title]],'TSD-Data'!$A$1:$E$80,2,FALSE)</f>
        <v>A-493-0012</v>
      </c>
      <c r="E267" s="316">
        <f>VLOOKUP(Table2[[#This Row],[Course Title]],'TSD-Data'!$A$1:$E$80,3,FALSE)</f>
        <v>3682</v>
      </c>
      <c r="F267" s="342" t="s">
        <v>290</v>
      </c>
      <c r="G267" s="317">
        <v>46090</v>
      </c>
      <c r="H267" s="317">
        <v>46094</v>
      </c>
      <c r="I267" s="708" t="s">
        <v>163</v>
      </c>
      <c r="J267" s="318">
        <v>0.33333333333333331</v>
      </c>
      <c r="K267" s="318"/>
      <c r="L267" s="344"/>
      <c r="M267" s="317"/>
      <c r="N267" s="317"/>
      <c r="O267" s="317"/>
      <c r="P267" s="317"/>
      <c r="Q267" s="321" t="s">
        <v>438</v>
      </c>
      <c r="R267" s="321"/>
      <c r="S267" s="321"/>
      <c r="T267" s="316">
        <f>VLOOKUP(Table2[[#This Row],[Course Title]],'TSD-Data'!$A$1:$E$80,4,FALSE)</f>
        <v>40</v>
      </c>
      <c r="U267" s="316">
        <f>VLOOKUP(Table2[[#This Row],[Course Title]],'TSD-Data'!$A$1:$F$80,6,FALSE)</f>
        <v>40</v>
      </c>
      <c r="V267" s="323">
        <f>VLOOKUP(Table2[[#This Row],[Course Title]],'TSD-Data'!$A$1:$F$80,5,FALSE)</f>
        <v>5</v>
      </c>
      <c r="W267" s="316">
        <v>51</v>
      </c>
      <c r="X267" s="316">
        <f>Table2[[#This Row],[Quotas]]-Table2[[#This Row],[Open Quotas]]</f>
        <v>1</v>
      </c>
      <c r="Y267" s="316"/>
      <c r="Z267" s="323"/>
      <c r="AA267" s="323"/>
      <c r="AB267" s="316"/>
      <c r="AC267" s="316"/>
      <c r="AD267" s="316"/>
      <c r="AE267" s="316"/>
      <c r="AF267" s="323">
        <f ca="1">Table2[[#This Row],[End Date]]+2-TODAY()</f>
        <v>89</v>
      </c>
      <c r="AG267" s="316">
        <f>IF(ISBLANK(Table2[[#This Row],[Roster Received by]]),1,0)</f>
        <v>1</v>
      </c>
      <c r="AH267" s="316">
        <f ca="1">IF(Table2[[#This Row],[Start Date]]&gt;TODAY(),1,)</f>
        <v>1</v>
      </c>
      <c r="AI267" s="316">
        <f>IF(ISBLANK(Table2[[#This Row],[Primary Instructor]]),0,1)</f>
        <v>1</v>
      </c>
      <c r="AJ267" s="316">
        <f>IF(ISBLANK(Table2[[#This Row],[Instructor 2]]),0,1)</f>
        <v>0</v>
      </c>
      <c r="AK267" s="316">
        <f>Table2[[#This Row],[Course Length (Hours)]]/(SUM(Table2[[#This Row],[1]:[2]]))</f>
        <v>40</v>
      </c>
      <c r="AL267" s="124">
        <v>39</v>
      </c>
      <c r="AM267" s="433">
        <v>2</v>
      </c>
      <c r="AN267" s="363" t="str">
        <f>VLOOKUP(Table2[[#This Row],[Course Title]],'TSD-Data'!$A$1:$G$80,7,FALSE)</f>
        <v>N4</v>
      </c>
    </row>
    <row r="268" spans="2:40" s="428" customFormat="1" ht="15" customHeight="1" x14ac:dyDescent="0.25">
      <c r="B268" s="438" t="s">
        <v>463</v>
      </c>
      <c r="C268" s="3" t="s">
        <v>61</v>
      </c>
      <c r="D268" s="70" t="str">
        <f>VLOOKUP(Table2[[#This Row],[Course Title]],'TSD-Data'!$A$1:$E$80,2,FALSE)</f>
        <v>A-493-0012</v>
      </c>
      <c r="E268" s="70">
        <f>VLOOKUP(Table2[[#This Row],[Course Title]],'TSD-Data'!$A$1:$E$80,3,FALSE)</f>
        <v>3682</v>
      </c>
      <c r="F268" s="3" t="s">
        <v>162</v>
      </c>
      <c r="G268" s="72">
        <v>46090</v>
      </c>
      <c r="H268" s="72">
        <v>46094</v>
      </c>
      <c r="I268" s="341" t="s">
        <v>163</v>
      </c>
      <c r="J268" s="318">
        <v>0.33333333333333331</v>
      </c>
      <c r="K268" s="345"/>
      <c r="L268" s="344"/>
      <c r="M268" s="344"/>
      <c r="N268" s="420"/>
      <c r="O268" s="344"/>
      <c r="P268" s="344"/>
      <c r="Q268" s="321" t="s">
        <v>447</v>
      </c>
      <c r="R268" s="321"/>
      <c r="S268" s="321"/>
      <c r="T268" s="316">
        <f>VLOOKUP(Table2[[#This Row],[Course Title]],'TSD-Data'!$A$1:$E$80,4,FALSE)</f>
        <v>40</v>
      </c>
      <c r="U268" s="316">
        <f>VLOOKUP(Table2[[#This Row],[Course Title]],'TSD-Data'!$A$1:$F$80,6,FALSE)</f>
        <v>40</v>
      </c>
      <c r="V268" s="323">
        <f>VLOOKUP(Table2[[#This Row],[Course Title]],'TSD-Data'!$A$1:$F$80,5,FALSE)</f>
        <v>5</v>
      </c>
      <c r="W268" s="316">
        <v>30</v>
      </c>
      <c r="X268" s="316">
        <f>Table2[[#This Row],[Quotas]]-Table2[[#This Row],[Open Quotas]]</f>
        <v>0</v>
      </c>
      <c r="Y268" s="316"/>
      <c r="Z268" s="323"/>
      <c r="AA268" s="323"/>
      <c r="AB268" s="316"/>
      <c r="AC268" s="316"/>
      <c r="AD268" s="316"/>
      <c r="AE268" s="316"/>
      <c r="AF268" s="323">
        <f ca="1">Table2[[#This Row],[End Date]]+2-TODAY()</f>
        <v>89</v>
      </c>
      <c r="AG268" s="316">
        <f>IF(ISBLANK(Table2[[#This Row],[Roster Received by]]),1,0)</f>
        <v>1</v>
      </c>
      <c r="AH268" s="316">
        <f ca="1">IF(Table2[[#This Row],[Start Date]]&gt;TODAY(),1,)</f>
        <v>1</v>
      </c>
      <c r="AI268" s="316">
        <f>IF(ISBLANK(Table2[[#This Row],[Primary Instructor]]),0,1)</f>
        <v>1</v>
      </c>
      <c r="AJ268" s="316">
        <f>IF(ISBLANK(Table2[[#This Row],[Instructor 2]]),0,1)</f>
        <v>0</v>
      </c>
      <c r="AK268" s="316">
        <f>Table2[[#This Row],[Course Length (Hours)]]/(SUM(Table2[[#This Row],[1]:[2]]))</f>
        <v>40</v>
      </c>
      <c r="AL268" s="124">
        <v>40</v>
      </c>
      <c r="AM268" s="433">
        <v>2</v>
      </c>
      <c r="AN268" s="363" t="str">
        <f>VLOOKUP(Table2[[#This Row],[Course Title]],'TSD-Data'!$A$1:$G$80,7,FALSE)</f>
        <v>N4</v>
      </c>
    </row>
    <row r="269" spans="2:40" s="428" customFormat="1" ht="15" customHeight="1" x14ac:dyDescent="0.25">
      <c r="B269" s="315"/>
      <c r="C269" s="364" t="s">
        <v>71</v>
      </c>
      <c r="D269" s="316" t="str">
        <f>VLOOKUP(Table2[[#This Row],[Course Title]],'TSD-Data'!$A$1:$E$80,2,FALSE)</f>
        <v>A-493-0061</v>
      </c>
      <c r="E269" s="316" t="str">
        <f>VLOOKUP(Table2[[#This Row],[Course Title]],'TSD-Data'!$A$1:$E$80,3,FALSE)</f>
        <v>288E</v>
      </c>
      <c r="F269" s="364" t="s">
        <v>25</v>
      </c>
      <c r="G269" s="344">
        <v>46090</v>
      </c>
      <c r="H269" s="344">
        <v>46093</v>
      </c>
      <c r="I269" s="317" t="s">
        <v>163</v>
      </c>
      <c r="J269" s="318"/>
      <c r="K269" s="345">
        <v>0.79166666666666663</v>
      </c>
      <c r="L269" s="431">
        <v>0.66666666666666663</v>
      </c>
      <c r="M269" s="431">
        <v>8.3333333333333329E-2</v>
      </c>
      <c r="N269" s="431">
        <v>0</v>
      </c>
      <c r="O269" s="431">
        <v>0.54166666666666663</v>
      </c>
      <c r="P269" s="431">
        <v>0.33333333333333331</v>
      </c>
      <c r="Q269" s="321" t="s">
        <v>272</v>
      </c>
      <c r="R269" s="321"/>
      <c r="S269" s="321"/>
      <c r="T269" s="316">
        <f>VLOOKUP(Table2[[#This Row],[Course Title]],'TSD-Data'!$A$1:$E$80,4,FALSE)</f>
        <v>45</v>
      </c>
      <c r="U269" s="316">
        <f>VLOOKUP(Table2[[#This Row],[Course Title]],'TSD-Data'!$A$1:$F$80,6,FALSE)</f>
        <v>30</v>
      </c>
      <c r="V269" s="323">
        <f>VLOOKUP(Table2[[#This Row],[Course Title]],'TSD-Data'!$A$1:$F$80,5,FALSE)</f>
        <v>4</v>
      </c>
      <c r="W269" s="323">
        <v>187</v>
      </c>
      <c r="X269" s="316">
        <f>Table2[[#This Row],[Quotas]]-Table2[[#This Row],[Open Quotas]]</f>
        <v>8</v>
      </c>
      <c r="Y269" s="316">
        <v>0</v>
      </c>
      <c r="Z269" s="323"/>
      <c r="AA269" s="323"/>
      <c r="AB269" s="316"/>
      <c r="AC269" s="316"/>
      <c r="AD269" s="316"/>
      <c r="AE269" s="316"/>
      <c r="AF269" s="323">
        <f ca="1">Table2[[#This Row],[End Date]]+2-TODAY()</f>
        <v>88</v>
      </c>
      <c r="AG269" s="316">
        <f>IF(ISBLANK(Table2[[#This Row],[Roster Received by]]),1,0)</f>
        <v>1</v>
      </c>
      <c r="AH269" s="316">
        <f ca="1">IF(Table2[[#This Row],[Start Date]]&gt;TODAY(),1,)</f>
        <v>1</v>
      </c>
      <c r="AI269" s="316">
        <f>IF(ISBLANK(Table2[[#This Row],[Primary Instructor]]),0,1)</f>
        <v>1</v>
      </c>
      <c r="AJ269" s="316">
        <f>IF(ISBLANK(Table2[[#This Row],[Instructor 2]]),0,1)</f>
        <v>0</v>
      </c>
      <c r="AK269" s="316">
        <f>Table2[[#This Row],[Course Length (Hours)]]/(SUM(Table2[[#This Row],[1]:[2]]))</f>
        <v>30</v>
      </c>
      <c r="AL269" s="124">
        <v>37</v>
      </c>
      <c r="AM269" s="433">
        <v>2</v>
      </c>
      <c r="AN269" s="363" t="str">
        <f>VLOOKUP(Table2[[#This Row],[Course Title]],'TSD-Data'!$A$1:$G$80,7,FALSE)</f>
        <v>N5</v>
      </c>
    </row>
    <row r="270" spans="2:40" s="459" customFormat="1" x14ac:dyDescent="0.25">
      <c r="B270" s="315"/>
      <c r="C270" s="364" t="s">
        <v>113</v>
      </c>
      <c r="D270" s="421" t="str">
        <f>VLOOKUP(Table2[[#This Row],[Course Title]],'TSD-Data'!$A$1:$E$80,2,FALSE)</f>
        <v>A-570-0100</v>
      </c>
      <c r="E270" s="421" t="str">
        <f>VLOOKUP(Table2[[#This Row],[Course Title]],'TSD-Data'!$A$1:$E$80,3,FALSE)</f>
        <v>18B7</v>
      </c>
      <c r="F270" s="364" t="s">
        <v>25</v>
      </c>
      <c r="G270" s="344">
        <v>46090</v>
      </c>
      <c r="H270" s="344">
        <v>46091</v>
      </c>
      <c r="I270" s="317" t="s">
        <v>163</v>
      </c>
      <c r="J270" s="318"/>
      <c r="K270" s="345">
        <v>0.5</v>
      </c>
      <c r="L270" s="429">
        <v>0.375</v>
      </c>
      <c r="M270" s="429">
        <v>0.79166666666666663</v>
      </c>
      <c r="N270" s="429">
        <v>0.75</v>
      </c>
      <c r="O270" s="429">
        <v>0.25</v>
      </c>
      <c r="P270" s="429">
        <v>4.1666666666666664E-2</v>
      </c>
      <c r="Q270" s="321" t="s">
        <v>431</v>
      </c>
      <c r="R270" s="321"/>
      <c r="S270" s="321"/>
      <c r="T270" s="316">
        <f>VLOOKUP(Table2[[#This Row],[Course Title]],'TSD-Data'!$A$1:$E$80,4,FALSE)</f>
        <v>45</v>
      </c>
      <c r="U270" s="316">
        <f>VLOOKUP(Table2[[#This Row],[Course Title]],'TSD-Data'!$A$1:$F$80,6,FALSE)</f>
        <v>16</v>
      </c>
      <c r="V270" s="323">
        <f>VLOOKUP(Table2[[#This Row],[Course Title]],'TSD-Data'!$A$1:$F$80,5,FALSE)</f>
        <v>2</v>
      </c>
      <c r="W270" s="323">
        <v>621</v>
      </c>
      <c r="X270" s="316">
        <f>Table2[[#This Row],[Quotas]]-Table2[[#This Row],[Open Quotas]]</f>
        <v>4</v>
      </c>
      <c r="Y270" s="316">
        <v>0</v>
      </c>
      <c r="Z270" s="323"/>
      <c r="AA270" s="323"/>
      <c r="AB270" s="316"/>
      <c r="AC270" s="316"/>
      <c r="AD270" s="316"/>
      <c r="AE270" s="316"/>
      <c r="AF270" s="323">
        <f ca="1">Table2[[#This Row],[End Date]]+2-TODAY()</f>
        <v>86</v>
      </c>
      <c r="AG270" s="316">
        <f>IF(ISBLANK(Table2[[#This Row],[Roster Received by]]),1,0)</f>
        <v>1</v>
      </c>
      <c r="AH270" s="316">
        <f ca="1">IF(Table2[[#This Row],[Start Date]]&gt;TODAY(),1,)</f>
        <v>1</v>
      </c>
      <c r="AI270" s="316">
        <f>IF(ISBLANK(Table2[[#This Row],[Primary Instructor]]),0,1)</f>
        <v>1</v>
      </c>
      <c r="AJ270" s="316">
        <f>IF(ISBLANK(Table2[[#This Row],[Instructor 2]]),0,1)</f>
        <v>0</v>
      </c>
      <c r="AK270" s="316">
        <f>Table2[[#This Row],[Course Length (Hours)]]/(SUM(Table2[[#This Row],[1]:[2]]))</f>
        <v>16</v>
      </c>
      <c r="AL270" s="124">
        <v>41</v>
      </c>
      <c r="AM270" s="433">
        <v>2</v>
      </c>
      <c r="AN270" s="363" t="str">
        <f>VLOOKUP(Table2[[#This Row],[Course Title]],'TSD-Data'!$A$1:$G$80,7,FALSE)</f>
        <v>N8</v>
      </c>
    </row>
    <row r="271" spans="2:40" s="428" customFormat="1" ht="15" customHeight="1" x14ac:dyDescent="0.25">
      <c r="B271" s="315"/>
      <c r="C271" s="364" t="s">
        <v>100</v>
      </c>
      <c r="D271" s="316" t="str">
        <f>VLOOKUP(Table2[[#This Row],[Course Title]],'TSD-Data'!$A$1:$E$80,2,FALSE)</f>
        <v>A-493-0550</v>
      </c>
      <c r="E271" s="316" t="str">
        <f>VLOOKUP(Table2[[#This Row],[Course Title]],'TSD-Data'!$A$1:$E$80,3,FALSE)</f>
        <v>09K5</v>
      </c>
      <c r="F271" s="364" t="s">
        <v>25</v>
      </c>
      <c r="G271" s="344">
        <v>46090</v>
      </c>
      <c r="H271" s="344">
        <v>46093</v>
      </c>
      <c r="I271" s="317" t="s">
        <v>163</v>
      </c>
      <c r="J271" s="318"/>
      <c r="K271" s="345">
        <v>0.5</v>
      </c>
      <c r="L271" s="429">
        <v>0.375</v>
      </c>
      <c r="M271" s="429">
        <v>0.79166666666666663</v>
      </c>
      <c r="N271" s="429">
        <v>0.75</v>
      </c>
      <c r="O271" s="429">
        <v>0.25</v>
      </c>
      <c r="P271" s="429">
        <v>4.1666666666666664E-2</v>
      </c>
      <c r="Q271" s="321" t="s">
        <v>426</v>
      </c>
      <c r="R271" s="321"/>
      <c r="S271" s="321"/>
      <c r="T271" s="316">
        <f>VLOOKUP(Table2[[#This Row],[Course Title]],'TSD-Data'!$A$1:$E$80,4,FALSE)</f>
        <v>45</v>
      </c>
      <c r="U271" s="316">
        <f>VLOOKUP(Table2[[#This Row],[Course Title]],'TSD-Data'!$A$1:$F$80,6,FALSE)</f>
        <v>32</v>
      </c>
      <c r="V271" s="323">
        <f>VLOOKUP(Table2[[#This Row],[Course Title]],'TSD-Data'!$A$1:$F$80,5,FALSE)</f>
        <v>4</v>
      </c>
      <c r="W271" s="323">
        <v>864</v>
      </c>
      <c r="X271" s="316">
        <f>Table2[[#This Row],[Quotas]]-Table2[[#This Row],[Open Quotas]]</f>
        <v>5</v>
      </c>
      <c r="Y271" s="316">
        <v>0</v>
      </c>
      <c r="Z271" s="323"/>
      <c r="AA271" s="323"/>
      <c r="AB271" s="316"/>
      <c r="AC271" s="316"/>
      <c r="AD271" s="316"/>
      <c r="AE271" s="316"/>
      <c r="AF271" s="323">
        <f ca="1">Table2[[#This Row],[End Date]]+2-TODAY()</f>
        <v>88</v>
      </c>
      <c r="AG271" s="316">
        <f>IF(ISBLANK(Table2[[#This Row],[Roster Received by]]),1,0)</f>
        <v>1</v>
      </c>
      <c r="AH271" s="316">
        <f ca="1">IF(Table2[[#This Row],[Start Date]]&gt;TODAY(),1,)</f>
        <v>1</v>
      </c>
      <c r="AI271" s="316">
        <f>IF(ISBLANK(Table2[[#This Row],[Primary Instructor]]),0,1)</f>
        <v>1</v>
      </c>
      <c r="AJ271" s="316">
        <f>IF(ISBLANK(Table2[[#This Row],[Instructor 2]]),0,1)</f>
        <v>0</v>
      </c>
      <c r="AK271" s="316">
        <f>Table2[[#This Row],[Course Length (Hours)]]/(SUM(Table2[[#This Row],[1]:[2]]))</f>
        <v>32</v>
      </c>
      <c r="AL271" s="124">
        <v>40</v>
      </c>
      <c r="AM271" s="433">
        <v>2</v>
      </c>
      <c r="AN271" s="363" t="str">
        <f>VLOOKUP(Table2[[#This Row],[Course Title]],'TSD-Data'!$A$1:$G$80,7,FALSE)</f>
        <v>N5</v>
      </c>
    </row>
    <row r="272" spans="2:40" s="428" customFormat="1" ht="15" customHeight="1" x14ac:dyDescent="0.25">
      <c r="B272" s="315"/>
      <c r="C272" s="364" t="s">
        <v>106</v>
      </c>
      <c r="D272" s="421" t="str">
        <f>VLOOKUP(Table2[[#This Row],[Course Title]],'TSD-Data'!$A$1:$E$80,2,FALSE)</f>
        <v>A-493-0078</v>
      </c>
      <c r="E272" s="421">
        <f>VLOOKUP(Table2[[#This Row],[Course Title]],'TSD-Data'!$A$1:$E$80,3,FALSE)</f>
        <v>1228</v>
      </c>
      <c r="F272" s="364" t="s">
        <v>25</v>
      </c>
      <c r="G272" s="344">
        <v>46090</v>
      </c>
      <c r="H272" s="344">
        <v>46093</v>
      </c>
      <c r="I272" s="317" t="s">
        <v>163</v>
      </c>
      <c r="J272" s="318"/>
      <c r="K272" s="318">
        <v>0.79166666666666663</v>
      </c>
      <c r="L272" s="429">
        <v>0.66666666666666663</v>
      </c>
      <c r="M272" s="431">
        <v>8.3333333333333329E-2</v>
      </c>
      <c r="N272" s="431">
        <v>0</v>
      </c>
      <c r="O272" s="431">
        <v>0.54166666666666663</v>
      </c>
      <c r="P272" s="429">
        <v>0.33333333333333331</v>
      </c>
      <c r="Q272" s="321" t="s">
        <v>172</v>
      </c>
      <c r="R272" s="321"/>
      <c r="S272" s="321"/>
      <c r="T272" s="316">
        <f>VLOOKUP(Table2[[#This Row],[Course Title]],'TSD-Data'!$A$1:$E$80,4,FALSE)</f>
        <v>45</v>
      </c>
      <c r="U272" s="316">
        <f>VLOOKUP(Table2[[#This Row],[Course Title]],'TSD-Data'!$A$1:$F$80,6,FALSE)</f>
        <v>32</v>
      </c>
      <c r="V272" s="323">
        <f>VLOOKUP(Table2[[#This Row],[Course Title]],'TSD-Data'!$A$1:$F$80,5,FALSE)</f>
        <v>4</v>
      </c>
      <c r="W272" s="323">
        <v>181</v>
      </c>
      <c r="X272" s="316">
        <f>Table2[[#This Row],[Quotas]]-Table2[[#This Row],[Open Quotas]]</f>
        <v>7</v>
      </c>
      <c r="Y272" s="316">
        <v>0</v>
      </c>
      <c r="Z272" s="323"/>
      <c r="AA272" s="323"/>
      <c r="AB272" s="316"/>
      <c r="AC272" s="316"/>
      <c r="AD272" s="316"/>
      <c r="AE272" s="316"/>
      <c r="AF272" s="323">
        <f ca="1">Table2[[#This Row],[End Date]]+2-TODAY()</f>
        <v>88</v>
      </c>
      <c r="AG272" s="316">
        <f>IF(ISBLANK(Table2[[#This Row],[Roster Received by]]),1,0)</f>
        <v>1</v>
      </c>
      <c r="AH272" s="316">
        <f ca="1">IF(Table2[[#This Row],[Start Date]]&gt;TODAY(),1,)</f>
        <v>1</v>
      </c>
      <c r="AI272" s="316">
        <f>IF(ISBLANK(Table2[[#This Row],[Primary Instructor]]),0,1)</f>
        <v>1</v>
      </c>
      <c r="AJ272" s="316">
        <f>IF(ISBLANK(Table2[[#This Row],[Instructor 2]]),0,1)</f>
        <v>0</v>
      </c>
      <c r="AK272" s="316">
        <f>Table2[[#This Row],[Course Length (Hours)]]/(SUM(Table2[[#This Row],[1]:[2]]))</f>
        <v>32</v>
      </c>
      <c r="AL272" s="124">
        <v>38</v>
      </c>
      <c r="AM272" s="433">
        <v>2</v>
      </c>
      <c r="AN272" s="363" t="str">
        <f>VLOOKUP(Table2[[#This Row],[Course Title]],'TSD-Data'!$A$1:$G$80,7,FALSE)</f>
        <v>N5</v>
      </c>
    </row>
    <row r="273" spans="2:40" s="428" customFormat="1" ht="15" customHeight="1" x14ac:dyDescent="0.25">
      <c r="B273" s="315"/>
      <c r="C273" s="94" t="s">
        <v>77</v>
      </c>
      <c r="D273" s="70" t="str">
        <f>VLOOKUP(Table2[[#This Row],[Course Title]],'TSD-Data'!$A$1:$E$80,2,FALSE)</f>
        <v>A-493-0077</v>
      </c>
      <c r="E273" s="70" t="str">
        <f>VLOOKUP(Table2[[#This Row],[Course Title]],'TSD-Data'!$A$1:$E$80,3,FALSE)</f>
        <v>0381</v>
      </c>
      <c r="F273" s="94" t="s">
        <v>296</v>
      </c>
      <c r="G273" s="72">
        <v>46091</v>
      </c>
      <c r="H273" s="72">
        <v>46093</v>
      </c>
      <c r="I273" s="341" t="s">
        <v>163</v>
      </c>
      <c r="J273" s="318">
        <v>0.33333333333333331</v>
      </c>
      <c r="K273" s="318"/>
      <c r="L273" s="344"/>
      <c r="M273" s="317"/>
      <c r="N273" s="317"/>
      <c r="O273" s="317"/>
      <c r="P273" s="317"/>
      <c r="Q273" s="321" t="s">
        <v>168</v>
      </c>
      <c r="R273" s="321"/>
      <c r="S273" s="321"/>
      <c r="T273" s="316">
        <f>VLOOKUP(Table2[[#This Row],[Course Title]],'TSD-Data'!$A$1:$E$80,4,FALSE)</f>
        <v>25</v>
      </c>
      <c r="U273" s="316">
        <f>VLOOKUP(Table2[[#This Row],[Course Title]],'TSD-Data'!$A$1:$F$80,6,FALSE)</f>
        <v>24</v>
      </c>
      <c r="V273" s="323">
        <f>VLOOKUP(Table2[[#This Row],[Course Title]],'TSD-Data'!$A$1:$F$80,5,FALSE)</f>
        <v>3</v>
      </c>
      <c r="W273" s="323">
        <v>28</v>
      </c>
      <c r="X273" s="316">
        <f>Table2[[#This Row],[Quotas]]-Table2[[#This Row],[Open Quotas]]</f>
        <v>0</v>
      </c>
      <c r="Y273" s="316"/>
      <c r="Z273" s="323"/>
      <c r="AA273" s="323"/>
      <c r="AB273" s="363"/>
      <c r="AC273" s="363"/>
      <c r="AD273" s="316"/>
      <c r="AE273" s="316"/>
      <c r="AF273" s="323">
        <f ca="1">Table2[[#This Row],[End Date]]+2-TODAY()</f>
        <v>88</v>
      </c>
      <c r="AG273" s="316">
        <f>IF(ISBLANK(Table2[[#This Row],[Roster Received by]]),1,0)</f>
        <v>1</v>
      </c>
      <c r="AH273" s="316">
        <f ca="1">IF(Table2[[#This Row],[Start Date]]&gt;TODAY(),1,)</f>
        <v>1</v>
      </c>
      <c r="AI273" s="316">
        <f>IF(ISBLANK(Table2[[#This Row],[Primary Instructor]]),0,1)</f>
        <v>1</v>
      </c>
      <c r="AJ273" s="316">
        <f>IF(ISBLANK(Table2[[#This Row],[Instructor 2]]),0,1)</f>
        <v>0</v>
      </c>
      <c r="AK273" s="316">
        <f>Table2[[#This Row],[Course Length (Hours)]]/(SUM(Table2[[#This Row],[1]:[2]]))</f>
        <v>24</v>
      </c>
      <c r="AL273" s="638">
        <v>25</v>
      </c>
      <c r="AM273" s="433">
        <v>2</v>
      </c>
      <c r="AN273" s="363" t="str">
        <f>VLOOKUP(Table2[[#This Row],[Course Title]],'TSD-Data'!$A$1:$G$80,7,FALSE)</f>
        <v>N4</v>
      </c>
    </row>
    <row r="274" spans="2:40" s="428" customFormat="1" x14ac:dyDescent="0.25">
      <c r="B274" s="315"/>
      <c r="C274" s="439" t="s">
        <v>94</v>
      </c>
      <c r="D274" s="316" t="str">
        <f>VLOOKUP(Table2[[#This Row],[Course Title]],'TSD-Data'!$A$1:$E$80,2,FALSE)</f>
        <v>A-493-0331</v>
      </c>
      <c r="E274" s="316" t="str">
        <f>VLOOKUP(Table2[[#This Row],[Course Title]],'TSD-Data'!$A$1:$E$80,3,FALSE)</f>
        <v>10UG</v>
      </c>
      <c r="F274" s="315" t="s">
        <v>25</v>
      </c>
      <c r="G274" s="344">
        <v>46091</v>
      </c>
      <c r="H274" s="344">
        <v>46093</v>
      </c>
      <c r="I274" s="317" t="s">
        <v>163</v>
      </c>
      <c r="J274" s="318"/>
      <c r="K274" s="318">
        <v>0.5</v>
      </c>
      <c r="L274" s="429">
        <v>0.375</v>
      </c>
      <c r="M274" s="431">
        <v>0.79166666666666663</v>
      </c>
      <c r="N274" s="431">
        <v>0.75</v>
      </c>
      <c r="O274" s="431">
        <v>0.25</v>
      </c>
      <c r="P274" s="431">
        <v>4.1666666666666664E-2</v>
      </c>
      <c r="Q274" s="321" t="s">
        <v>445</v>
      </c>
      <c r="R274" s="321"/>
      <c r="S274" s="321"/>
      <c r="T274" s="316">
        <f>VLOOKUP(Table2[[#This Row],[Course Title]],'TSD-Data'!$A$1:$E$80,4,FALSE)</f>
        <v>45</v>
      </c>
      <c r="U274" s="316">
        <f>VLOOKUP(Table2[[#This Row],[Course Title]],'TSD-Data'!$A$1:$F$80,6,FALSE)</f>
        <v>24</v>
      </c>
      <c r="V274" s="323">
        <f>VLOOKUP(Table2[[#This Row],[Course Title]],'TSD-Data'!$A$1:$F$80,5,FALSE)</f>
        <v>3</v>
      </c>
      <c r="W274" s="323">
        <v>844</v>
      </c>
      <c r="X274" s="316">
        <f>Table2[[#This Row],[Quotas]]-Table2[[#This Row],[Open Quotas]]</f>
        <v>5</v>
      </c>
      <c r="Y274" s="316">
        <v>0</v>
      </c>
      <c r="Z274" s="323"/>
      <c r="AA274" s="323"/>
      <c r="AB274" s="316"/>
      <c r="AC274" s="316"/>
      <c r="AD274" s="316"/>
      <c r="AE274" s="316"/>
      <c r="AF274" s="323">
        <f ca="1">Table2[[#This Row],[End Date]]+2-TODAY()</f>
        <v>88</v>
      </c>
      <c r="AG274" s="316">
        <f>IF(ISBLANK(Table2[[#This Row],[Roster Received by]]),1,0)</f>
        <v>1</v>
      </c>
      <c r="AH274" s="316">
        <f ca="1">IF(Table2[[#This Row],[Start Date]]&gt;TODAY(),1,)</f>
        <v>1</v>
      </c>
      <c r="AI274" s="316">
        <f>IF(ISBLANK(Table2[[#This Row],[Primary Instructor]]),0,1)</f>
        <v>1</v>
      </c>
      <c r="AJ274" s="316">
        <f>IF(ISBLANK(Table2[[#This Row],[Instructor 2]]),0,1)</f>
        <v>0</v>
      </c>
      <c r="AK274" s="316">
        <f>Table2[[#This Row],[Course Length (Hours)]]/(SUM(Table2[[#This Row],[1]:[2]]))</f>
        <v>24</v>
      </c>
      <c r="AL274" s="124">
        <v>40</v>
      </c>
      <c r="AM274" s="433">
        <v>2</v>
      </c>
      <c r="AN274" s="363" t="str">
        <f>VLOOKUP(Table2[[#This Row],[Course Title]],'TSD-Data'!$A$1:$G$80,7,FALSE)</f>
        <v>N3</v>
      </c>
    </row>
    <row r="275" spans="2:40" s="428" customFormat="1" x14ac:dyDescent="0.25">
      <c r="B275" s="315"/>
      <c r="C275" s="709" t="s">
        <v>34</v>
      </c>
      <c r="D275" s="422" t="str">
        <f>VLOOKUP(Table2[[#This Row],[Course Title]],'TSD-Data'!$A$1:$E$80,2,FALSE)</f>
        <v>A-493-0019</v>
      </c>
      <c r="E275" s="422">
        <f>VLOOKUP(Table2[[#This Row],[Course Title]],'TSD-Data'!$A$1:$E$80,3,FALSE)</f>
        <v>3882</v>
      </c>
      <c r="F275" s="446" t="s">
        <v>263</v>
      </c>
      <c r="G275" s="330">
        <v>46093</v>
      </c>
      <c r="H275" s="330">
        <v>46094</v>
      </c>
      <c r="I275" s="317" t="s">
        <v>163</v>
      </c>
      <c r="J275" s="318">
        <v>0.33333333333333331</v>
      </c>
      <c r="K275" s="345"/>
      <c r="L275" s="344"/>
      <c r="M275" s="344"/>
      <c r="N275" s="344"/>
      <c r="O275" s="344"/>
      <c r="P275" s="344"/>
      <c r="Q275" s="321" t="s">
        <v>175</v>
      </c>
      <c r="R275" s="321" t="s">
        <v>445</v>
      </c>
      <c r="S275" s="321"/>
      <c r="T275" s="316">
        <f>VLOOKUP(Table2[[#This Row],[Course Title]],'TSD-Data'!$A$1:$E$80,4,FALSE)</f>
        <v>25</v>
      </c>
      <c r="U275" s="316">
        <f>VLOOKUP(Table2[[#This Row],[Course Title]],'TSD-Data'!$A$1:$F$80,6,FALSE)</f>
        <v>16</v>
      </c>
      <c r="V275" s="323">
        <f>VLOOKUP(Table2[[#This Row],[Course Title]],'TSD-Data'!$A$1:$F$80,5,FALSE)</f>
        <v>2</v>
      </c>
      <c r="W275" s="323">
        <v>9</v>
      </c>
      <c r="X275" s="316">
        <f>Table2[[#This Row],[Quotas]]-Table2[[#This Row],[Open Quotas]]</f>
        <v>2</v>
      </c>
      <c r="Y275" s="316">
        <v>0</v>
      </c>
      <c r="Z275" s="323"/>
      <c r="AA275" s="323"/>
      <c r="AB275" s="316"/>
      <c r="AC275" s="316"/>
      <c r="AD275" s="316"/>
      <c r="AE275" s="316"/>
      <c r="AF275" s="323">
        <f ca="1">Table2[[#This Row],[End Date]]+2-TODAY()</f>
        <v>89</v>
      </c>
      <c r="AG275" s="316">
        <f>IF(ISBLANK(Table2[[#This Row],[Roster Received by]]),1,0)</f>
        <v>1</v>
      </c>
      <c r="AH275" s="316">
        <f ca="1">IF(Table2[[#This Row],[Start Date]]&gt;TODAY(),1,)</f>
        <v>1</v>
      </c>
      <c r="AI275" s="316">
        <f>IF(ISBLANK(Table2[[#This Row],[Primary Instructor]]),0,1)</f>
        <v>1</v>
      </c>
      <c r="AJ275" s="316">
        <f>IF(ISBLANK(Table2[[#This Row],[Instructor 2]]),0,1)</f>
        <v>1</v>
      </c>
      <c r="AK275" s="316">
        <f>Table2[[#This Row],[Course Length (Hours)]]/(SUM(Table2[[#This Row],[1]:[2]]))</f>
        <v>8</v>
      </c>
      <c r="AL275" s="124">
        <v>23</v>
      </c>
      <c r="AM275" s="433">
        <v>2</v>
      </c>
      <c r="AN275" s="363" t="str">
        <f>VLOOKUP(Table2[[#This Row],[Course Title]],'TSD-Data'!$A$1:$G$80,7,FALSE)</f>
        <v>N3</v>
      </c>
    </row>
    <row r="276" spans="2:40" s="428" customFormat="1" x14ac:dyDescent="0.25">
      <c r="B276" s="315"/>
      <c r="C276" s="94" t="s">
        <v>80</v>
      </c>
      <c r="D276" s="70" t="str">
        <f>VLOOKUP(Table2[[#This Row],[Course Title]],'TSD-Data'!$A$1:$E$80,2,FALSE)</f>
        <v>A-493-0083</v>
      </c>
      <c r="E276" s="70" t="str">
        <f>VLOOKUP(Table2[[#This Row],[Course Title]],'TSD-Data'!$A$1:$E$80,3,FALSE)</f>
        <v>339E</v>
      </c>
      <c r="F276" s="94" t="s">
        <v>296</v>
      </c>
      <c r="G276" s="72">
        <v>46094</v>
      </c>
      <c r="H276" s="72">
        <v>46094</v>
      </c>
      <c r="I276" s="341" t="s">
        <v>163</v>
      </c>
      <c r="J276" s="318">
        <v>0.33333333333333331</v>
      </c>
      <c r="K276" s="318"/>
      <c r="L276" s="344"/>
      <c r="M276" s="344"/>
      <c r="N276" s="344"/>
      <c r="O276" s="344"/>
      <c r="P276" s="344"/>
      <c r="Q276" s="321" t="s">
        <v>168</v>
      </c>
      <c r="R276" s="321"/>
      <c r="S276" s="321"/>
      <c r="T276" s="316">
        <f>VLOOKUP(Table2[[#This Row],[Course Title]],'TSD-Data'!$A$1:$E$80,4,FALSE)</f>
        <v>30</v>
      </c>
      <c r="U276" s="316">
        <f>VLOOKUP(Table2[[#This Row],[Course Title]],'TSD-Data'!$A$1:$F$80,6,FALSE)</f>
        <v>8</v>
      </c>
      <c r="V276" s="323">
        <f>VLOOKUP(Table2[[#This Row],[Course Title]],'TSD-Data'!$A$1:$F$80,5,FALSE)</f>
        <v>1</v>
      </c>
      <c r="W276" s="323">
        <v>30</v>
      </c>
      <c r="X276" s="316">
        <f>Table2[[#This Row],[Quotas]]-Table2[[#This Row],[Open Quotas]]</f>
        <v>8</v>
      </c>
      <c r="Y276" s="316"/>
      <c r="Z276" s="323"/>
      <c r="AA276" s="323"/>
      <c r="AB276" s="363"/>
      <c r="AC276" s="363"/>
      <c r="AD276" s="316"/>
      <c r="AE276" s="316"/>
      <c r="AF276" s="323">
        <f ca="1">Table2[[#This Row],[End Date]]+2-TODAY()</f>
        <v>89</v>
      </c>
      <c r="AG276" s="316">
        <f>IF(ISBLANK(Table2[[#This Row],[Roster Received by]]),1,0)</f>
        <v>1</v>
      </c>
      <c r="AH276" s="316">
        <f ca="1">IF(Table2[[#This Row],[Start Date]]&gt;TODAY(),1,)</f>
        <v>1</v>
      </c>
      <c r="AI276" s="316">
        <f>IF(ISBLANK(Table2[[#This Row],[Primary Instructor]]),0,1)</f>
        <v>1</v>
      </c>
      <c r="AJ276" s="316">
        <f>IF(ISBLANK(Table2[[#This Row],[Instructor 2]]),0,1)</f>
        <v>0</v>
      </c>
      <c r="AK276" s="316">
        <f>Table2[[#This Row],[Course Length (Hours)]]/(SUM(Table2[[#This Row],[1]:[2]]))</f>
        <v>8</v>
      </c>
      <c r="AL276" s="638">
        <v>22</v>
      </c>
      <c r="AM276" s="433">
        <v>2</v>
      </c>
      <c r="AN276" s="363" t="str">
        <f>VLOOKUP(Table2[[#This Row],[Course Title]],'TSD-Data'!$A$1:$G$80,7,FALSE)</f>
        <v>N4</v>
      </c>
    </row>
    <row r="277" spans="2:40" s="428" customFormat="1" ht="15" customHeight="1" x14ac:dyDescent="0.25">
      <c r="B277" s="315"/>
      <c r="C277" s="364" t="s">
        <v>48</v>
      </c>
      <c r="D277" s="316" t="str">
        <f>VLOOKUP(Table2[[#This Row],[Course Title]],'TSD-Data'!$A$1:$E$80,2,FALSE)</f>
        <v>A-493-0103</v>
      </c>
      <c r="E277" s="316" t="str">
        <f>VLOOKUP(Table2[[#This Row],[Course Title]],'TSD-Data'!$A$1:$E$80,3,FALSE)</f>
        <v>12JY</v>
      </c>
      <c r="F277" s="364" t="s">
        <v>255</v>
      </c>
      <c r="G277" s="344">
        <v>46097</v>
      </c>
      <c r="H277" s="344">
        <v>46101</v>
      </c>
      <c r="I277" s="317" t="s">
        <v>163</v>
      </c>
      <c r="J277" s="318">
        <v>0.33333333333333331</v>
      </c>
      <c r="K277" s="318"/>
      <c r="L277" s="344"/>
      <c r="M277" s="317"/>
      <c r="N277" s="317"/>
      <c r="O277" s="317"/>
      <c r="P277" s="317"/>
      <c r="Q277" s="321" t="s">
        <v>275</v>
      </c>
      <c r="R277" s="321"/>
      <c r="S277" s="321"/>
      <c r="T277" s="316">
        <f>VLOOKUP(Table2[[#This Row],[Course Title]],'TSD-Data'!$A$1:$E$80,4,FALSE)</f>
        <v>25</v>
      </c>
      <c r="U277" s="316">
        <f>VLOOKUP(Table2[[#This Row],[Course Title]],'TSD-Data'!$A$1:$F$80,6,FALSE)</f>
        <v>40</v>
      </c>
      <c r="V277" s="323">
        <f>VLOOKUP(Table2[[#This Row],[Course Title]],'TSD-Data'!$A$1:$F$80,5,FALSE)</f>
        <v>5</v>
      </c>
      <c r="W277" s="323">
        <v>52</v>
      </c>
      <c r="X277" s="316">
        <f>Table2[[#This Row],[Quotas]]-Table2[[#This Row],[Open Quotas]]</f>
        <v>4</v>
      </c>
      <c r="Y277" s="316">
        <v>0</v>
      </c>
      <c r="Z277" s="323"/>
      <c r="AA277" s="323"/>
      <c r="AB277" s="316"/>
      <c r="AC277" s="316"/>
      <c r="AD277" s="316"/>
      <c r="AE277" s="316"/>
      <c r="AF277" s="323">
        <f ca="1">Table2[[#This Row],[End Date]]+2-TODAY()</f>
        <v>96</v>
      </c>
      <c r="AG277" s="316">
        <f>IF(ISBLANK(Table2[[#This Row],[Roster Received by]]),1,0)</f>
        <v>1</v>
      </c>
      <c r="AH277" s="316">
        <f ca="1">IF(Table2[[#This Row],[Start Date]]&gt;TODAY(),1,)</f>
        <v>1</v>
      </c>
      <c r="AI277" s="316">
        <f>IF(ISBLANK(Table2[[#This Row],[Primary Instructor]]),0,1)</f>
        <v>1</v>
      </c>
      <c r="AJ277" s="316">
        <f>IF(ISBLANK(Table2[[#This Row],[Instructor 2]]),0,1)</f>
        <v>0</v>
      </c>
      <c r="AK277" s="316">
        <f>Table2[[#This Row],[Course Length (Hours)]]/(SUM(Table2[[#This Row],[1]:[2]]))</f>
        <v>40</v>
      </c>
      <c r="AL277" s="124">
        <v>21</v>
      </c>
      <c r="AM277" s="433">
        <v>2</v>
      </c>
      <c r="AN277" s="363" t="str">
        <f>VLOOKUP(Table2[[#This Row],[Course Title]],'TSD-Data'!$A$1:$G$80,7,FALSE)</f>
        <v>N5</v>
      </c>
    </row>
    <row r="278" spans="2:40" s="428" customFormat="1" ht="15" customHeight="1" x14ac:dyDescent="0.25">
      <c r="B278" s="315"/>
      <c r="C278" s="364" t="s">
        <v>23</v>
      </c>
      <c r="D278" s="316" t="str">
        <f>VLOOKUP(Table2[[#This Row],[Course Title]],'TSD-Data'!$A$1:$E$80,2,FALSE)</f>
        <v>A-4J-0022</v>
      </c>
      <c r="E278" s="316" t="str">
        <f>VLOOKUP(Table2[[#This Row],[Course Title]],'TSD-Data'!$A$1:$E$80,3,FALSE)</f>
        <v>09ER</v>
      </c>
      <c r="F278" s="364" t="s">
        <v>25</v>
      </c>
      <c r="G278" s="344">
        <v>46097</v>
      </c>
      <c r="H278" s="344">
        <v>46101</v>
      </c>
      <c r="I278" s="317" t="s">
        <v>163</v>
      </c>
      <c r="J278" s="318"/>
      <c r="K278" s="429">
        <v>0.79166666666666663</v>
      </c>
      <c r="L278" s="429">
        <v>0.66666666666666663</v>
      </c>
      <c r="M278" s="429">
        <v>8.3333333333333329E-2</v>
      </c>
      <c r="N278" s="429">
        <v>0</v>
      </c>
      <c r="O278" s="429">
        <v>0.54166666666666663</v>
      </c>
      <c r="P278" s="429">
        <v>0.33333333333333331</v>
      </c>
      <c r="Q278" s="321" t="s">
        <v>285</v>
      </c>
      <c r="R278" s="321"/>
      <c r="S278" s="321"/>
      <c r="T278" s="316">
        <f>VLOOKUP(Table2[[#This Row],[Course Title]],'TSD-Data'!$A$1:$E$80,4,FALSE)</f>
        <v>45</v>
      </c>
      <c r="U278" s="316">
        <f>VLOOKUP(Table2[[#This Row],[Course Title]],'TSD-Data'!$A$1:$F$80,6,FALSE)</f>
        <v>16</v>
      </c>
      <c r="V278" s="323">
        <f>VLOOKUP(Table2[[#This Row],[Course Title]],'TSD-Data'!$A$1:$F$80,5,FALSE)</f>
        <v>2</v>
      </c>
      <c r="W278" s="323">
        <v>63</v>
      </c>
      <c r="X278" s="316">
        <f>Table2[[#This Row],[Quotas]]-Table2[[#This Row],[Open Quotas]]</f>
        <v>5</v>
      </c>
      <c r="Y278" s="316"/>
      <c r="Z278" s="323"/>
      <c r="AA278" s="323"/>
      <c r="AB278" s="316"/>
      <c r="AC278" s="316"/>
      <c r="AD278" s="316"/>
      <c r="AE278" s="316"/>
      <c r="AF278" s="323">
        <f ca="1">Table2[[#This Row],[End Date]]+2-TODAY()</f>
        <v>96</v>
      </c>
      <c r="AG278" s="316">
        <f>IF(ISBLANK(Table2[[#This Row],[Roster Received by]]),1,0)</f>
        <v>1</v>
      </c>
      <c r="AH278" s="316">
        <f ca="1">IF(Table2[[#This Row],[Start Date]]&gt;TODAY(),1,)</f>
        <v>1</v>
      </c>
      <c r="AI278" s="316">
        <f>IF(ISBLANK(Table2[[#This Row],[Primary Instructor]]),0,1)</f>
        <v>1</v>
      </c>
      <c r="AJ278" s="316">
        <f>IF(ISBLANK(Table2[[#This Row],[Instructor 2]]),0,1)</f>
        <v>0</v>
      </c>
      <c r="AK278" s="316">
        <f>Table2[[#This Row],[Course Length (Hours)]]/(SUM(Table2[[#This Row],[1]:[2]]))</f>
        <v>16</v>
      </c>
      <c r="AL278" s="124">
        <v>40</v>
      </c>
      <c r="AM278" s="433">
        <v>2</v>
      </c>
      <c r="AN278" s="363" t="str">
        <f>VLOOKUP(Table2[[#This Row],[Course Title]],'TSD-Data'!$A$1:$G$80,7,FALSE)</f>
        <v>N4</v>
      </c>
    </row>
    <row r="279" spans="2:40" s="428" customFormat="1" ht="15" customHeight="1" x14ac:dyDescent="0.25">
      <c r="B279" s="315"/>
      <c r="C279" s="442" t="s">
        <v>41</v>
      </c>
      <c r="D279" s="316" t="str">
        <f>VLOOKUP(Table2[[#This Row],[Course Title]],'TSD-Data'!$A$1:$E$80,2,FALSE)</f>
        <v>A-493-0070</v>
      </c>
      <c r="E279" s="316" t="str">
        <f>VLOOKUP(Table2[[#This Row],[Course Title]],'TSD-Data'!$A$1:$E$80,3,FALSE)</f>
        <v>450V</v>
      </c>
      <c r="F279" s="364" t="s">
        <v>263</v>
      </c>
      <c r="G279" s="344">
        <v>46097</v>
      </c>
      <c r="H279" s="344">
        <v>46097</v>
      </c>
      <c r="I279" s="317" t="s">
        <v>163</v>
      </c>
      <c r="J279" s="318">
        <v>0.33333333333333331</v>
      </c>
      <c r="K279" s="345"/>
      <c r="L279" s="344"/>
      <c r="M279" s="344"/>
      <c r="N279" s="344"/>
      <c r="O279" s="344"/>
      <c r="P279" s="344"/>
      <c r="Q279" s="321" t="s">
        <v>175</v>
      </c>
      <c r="R279" s="321" t="s">
        <v>445</v>
      </c>
      <c r="S279" s="321"/>
      <c r="T279" s="316">
        <f>VLOOKUP(Table2[[#This Row],[Course Title]],'TSD-Data'!$A$1:$E$80,4,FALSE)</f>
        <v>30</v>
      </c>
      <c r="U279" s="316">
        <f>VLOOKUP(Table2[[#This Row],[Course Title]],'TSD-Data'!$A$1:$F$80,6,FALSE)</f>
        <v>8</v>
      </c>
      <c r="V279" s="323">
        <f>VLOOKUP(Table2[[#This Row],[Course Title]],'TSD-Data'!$A$1:$F$80,5,FALSE)</f>
        <v>1</v>
      </c>
      <c r="W279" s="323">
        <v>13</v>
      </c>
      <c r="X279" s="316">
        <f>Table2[[#This Row],[Quotas]]-Table2[[#This Row],[Open Quotas]]</f>
        <v>0</v>
      </c>
      <c r="Y279" s="316">
        <v>0</v>
      </c>
      <c r="Z279" s="323"/>
      <c r="AA279" s="323"/>
      <c r="AB279" s="316"/>
      <c r="AC279" s="316"/>
      <c r="AD279" s="316"/>
      <c r="AE279" s="316"/>
      <c r="AF279" s="323">
        <f ca="1">Table2[[#This Row],[End Date]]+2-TODAY()</f>
        <v>92</v>
      </c>
      <c r="AG279" s="316">
        <f>IF(ISBLANK(Table2[[#This Row],[Roster Received by]]),1,0)</f>
        <v>1</v>
      </c>
      <c r="AH279" s="316">
        <f ca="1">IF(Table2[[#This Row],[Start Date]]&gt;TODAY(),1,)</f>
        <v>1</v>
      </c>
      <c r="AI279" s="316">
        <f>IF(ISBLANK(Table2[[#This Row],[Primary Instructor]]),0,1)</f>
        <v>1</v>
      </c>
      <c r="AJ279" s="316">
        <f>IF(ISBLANK(Table2[[#This Row],[Instructor 2]]),0,1)</f>
        <v>1</v>
      </c>
      <c r="AK279" s="316">
        <f>Table2[[#This Row],[Course Length (Hours)]]/(SUM(Table2[[#This Row],[1]:[2]]))</f>
        <v>4</v>
      </c>
      <c r="AL279" s="124">
        <v>30</v>
      </c>
      <c r="AM279" s="433">
        <v>2</v>
      </c>
      <c r="AN279" s="363" t="str">
        <f>VLOOKUP(Table2[[#This Row],[Course Title]],'TSD-Data'!$A$1:$G$80,7,FALSE)</f>
        <v>N3</v>
      </c>
    </row>
    <row r="280" spans="2:40" s="428" customFormat="1" ht="15" customHeight="1" x14ac:dyDescent="0.25">
      <c r="B280" s="315" t="s">
        <v>464</v>
      </c>
      <c r="C280" s="94" t="s">
        <v>63</v>
      </c>
      <c r="D280" s="70" t="str">
        <f>VLOOKUP(Table2[[#This Row],[Course Title]],'TSD-Data'!$A$1:$E$80,2,FALSE)</f>
        <v>A-493-0013</v>
      </c>
      <c r="E280" s="70">
        <f>VLOOKUP(Table2[[#This Row],[Course Title]],'TSD-Data'!$A$1:$E$80,3,FALSE)</f>
        <v>3683</v>
      </c>
      <c r="F280" s="94" t="s">
        <v>290</v>
      </c>
      <c r="G280" s="72">
        <v>46097</v>
      </c>
      <c r="H280" s="72">
        <v>46099</v>
      </c>
      <c r="I280" s="341" t="s">
        <v>163</v>
      </c>
      <c r="J280" s="318">
        <v>0.33333333333333331</v>
      </c>
      <c r="K280" s="318"/>
      <c r="L280" s="344"/>
      <c r="M280" s="317"/>
      <c r="N280" s="317"/>
      <c r="O280" s="317"/>
      <c r="P280" s="317"/>
      <c r="Q280" s="321" t="s">
        <v>438</v>
      </c>
      <c r="R280" s="321"/>
      <c r="S280" s="321"/>
      <c r="T280" s="316">
        <f>VLOOKUP(Table2[[#This Row],[Course Title]],'TSD-Data'!$A$1:$E$80,4,FALSE)</f>
        <v>40</v>
      </c>
      <c r="U280" s="316">
        <f>VLOOKUP(Table2[[#This Row],[Course Title]],'TSD-Data'!$A$1:$F$80,6,FALSE)</f>
        <v>24</v>
      </c>
      <c r="V280" s="323">
        <f>VLOOKUP(Table2[[#This Row],[Course Title]],'TSD-Data'!$A$1:$F$80,5,FALSE)</f>
        <v>3</v>
      </c>
      <c r="W280" s="323">
        <v>72</v>
      </c>
      <c r="X280" s="316">
        <f>Table2[[#This Row],[Quotas]]-Table2[[#This Row],[Open Quotas]]</f>
        <v>0</v>
      </c>
      <c r="Y280" s="316"/>
      <c r="Z280" s="323"/>
      <c r="AA280" s="323"/>
      <c r="AB280" s="363"/>
      <c r="AC280" s="363"/>
      <c r="AD280" s="316"/>
      <c r="AE280" s="316"/>
      <c r="AF280" s="323">
        <f ca="1">Table2[[#This Row],[End Date]]+2-TODAY()</f>
        <v>94</v>
      </c>
      <c r="AG280" s="316">
        <f>IF(ISBLANK(Table2[[#This Row],[Roster Received by]]),1,0)</f>
        <v>1</v>
      </c>
      <c r="AH280" s="316">
        <f ca="1">IF(Table2[[#This Row],[Start Date]]&gt;TODAY(),1,)</f>
        <v>1</v>
      </c>
      <c r="AI280" s="316">
        <f>IF(ISBLANK(Table2[[#This Row],[Primary Instructor]]),0,1)</f>
        <v>1</v>
      </c>
      <c r="AJ280" s="316">
        <f>IF(ISBLANK(Table2[[#This Row],[Instructor 2]]),0,1)</f>
        <v>0</v>
      </c>
      <c r="AK280" s="316">
        <f>Table2[[#This Row],[Course Length (Hours)]]/(SUM(Table2[[#This Row],[1]:[2]]))</f>
        <v>24</v>
      </c>
      <c r="AL280" s="638">
        <v>40</v>
      </c>
      <c r="AM280" s="433">
        <v>2</v>
      </c>
      <c r="AN280" s="363" t="str">
        <f>VLOOKUP(Table2[[#This Row],[Course Title]],'TSD-Data'!$A$1:$G$80,7,FALSE)</f>
        <v>N4</v>
      </c>
    </row>
    <row r="281" spans="2:40" s="428" customFormat="1" ht="15" customHeight="1" x14ac:dyDescent="0.25">
      <c r="B281" s="315"/>
      <c r="C281" s="94" t="s">
        <v>77</v>
      </c>
      <c r="D281" s="70" t="str">
        <f>VLOOKUP(Table2[[#This Row],[Course Title]],'TSD-Data'!$A$1:$E$80,2,FALSE)</f>
        <v>A-493-0077</v>
      </c>
      <c r="E281" s="70" t="str">
        <f>VLOOKUP(Table2[[#This Row],[Course Title]],'TSD-Data'!$A$1:$E$80,3,FALSE)</f>
        <v>0381</v>
      </c>
      <c r="F281" s="94" t="s">
        <v>295</v>
      </c>
      <c r="G281" s="72">
        <v>46097</v>
      </c>
      <c r="H281" s="72">
        <v>46099</v>
      </c>
      <c r="I281" s="341" t="s">
        <v>163</v>
      </c>
      <c r="J281" s="318">
        <v>0.33333333333333331</v>
      </c>
      <c r="K281" s="318"/>
      <c r="L281" s="344"/>
      <c r="M281" s="317"/>
      <c r="N281" s="317"/>
      <c r="O281" s="317"/>
      <c r="P281" s="317"/>
      <c r="Q281" s="321" t="s">
        <v>168</v>
      </c>
      <c r="R281" s="321"/>
      <c r="S281" s="321"/>
      <c r="T281" s="316">
        <f>VLOOKUP(Table2[[#This Row],[Course Title]],'TSD-Data'!$A$1:$E$80,4,FALSE)</f>
        <v>25</v>
      </c>
      <c r="U281" s="316">
        <f>VLOOKUP(Table2[[#This Row],[Course Title]],'TSD-Data'!$A$1:$F$80,6,FALSE)</f>
        <v>24</v>
      </c>
      <c r="V281" s="323">
        <f>VLOOKUP(Table2[[#This Row],[Course Title]],'TSD-Data'!$A$1:$F$80,5,FALSE)</f>
        <v>3</v>
      </c>
      <c r="W281" s="323">
        <v>28</v>
      </c>
      <c r="X281" s="316">
        <f>Table2[[#This Row],[Quotas]]-Table2[[#This Row],[Open Quotas]]</f>
        <v>0</v>
      </c>
      <c r="Y281" s="316"/>
      <c r="Z281" s="323"/>
      <c r="AA281" s="323"/>
      <c r="AB281" s="363"/>
      <c r="AC281" s="363"/>
      <c r="AD281" s="316"/>
      <c r="AE281" s="316"/>
      <c r="AF281" s="323">
        <f ca="1">Table2[[#This Row],[End Date]]+2-TODAY()</f>
        <v>94</v>
      </c>
      <c r="AG281" s="316">
        <f>IF(ISBLANK(Table2[[#This Row],[Roster Received by]]),1,0)</f>
        <v>1</v>
      </c>
      <c r="AH281" s="316">
        <f ca="1">IF(Table2[[#This Row],[Start Date]]&gt;TODAY(),1,)</f>
        <v>1</v>
      </c>
      <c r="AI281" s="316">
        <f>IF(ISBLANK(Table2[[#This Row],[Primary Instructor]]),0,1)</f>
        <v>1</v>
      </c>
      <c r="AJ281" s="316">
        <f>IF(ISBLANK(Table2[[#This Row],[Instructor 2]]),0,1)</f>
        <v>0</v>
      </c>
      <c r="AK281" s="316">
        <f>Table2[[#This Row],[Course Length (Hours)]]/(SUM(Table2[[#This Row],[1]:[2]]))</f>
        <v>24</v>
      </c>
      <c r="AL281" s="638">
        <v>25</v>
      </c>
      <c r="AM281" s="433">
        <v>2</v>
      </c>
      <c r="AN281" s="363" t="str">
        <f>VLOOKUP(Table2[[#This Row],[Course Title]],'TSD-Data'!$A$1:$G$80,7,FALSE)</f>
        <v>N4</v>
      </c>
    </row>
    <row r="282" spans="2:40" s="428" customFormat="1" x14ac:dyDescent="0.25">
      <c r="B282" s="315"/>
      <c r="C282" s="315" t="s">
        <v>125</v>
      </c>
      <c r="D282" s="316" t="str">
        <f>VLOOKUP(Table2[[#This Row],[Course Title]],'TSD-Data'!$A$1:$E$80,2,FALSE)</f>
        <v>A-493-2017</v>
      </c>
      <c r="E282" s="316" t="str">
        <f>VLOOKUP(Table2[[#This Row],[Course Title]],'TSD-Data'!$A$1:$E$80,3,FALSE)</f>
        <v>12x3</v>
      </c>
      <c r="F282" s="364" t="s">
        <v>171</v>
      </c>
      <c r="G282" s="344">
        <v>46097</v>
      </c>
      <c r="H282" s="344">
        <v>46101</v>
      </c>
      <c r="I282" s="341" t="s">
        <v>163</v>
      </c>
      <c r="J282" s="318">
        <v>0.33333333333333331</v>
      </c>
      <c r="K282" s="318"/>
      <c r="L282" s="317"/>
      <c r="M282" s="317"/>
      <c r="N282" s="317"/>
      <c r="O282" s="317"/>
      <c r="P282" s="317"/>
      <c r="Q282" s="321" t="s">
        <v>168</v>
      </c>
      <c r="R282" s="321"/>
      <c r="S282" s="321"/>
      <c r="T282" s="316">
        <f>VLOOKUP(Table2[[#This Row],[Course Title]],'TSD-Data'!$A$1:$E$80,4,FALSE)</f>
        <v>25</v>
      </c>
      <c r="U282" s="316">
        <f>VLOOKUP(Table2[[#This Row],[Course Title]],'TSD-Data'!$A$1:$F$80,6,FALSE)</f>
        <v>40</v>
      </c>
      <c r="V282" s="323">
        <f>VLOOKUP(Table2[[#This Row],[Course Title]],'TSD-Data'!$A$1:$F$80,5,FALSE)</f>
        <v>5</v>
      </c>
      <c r="W282" s="323">
        <v>36</v>
      </c>
      <c r="X282" s="316">
        <f>Table2[[#This Row],[Quotas]]-Table2[[#This Row],[Open Quotas]]</f>
        <v>3</v>
      </c>
      <c r="Y282" s="316"/>
      <c r="Z282" s="323"/>
      <c r="AA282" s="323"/>
      <c r="AB282" s="363"/>
      <c r="AC282" s="363"/>
      <c r="AD282" s="316"/>
      <c r="AE282" s="316"/>
      <c r="AF282" s="323">
        <f ca="1">Table2[[#This Row],[End Date]]+2-TODAY()</f>
        <v>96</v>
      </c>
      <c r="AG282" s="316">
        <f>IF(ISBLANK(Table2[[#This Row],[Roster Received by]]),1,0)</f>
        <v>1</v>
      </c>
      <c r="AH282" s="316">
        <f ca="1">IF(Table2[[#This Row],[Start Date]]&gt;TODAY(),1,)</f>
        <v>1</v>
      </c>
      <c r="AI282" s="316">
        <f>IF(ISBLANK(Table2[[#This Row],[Primary Instructor]]),0,1)</f>
        <v>1</v>
      </c>
      <c r="AJ282" s="316">
        <f>IF(ISBLANK(Table2[[#This Row],[Instructor 2]]),0,1)</f>
        <v>0</v>
      </c>
      <c r="AK282" s="316">
        <f>Table2[[#This Row],[Course Length (Hours)]]/(SUM(Table2[[#This Row],[1]:[2]]))</f>
        <v>40</v>
      </c>
      <c r="AL282" s="638">
        <v>22</v>
      </c>
      <c r="AM282" s="433">
        <v>2</v>
      </c>
      <c r="AN282" s="363" t="str">
        <f>VLOOKUP(Table2[[#This Row],[Course Title]],'TSD-Data'!$A$1:$G$80,7,FALSE)</f>
        <v>N4</v>
      </c>
    </row>
    <row r="283" spans="2:40" s="428" customFormat="1" ht="15" customHeight="1" x14ac:dyDescent="0.25">
      <c r="B283" s="315"/>
      <c r="C283" s="364" t="s">
        <v>74</v>
      </c>
      <c r="D283" s="316" t="str">
        <f>VLOOKUP(Table2[[#This Row],[Course Title]],'TSD-Data'!$A$1:$E$80,2,FALSE)</f>
        <v>A-322-2604</v>
      </c>
      <c r="E283" s="316" t="str">
        <f>VLOOKUP(Table2[[#This Row],[Course Title]],'TSD-Data'!$A$1:$E$80,3,FALSE)</f>
        <v>10ZZ</v>
      </c>
      <c r="F283" s="364" t="s">
        <v>25</v>
      </c>
      <c r="G283" s="344">
        <v>46097</v>
      </c>
      <c r="H283" s="344">
        <v>46099</v>
      </c>
      <c r="I283" s="317" t="s">
        <v>163</v>
      </c>
      <c r="J283" s="318"/>
      <c r="K283" s="332">
        <v>0.5</v>
      </c>
      <c r="L283" s="429">
        <v>0.375</v>
      </c>
      <c r="M283" s="431">
        <v>0.79166666666666663</v>
      </c>
      <c r="N283" s="431">
        <v>0.75</v>
      </c>
      <c r="O283" s="431">
        <v>0.25</v>
      </c>
      <c r="P283" s="431">
        <v>4.1666666666666664E-2</v>
      </c>
      <c r="Q283" s="321" t="s">
        <v>444</v>
      </c>
      <c r="R283" s="321"/>
      <c r="S283" s="321"/>
      <c r="T283" s="316">
        <f>VLOOKUP(Table2[[#This Row],[Course Title]],'TSD-Data'!$A$1:$E$80,4,FALSE)</f>
        <v>45</v>
      </c>
      <c r="U283" s="316">
        <f>VLOOKUP(Table2[[#This Row],[Course Title]],'TSD-Data'!$A$1:$F$80,6,FALSE)</f>
        <v>24</v>
      </c>
      <c r="V283" s="323">
        <f>VLOOKUP(Table2[[#This Row],[Course Title]],'TSD-Data'!$A$1:$F$80,5,FALSE)</f>
        <v>3</v>
      </c>
      <c r="W283" s="323">
        <v>663</v>
      </c>
      <c r="X283" s="316">
        <f>Table2[[#This Row],[Quotas]]-Table2[[#This Row],[Open Quotas]]</f>
        <v>5</v>
      </c>
      <c r="Y283" s="316">
        <v>0</v>
      </c>
      <c r="Z283" s="323"/>
      <c r="AA283" s="323"/>
      <c r="AB283" s="316"/>
      <c r="AC283" s="316"/>
      <c r="AD283" s="316"/>
      <c r="AE283" s="316"/>
      <c r="AF283" s="323">
        <f ca="1">Table2[[#This Row],[End Date]]+2-TODAY()</f>
        <v>94</v>
      </c>
      <c r="AG283" s="316">
        <f>IF(ISBLANK(Table2[[#This Row],[Roster Received by]]),1,0)</f>
        <v>1</v>
      </c>
      <c r="AH283" s="316">
        <f ca="1">IF(Table2[[#This Row],[Start Date]]&gt;TODAY(),1,)</f>
        <v>1</v>
      </c>
      <c r="AI283" s="316">
        <f>IF(ISBLANK(Table2[[#This Row],[Primary Instructor]]),0,1)</f>
        <v>1</v>
      </c>
      <c r="AJ283" s="316">
        <f>IF(ISBLANK(Table2[[#This Row],[Instructor 2]]),0,1)</f>
        <v>0</v>
      </c>
      <c r="AK283" s="316">
        <f>Table2[[#This Row],[Course Length (Hours)]]/(SUM(Table2[[#This Row],[1]:[2]]))</f>
        <v>24</v>
      </c>
      <c r="AL283" s="124">
        <v>40</v>
      </c>
      <c r="AM283" s="433">
        <v>2</v>
      </c>
      <c r="AN283" s="363" t="str">
        <f>VLOOKUP(Table2[[#This Row],[Course Title]],'TSD-Data'!$A$1:$G$80,7,FALSE)</f>
        <v>N8</v>
      </c>
    </row>
    <row r="284" spans="2:40" s="428" customFormat="1" x14ac:dyDescent="0.25">
      <c r="B284" s="315"/>
      <c r="C284" s="364" t="s">
        <v>65</v>
      </c>
      <c r="D284" s="316" t="str">
        <f>VLOOKUP(Table2[[#This Row],[Course Title]],'TSD-Data'!$A$1:$E$80,2,FALSE)</f>
        <v>A-493-0099</v>
      </c>
      <c r="E284" s="316" t="str">
        <f>VLOOKUP(Table2[[#This Row],[Course Title]],'TSD-Data'!$A$1:$E$80,3,FALSE)</f>
        <v>12JW</v>
      </c>
      <c r="F284" s="364" t="s">
        <v>25</v>
      </c>
      <c r="G284" s="344">
        <v>46098</v>
      </c>
      <c r="H284" s="344">
        <v>46100</v>
      </c>
      <c r="I284" s="317" t="s">
        <v>163</v>
      </c>
      <c r="J284" s="318"/>
      <c r="K284" s="318">
        <v>0.79166666666666663</v>
      </c>
      <c r="L284" s="431">
        <v>0.66666666666666663</v>
      </c>
      <c r="M284" s="431">
        <v>8.3333333333333329E-2</v>
      </c>
      <c r="N284" s="431">
        <v>0</v>
      </c>
      <c r="O284" s="431">
        <v>0.54166666666666663</v>
      </c>
      <c r="P284" s="431">
        <v>0.33333333333333331</v>
      </c>
      <c r="Q284" s="321" t="s">
        <v>273</v>
      </c>
      <c r="R284" s="321"/>
      <c r="S284" s="321"/>
      <c r="T284" s="316">
        <f>VLOOKUP(Table2[[#This Row],[Course Title]],'TSD-Data'!$A$1:$E$80,4,FALSE)</f>
        <v>45</v>
      </c>
      <c r="U284" s="316">
        <f>VLOOKUP(Table2[[#This Row],[Course Title]],'TSD-Data'!$A$1:$F$80,6,FALSE)</f>
        <v>24</v>
      </c>
      <c r="V284" s="323">
        <f>VLOOKUP(Table2[[#This Row],[Course Title]],'TSD-Data'!$A$1:$F$80,5,FALSE)</f>
        <v>3</v>
      </c>
      <c r="W284" s="323">
        <v>224</v>
      </c>
      <c r="X284" s="316">
        <f>Table2[[#This Row],[Quotas]]-Table2[[#This Row],[Open Quotas]]</f>
        <v>9</v>
      </c>
      <c r="Y284" s="316">
        <v>0</v>
      </c>
      <c r="Z284" s="323"/>
      <c r="AA284" s="323"/>
      <c r="AB284" s="316"/>
      <c r="AC284" s="316"/>
      <c r="AD284" s="316"/>
      <c r="AE284" s="316"/>
      <c r="AF284" s="323">
        <f ca="1">Table2[[#This Row],[End Date]]+2-TODAY()</f>
        <v>95</v>
      </c>
      <c r="AG284" s="316">
        <f>IF(ISBLANK(Table2[[#This Row],[Roster Received by]]),1,0)</f>
        <v>1</v>
      </c>
      <c r="AH284" s="316">
        <f ca="1">IF(Table2[[#This Row],[Start Date]]&gt;TODAY(),1,)</f>
        <v>1</v>
      </c>
      <c r="AI284" s="316">
        <f>IF(ISBLANK(Table2[[#This Row],[Primary Instructor]]),0,1)</f>
        <v>1</v>
      </c>
      <c r="AJ284" s="316">
        <f>IF(ISBLANK(Table2[[#This Row],[Instructor 2]]),0,1)</f>
        <v>0</v>
      </c>
      <c r="AK284" s="316">
        <f>Table2[[#This Row],[Course Length (Hours)]]/(SUM(Table2[[#This Row],[1]:[2]]))</f>
        <v>24</v>
      </c>
      <c r="AL284" s="124">
        <v>36</v>
      </c>
      <c r="AM284" s="433">
        <v>2</v>
      </c>
      <c r="AN284" s="363" t="str">
        <f>VLOOKUP(Table2[[#This Row],[Course Title]],'TSD-Data'!$A$1:$G$80,7,FALSE)</f>
        <v>N5</v>
      </c>
    </row>
    <row r="285" spans="2:40" s="428" customFormat="1" x14ac:dyDescent="0.25">
      <c r="B285" s="315"/>
      <c r="C285" s="442" t="s">
        <v>32</v>
      </c>
      <c r="D285" s="316" t="str">
        <f>VLOOKUP(Table2[[#This Row],[Course Title]],'TSD-Data'!$A$1:$E$80,2,FALSE)</f>
        <v>A-493-0015</v>
      </c>
      <c r="E285" s="316">
        <f>VLOOKUP(Table2[[#This Row],[Course Title]],'TSD-Data'!$A$1:$E$80,3,FALSE)</f>
        <v>3879</v>
      </c>
      <c r="F285" s="364" t="s">
        <v>263</v>
      </c>
      <c r="G285" s="344">
        <v>46098</v>
      </c>
      <c r="H285" s="344">
        <v>46098</v>
      </c>
      <c r="I285" s="317" t="s">
        <v>163</v>
      </c>
      <c r="J285" s="318">
        <v>0.33333333333333331</v>
      </c>
      <c r="K285" s="346"/>
      <c r="L285" s="344"/>
      <c r="M285" s="344"/>
      <c r="N285" s="344"/>
      <c r="O285" s="344"/>
      <c r="P285" s="344"/>
      <c r="Q285" s="321" t="s">
        <v>175</v>
      </c>
      <c r="R285" s="321" t="s">
        <v>445</v>
      </c>
      <c r="S285" s="321"/>
      <c r="T285" s="316">
        <f>VLOOKUP(Table2[[#This Row],[Course Title]],'TSD-Data'!$A$1:$E$80,4,FALSE)</f>
        <v>30</v>
      </c>
      <c r="U285" s="316">
        <f>VLOOKUP(Table2[[#This Row],[Course Title]],'TSD-Data'!$A$1:$F$80,6,FALSE)</f>
        <v>4</v>
      </c>
      <c r="V285" s="323">
        <f>VLOOKUP(Table2[[#This Row],[Course Title]],'TSD-Data'!$A$1:$F$80,5,FALSE)</f>
        <v>0.5</v>
      </c>
      <c r="W285" s="323">
        <v>33</v>
      </c>
      <c r="X285" s="316">
        <f>Table2[[#This Row],[Quotas]]-Table2[[#This Row],[Open Quotas]]</f>
        <v>0</v>
      </c>
      <c r="Y285" s="316">
        <v>0</v>
      </c>
      <c r="Z285" s="323"/>
      <c r="AA285" s="323"/>
      <c r="AB285" s="316"/>
      <c r="AC285" s="316"/>
      <c r="AD285" s="316"/>
      <c r="AE285" s="316"/>
      <c r="AF285" s="323">
        <f ca="1">Table2[[#This Row],[End Date]]+2-TODAY()</f>
        <v>93</v>
      </c>
      <c r="AG285" s="316">
        <f>IF(ISBLANK(Table2[[#This Row],[Roster Received by]]),1,0)</f>
        <v>1</v>
      </c>
      <c r="AH285" s="316">
        <f ca="1">IF(Table2[[#This Row],[Start Date]]&gt;TODAY(),1,)</f>
        <v>1</v>
      </c>
      <c r="AI285" s="316">
        <f>IF(ISBLANK(Table2[[#This Row],[Primary Instructor]]),0,1)</f>
        <v>1</v>
      </c>
      <c r="AJ285" s="316">
        <f>IF(ISBLANK(Table2[[#This Row],[Instructor 2]]),0,1)</f>
        <v>1</v>
      </c>
      <c r="AK285" s="316">
        <f>Table2[[#This Row],[Course Length (Hours)]]/(SUM(Table2[[#This Row],[1]:[2]]))</f>
        <v>2</v>
      </c>
      <c r="AL285" s="124">
        <v>30</v>
      </c>
      <c r="AM285" s="433">
        <v>2</v>
      </c>
      <c r="AN285" s="363" t="str">
        <f>VLOOKUP(Table2[[#This Row],[Course Title]],'TSD-Data'!$A$1:$G$80,7,FALSE)</f>
        <v>N3</v>
      </c>
    </row>
    <row r="286" spans="2:40" s="428" customFormat="1" ht="15" customHeight="1" x14ac:dyDescent="0.25">
      <c r="B286" s="315"/>
      <c r="C286" s="442" t="s">
        <v>36</v>
      </c>
      <c r="D286" s="316" t="str">
        <f>VLOOKUP(Table2[[#This Row],[Course Title]],'TSD-Data'!$A$1:$E$80,2,FALSE)</f>
        <v>A-493-0020</v>
      </c>
      <c r="E286" s="316">
        <f>VLOOKUP(Table2[[#This Row],[Course Title]],'TSD-Data'!$A$1:$E$80,3,FALSE)</f>
        <v>3888</v>
      </c>
      <c r="F286" s="364" t="s">
        <v>263</v>
      </c>
      <c r="G286" s="344">
        <v>46098</v>
      </c>
      <c r="H286" s="344">
        <v>46098</v>
      </c>
      <c r="I286" s="317" t="s">
        <v>163</v>
      </c>
      <c r="J286" s="318">
        <v>1300.5</v>
      </c>
      <c r="K286" s="345"/>
      <c r="L286" s="344"/>
      <c r="M286" s="344"/>
      <c r="N286" s="344"/>
      <c r="O286" s="344"/>
      <c r="P286" s="344"/>
      <c r="Q286" s="321" t="s">
        <v>175</v>
      </c>
      <c r="R286" s="321" t="s">
        <v>445</v>
      </c>
      <c r="S286" s="321"/>
      <c r="T286" s="316">
        <f>VLOOKUP(Table2[[#This Row],[Course Title]],'TSD-Data'!$A$1:$E$80,4,FALSE)</f>
        <v>30</v>
      </c>
      <c r="U286" s="316">
        <f>VLOOKUP(Table2[[#This Row],[Course Title]],'TSD-Data'!$A$1:$F$80,6,FALSE)</f>
        <v>4</v>
      </c>
      <c r="V286" s="323">
        <f>VLOOKUP(Table2[[#This Row],[Course Title]],'TSD-Data'!$A$1:$F$80,5,FALSE)</f>
        <v>0.5</v>
      </c>
      <c r="W286" s="323">
        <v>36</v>
      </c>
      <c r="X286" s="316">
        <f>Table2[[#This Row],[Quotas]]-Table2[[#This Row],[Open Quotas]]</f>
        <v>0</v>
      </c>
      <c r="Y286" s="316">
        <v>0</v>
      </c>
      <c r="Z286" s="323"/>
      <c r="AA286" s="323"/>
      <c r="AB286" s="316"/>
      <c r="AC286" s="316"/>
      <c r="AD286" s="316"/>
      <c r="AE286" s="316"/>
      <c r="AF286" s="323">
        <f ca="1">Table2[[#This Row],[End Date]]+2-TODAY()</f>
        <v>93</v>
      </c>
      <c r="AG286" s="316">
        <f>IF(ISBLANK(Table2[[#This Row],[Roster Received by]]),1,0)</f>
        <v>1</v>
      </c>
      <c r="AH286" s="316">
        <f ca="1">IF(Table2[[#This Row],[Start Date]]&gt;TODAY(),1,)</f>
        <v>1</v>
      </c>
      <c r="AI286" s="316">
        <f>IF(ISBLANK(Table2[[#This Row],[Primary Instructor]]),0,1)</f>
        <v>1</v>
      </c>
      <c r="AJ286" s="316">
        <f>IF(ISBLANK(Table2[[#This Row],[Instructor 2]]),0,1)</f>
        <v>1</v>
      </c>
      <c r="AK286" s="316">
        <f>Table2[[#This Row],[Course Length (Hours)]]/(SUM(Table2[[#This Row],[1]:[2]]))</f>
        <v>2</v>
      </c>
      <c r="AL286" s="124">
        <v>30</v>
      </c>
      <c r="AM286" s="433">
        <v>2</v>
      </c>
      <c r="AN286" s="363" t="str">
        <f>VLOOKUP(Table2[[#This Row],[Course Title]],'TSD-Data'!$A$1:$G$80,7,FALSE)</f>
        <v>N3</v>
      </c>
    </row>
    <row r="287" spans="2:40" s="428" customFormat="1" ht="15" customHeight="1" x14ac:dyDescent="0.25">
      <c r="B287" s="315"/>
      <c r="C287" s="94" t="s">
        <v>77</v>
      </c>
      <c r="D287" s="70" t="str">
        <f>VLOOKUP(Table2[[#This Row],[Course Title]],'TSD-Data'!$A$1:$E$80,2,FALSE)</f>
        <v>A-493-0077</v>
      </c>
      <c r="E287" s="70" t="str">
        <f>VLOOKUP(Table2[[#This Row],[Course Title]],'TSD-Data'!$A$1:$E$80,3,FALSE)</f>
        <v>0381</v>
      </c>
      <c r="F287" s="94" t="s">
        <v>254</v>
      </c>
      <c r="G287" s="72">
        <v>46098</v>
      </c>
      <c r="H287" s="72">
        <v>46100</v>
      </c>
      <c r="I287" s="341" t="s">
        <v>163</v>
      </c>
      <c r="J287" s="318">
        <v>0.33333333333333331</v>
      </c>
      <c r="K287" s="318"/>
      <c r="L287" s="344"/>
      <c r="M287" s="317"/>
      <c r="N287" s="317"/>
      <c r="O287" s="317"/>
      <c r="P287" s="317"/>
      <c r="Q287" s="321" t="s">
        <v>168</v>
      </c>
      <c r="R287" s="321"/>
      <c r="S287" s="321"/>
      <c r="T287" s="316">
        <f>VLOOKUP(Table2[[#This Row],[Course Title]],'TSD-Data'!$A$1:$E$80,4,FALSE)</f>
        <v>25</v>
      </c>
      <c r="U287" s="316">
        <f>VLOOKUP(Table2[[#This Row],[Course Title]],'TSD-Data'!$A$1:$F$80,6,FALSE)</f>
        <v>24</v>
      </c>
      <c r="V287" s="323">
        <f>VLOOKUP(Table2[[#This Row],[Course Title]],'TSD-Data'!$A$1:$F$80,5,FALSE)</f>
        <v>3</v>
      </c>
      <c r="W287" s="323">
        <v>49</v>
      </c>
      <c r="X287" s="316">
        <f>Table2[[#This Row],[Quotas]]-Table2[[#This Row],[Open Quotas]]</f>
        <v>0</v>
      </c>
      <c r="Y287" s="316"/>
      <c r="Z287" s="323"/>
      <c r="AA287" s="323"/>
      <c r="AB287" s="363"/>
      <c r="AC287" s="363"/>
      <c r="AD287" s="316"/>
      <c r="AE287" s="316"/>
      <c r="AF287" s="323">
        <f ca="1">Table2[[#This Row],[End Date]]+2-TODAY()</f>
        <v>95</v>
      </c>
      <c r="AG287" s="316">
        <f>IF(ISBLANK(Table2[[#This Row],[Roster Received by]]),1,0)</f>
        <v>1</v>
      </c>
      <c r="AH287" s="316">
        <f ca="1">IF(Table2[[#This Row],[Start Date]]&gt;TODAY(),1,)</f>
        <v>1</v>
      </c>
      <c r="AI287" s="316">
        <f>IF(ISBLANK(Table2[[#This Row],[Primary Instructor]]),0,1)</f>
        <v>1</v>
      </c>
      <c r="AJ287" s="316">
        <f>IF(ISBLANK(Table2[[#This Row],[Instructor 2]]),0,1)</f>
        <v>0</v>
      </c>
      <c r="AK287" s="316">
        <f>Table2[[#This Row],[Course Length (Hours)]]/(SUM(Table2[[#This Row],[1]:[2]]))</f>
        <v>24</v>
      </c>
      <c r="AL287" s="638">
        <v>25</v>
      </c>
      <c r="AM287" s="433">
        <v>2</v>
      </c>
      <c r="AN287" s="363" t="str">
        <f>VLOOKUP(Table2[[#This Row],[Course Title]],'TSD-Data'!$A$1:$G$80,7,FALSE)</f>
        <v>N4</v>
      </c>
    </row>
    <row r="288" spans="2:40" s="428" customFormat="1" ht="15" customHeight="1" x14ac:dyDescent="0.25">
      <c r="B288" s="315"/>
      <c r="C288" s="364" t="s">
        <v>58</v>
      </c>
      <c r="D288" s="316" t="str">
        <f>VLOOKUP(Table2[[#This Row],[Course Title]],'TSD-Data'!$A$1:$E$80,2,FALSE)</f>
        <v>A-760-2166</v>
      </c>
      <c r="E288" s="316" t="str">
        <f>VLOOKUP(Table2[[#This Row],[Course Title]],'TSD-Data'!$A$1:$E$80,3,FALSE)</f>
        <v>438J</v>
      </c>
      <c r="F288" s="364" t="s">
        <v>263</v>
      </c>
      <c r="G288" s="344">
        <v>46099</v>
      </c>
      <c r="H288" s="344">
        <v>46100</v>
      </c>
      <c r="I288" s="317" t="s">
        <v>163</v>
      </c>
      <c r="J288" s="318">
        <v>0.33333333333333331</v>
      </c>
      <c r="K288" s="318"/>
      <c r="L288" s="344"/>
      <c r="M288" s="344"/>
      <c r="N288" s="344"/>
      <c r="O288" s="344"/>
      <c r="P288" s="344"/>
      <c r="Q288" s="321" t="s">
        <v>175</v>
      </c>
      <c r="R288" s="321" t="s">
        <v>445</v>
      </c>
      <c r="S288" s="321"/>
      <c r="T288" s="316">
        <f>VLOOKUP(Table2[[#This Row],[Course Title]],'TSD-Data'!$A$1:$E$80,4,FALSE)</f>
        <v>25</v>
      </c>
      <c r="U288" s="316">
        <f>VLOOKUP(Table2[[#This Row],[Course Title]],'TSD-Data'!$A$1:$F$80,6,FALSE)</f>
        <v>16</v>
      </c>
      <c r="V288" s="323">
        <f>VLOOKUP(Table2[[#This Row],[Course Title]],'TSD-Data'!$A$1:$F$80,5,FALSE)</f>
        <v>2</v>
      </c>
      <c r="W288" s="323">
        <v>12</v>
      </c>
      <c r="X288" s="316">
        <f>Table2[[#This Row],[Quotas]]-Table2[[#This Row],[Open Quotas]]</f>
        <v>0</v>
      </c>
      <c r="Y288" s="316">
        <v>0</v>
      </c>
      <c r="Z288" s="323"/>
      <c r="AA288" s="323"/>
      <c r="AB288" s="316"/>
      <c r="AC288" s="316"/>
      <c r="AD288" s="316"/>
      <c r="AE288" s="316"/>
      <c r="AF288" s="323">
        <f ca="1">Table2[[#This Row],[End Date]]+2-TODAY()</f>
        <v>95</v>
      </c>
      <c r="AG288" s="316">
        <f>IF(ISBLANK(Table2[[#This Row],[Roster Received by]]),1,0)</f>
        <v>1</v>
      </c>
      <c r="AH288" s="316">
        <f ca="1">IF(Table2[[#This Row],[Start Date]]&gt;TODAY(),1,)</f>
        <v>1</v>
      </c>
      <c r="AI288" s="316">
        <f>IF(ISBLANK(Table2[[#This Row],[Primary Instructor]]),0,1)</f>
        <v>1</v>
      </c>
      <c r="AJ288" s="316">
        <f>IF(ISBLANK(Table2[[#This Row],[Instructor 2]]),0,1)</f>
        <v>1</v>
      </c>
      <c r="AK288" s="316">
        <f>Table2[[#This Row],[Course Length (Hours)]]/(SUM(Table2[[#This Row],[1]:[2]]))</f>
        <v>8</v>
      </c>
      <c r="AL288" s="124">
        <v>25</v>
      </c>
      <c r="AM288" s="433">
        <v>2</v>
      </c>
      <c r="AN288" s="363" t="str">
        <f>VLOOKUP(Table2[[#This Row],[Course Title]],'TSD-Data'!$A$1:$G$80,7,FALSE)</f>
        <v>N3</v>
      </c>
    </row>
    <row r="289" spans="2:40" s="428" customFormat="1" ht="15" customHeight="1" x14ac:dyDescent="0.25">
      <c r="B289" s="315"/>
      <c r="C289" s="94" t="s">
        <v>80</v>
      </c>
      <c r="D289" s="70" t="str">
        <f>VLOOKUP(Table2[[#This Row],[Course Title]],'TSD-Data'!$A$1:$E$80,2,FALSE)</f>
        <v>A-493-0083</v>
      </c>
      <c r="E289" s="70" t="str">
        <f>VLOOKUP(Table2[[#This Row],[Course Title]],'TSD-Data'!$A$1:$E$80,3,FALSE)</f>
        <v>339E</v>
      </c>
      <c r="F289" s="94" t="s">
        <v>295</v>
      </c>
      <c r="G289" s="72">
        <v>46100</v>
      </c>
      <c r="H289" s="72">
        <v>46100</v>
      </c>
      <c r="I289" s="341" t="s">
        <v>163</v>
      </c>
      <c r="J289" s="318">
        <v>0.33333333333333331</v>
      </c>
      <c r="K289" s="318"/>
      <c r="L289" s="317"/>
      <c r="M289" s="317"/>
      <c r="N289" s="317"/>
      <c r="O289" s="317"/>
      <c r="P289" s="317"/>
      <c r="Q289" s="321" t="s">
        <v>168</v>
      </c>
      <c r="R289" s="321"/>
      <c r="S289" s="321"/>
      <c r="T289" s="316">
        <f>VLOOKUP(Table2[[#This Row],[Course Title]],'TSD-Data'!$A$1:$E$80,4,FALSE)</f>
        <v>30</v>
      </c>
      <c r="U289" s="316">
        <f>VLOOKUP(Table2[[#This Row],[Course Title]],'TSD-Data'!$A$1:$F$80,6,FALSE)</f>
        <v>8</v>
      </c>
      <c r="V289" s="323">
        <f>VLOOKUP(Table2[[#This Row],[Course Title]],'TSD-Data'!$A$1:$F$80,5,FALSE)</f>
        <v>1</v>
      </c>
      <c r="W289" s="323">
        <v>30</v>
      </c>
      <c r="X289" s="316">
        <f>Table2[[#This Row],[Quotas]]-Table2[[#This Row],[Open Quotas]]</f>
        <v>0</v>
      </c>
      <c r="Y289" s="316"/>
      <c r="Z289" s="323"/>
      <c r="AA289" s="323"/>
      <c r="AB289" s="363"/>
      <c r="AC289" s="363"/>
      <c r="AD289" s="316"/>
      <c r="AE289" s="316"/>
      <c r="AF289" s="323">
        <f ca="1">Table2[[#This Row],[End Date]]+2-TODAY()</f>
        <v>95</v>
      </c>
      <c r="AG289" s="316">
        <f>IF(ISBLANK(Table2[[#This Row],[Roster Received by]]),1,0)</f>
        <v>1</v>
      </c>
      <c r="AH289" s="316">
        <f ca="1">IF(Table2[[#This Row],[Start Date]]&gt;TODAY(),1,)</f>
        <v>1</v>
      </c>
      <c r="AI289" s="316">
        <f>IF(ISBLANK(Table2[[#This Row],[Primary Instructor]]),0,1)</f>
        <v>1</v>
      </c>
      <c r="AJ289" s="316">
        <f>IF(ISBLANK(Table2[[#This Row],[Instructor 2]]),0,1)</f>
        <v>0</v>
      </c>
      <c r="AK289" s="316">
        <f>Table2[[#This Row],[Course Length (Hours)]]/(SUM(Table2[[#This Row],[1]:[2]]))</f>
        <v>8</v>
      </c>
      <c r="AL289" s="638">
        <v>30</v>
      </c>
      <c r="AM289" s="433">
        <v>2</v>
      </c>
      <c r="AN289" s="363" t="str">
        <f>VLOOKUP(Table2[[#This Row],[Course Title]],'TSD-Data'!$A$1:$G$80,7,FALSE)</f>
        <v>N4</v>
      </c>
    </row>
    <row r="290" spans="2:40" s="428" customFormat="1" ht="15" customHeight="1" x14ac:dyDescent="0.25">
      <c r="B290" s="315"/>
      <c r="C290" s="94" t="s">
        <v>80</v>
      </c>
      <c r="D290" s="70" t="str">
        <f>VLOOKUP(Table2[[#This Row],[Course Title]],'TSD-Data'!$A$1:$E$80,2,FALSE)</f>
        <v>A-493-0083</v>
      </c>
      <c r="E290" s="70" t="str">
        <f>VLOOKUP(Table2[[#This Row],[Course Title]],'TSD-Data'!$A$1:$E$80,3,FALSE)</f>
        <v>339E</v>
      </c>
      <c r="F290" s="94" t="s">
        <v>254</v>
      </c>
      <c r="G290" s="72">
        <v>46101</v>
      </c>
      <c r="H290" s="72">
        <v>46101</v>
      </c>
      <c r="I290" s="341" t="s">
        <v>163</v>
      </c>
      <c r="J290" s="318">
        <v>0.33333333333333331</v>
      </c>
      <c r="K290" s="318"/>
      <c r="L290" s="344"/>
      <c r="M290" s="344"/>
      <c r="N290" s="344"/>
      <c r="O290" s="344"/>
      <c r="P290" s="344"/>
      <c r="Q290" s="321" t="s">
        <v>168</v>
      </c>
      <c r="R290" s="321"/>
      <c r="S290" s="321"/>
      <c r="T290" s="316">
        <f>VLOOKUP(Table2[[#This Row],[Course Title]],'TSD-Data'!$A$1:$E$80,4,FALSE)</f>
        <v>30</v>
      </c>
      <c r="U290" s="316">
        <f>VLOOKUP(Table2[[#This Row],[Course Title]],'TSD-Data'!$A$1:$F$80,6,FALSE)</f>
        <v>8</v>
      </c>
      <c r="V290" s="323">
        <f>VLOOKUP(Table2[[#This Row],[Course Title]],'TSD-Data'!$A$1:$F$80,5,FALSE)</f>
        <v>1</v>
      </c>
      <c r="W290" s="323">
        <v>30</v>
      </c>
      <c r="X290" s="316">
        <f>Table2[[#This Row],[Quotas]]-Table2[[#This Row],[Open Quotas]]</f>
        <v>0</v>
      </c>
      <c r="Y290" s="316"/>
      <c r="Z290" s="323"/>
      <c r="AA290" s="323"/>
      <c r="AB290" s="363"/>
      <c r="AC290" s="363"/>
      <c r="AD290" s="316"/>
      <c r="AE290" s="316"/>
      <c r="AF290" s="323">
        <f ca="1">Table2[[#This Row],[End Date]]+2-TODAY()</f>
        <v>96</v>
      </c>
      <c r="AG290" s="316">
        <f>IF(ISBLANK(Table2[[#This Row],[Roster Received by]]),1,0)</f>
        <v>1</v>
      </c>
      <c r="AH290" s="316">
        <f ca="1">IF(Table2[[#This Row],[Start Date]]&gt;TODAY(),1,)</f>
        <v>1</v>
      </c>
      <c r="AI290" s="316">
        <f>IF(ISBLANK(Table2[[#This Row],[Primary Instructor]]),0,1)</f>
        <v>1</v>
      </c>
      <c r="AJ290" s="316">
        <f>IF(ISBLANK(Table2[[#This Row],[Instructor 2]]),0,1)</f>
        <v>0</v>
      </c>
      <c r="AK290" s="316">
        <f>Table2[[#This Row],[Course Length (Hours)]]/(SUM(Table2[[#This Row],[1]:[2]]))</f>
        <v>8</v>
      </c>
      <c r="AL290" s="638">
        <v>30</v>
      </c>
      <c r="AM290" s="433">
        <v>2</v>
      </c>
      <c r="AN290" s="363" t="str">
        <f>VLOOKUP(Table2[[#This Row],[Course Title]],'TSD-Data'!$A$1:$G$80,7,FALSE)</f>
        <v>N4</v>
      </c>
    </row>
    <row r="291" spans="2:40" s="428" customFormat="1" x14ac:dyDescent="0.25">
      <c r="B291" s="315"/>
      <c r="C291" s="364" t="s">
        <v>395</v>
      </c>
      <c r="D291" s="363" t="str">
        <f>VLOOKUP(Table2[[#This Row],[Course Title]],'TSD-Data'!$A$1:$E$80,2,FALSE)</f>
        <v>A-493-3002</v>
      </c>
      <c r="E291" s="363" t="str">
        <f>VLOOKUP(Table2[[#This Row],[Course Title]],'TSD-Data'!$A$1:$E$80,3,FALSE)</f>
        <v>31V4</v>
      </c>
      <c r="F291" s="364" t="s">
        <v>25</v>
      </c>
      <c r="G291" s="344">
        <v>46103</v>
      </c>
      <c r="H291" s="344">
        <v>46103</v>
      </c>
      <c r="I291" s="317" t="s">
        <v>163</v>
      </c>
      <c r="J291" s="318"/>
      <c r="K291" s="318">
        <v>0.79166666666666663</v>
      </c>
      <c r="L291" s="345">
        <v>0.66666666666666663</v>
      </c>
      <c r="M291" s="318">
        <v>8.3333333333333329E-2</v>
      </c>
      <c r="N291" s="318">
        <v>6.9444444444444447E-4</v>
      </c>
      <c r="O291" s="318">
        <v>0.58333333333333337</v>
      </c>
      <c r="P291" s="318">
        <v>0.33333333333333331</v>
      </c>
      <c r="Q291" s="321" t="s">
        <v>439</v>
      </c>
      <c r="R291" s="321"/>
      <c r="S291" s="321"/>
      <c r="T291" s="363">
        <f>VLOOKUP(Table2[[#This Row],[Course Title]],'TSD-Data'!$A$1:$E$80,4,FALSE)</f>
        <v>1000</v>
      </c>
      <c r="U291" s="363">
        <f>VLOOKUP(Table2[[#This Row],[Course Title]],'TSD-Data'!$A$1:$F$80,6,FALSE)</f>
        <v>4</v>
      </c>
      <c r="V291" s="323">
        <f>VLOOKUP(Table2[[#This Row],[Course Title]],'TSD-Data'!$A$1:$F$80,5,FALSE)</f>
        <v>0.5</v>
      </c>
      <c r="W291" s="323"/>
      <c r="X291" s="316">
        <f>Table2[[#This Row],[Quotas]]-Table2[[#This Row],[Open Quotas]]</f>
        <v>1</v>
      </c>
      <c r="Y291" s="316">
        <v>0</v>
      </c>
      <c r="Z291" s="323"/>
      <c r="AA291" s="323"/>
      <c r="AB291" s="363"/>
      <c r="AC291" s="363"/>
      <c r="AD291" s="316"/>
      <c r="AE291" s="316"/>
      <c r="AF291" s="323">
        <f ca="1">Table2[[#This Row],[End Date]]+2-TODAY()</f>
        <v>98</v>
      </c>
      <c r="AG291" s="363">
        <f>IF(ISBLANK(Table2[[#This Row],[Roster Received by]]),1,0)</f>
        <v>1</v>
      </c>
      <c r="AH291" s="363">
        <f ca="1">IF(Table2[[#This Row],[Start Date]]&gt;TODAY(),1,)</f>
        <v>1</v>
      </c>
      <c r="AI291" s="363">
        <f>IF(ISBLANK(Table2[[#This Row],[Primary Instructor]]),0,1)</f>
        <v>1</v>
      </c>
      <c r="AJ291" s="363">
        <f>IF(ISBLANK(Table2[[#This Row],[Instructor 2]]),0,1)</f>
        <v>0</v>
      </c>
      <c r="AK291" s="363">
        <f>Table2[[#This Row],[Course Length (Hours)]]/(SUM(Table2[[#This Row],[1]:[2]]))</f>
        <v>4</v>
      </c>
      <c r="AL291" s="638">
        <v>999</v>
      </c>
      <c r="AM291" s="363">
        <v>2</v>
      </c>
      <c r="AN291" s="363" t="str">
        <f>VLOOKUP(Table2[[#This Row],[Course Title]],'TSD-Data'!$A$1:$G$80,7,FALSE)</f>
        <v>N8</v>
      </c>
    </row>
    <row r="292" spans="2:40" s="428" customFormat="1" x14ac:dyDescent="0.25">
      <c r="B292" s="315"/>
      <c r="C292" s="364" t="s">
        <v>48</v>
      </c>
      <c r="D292" s="316" t="str">
        <f>VLOOKUP(Table2[[#This Row],[Course Title]],'TSD-Data'!$A$1:$E$80,2,FALSE)</f>
        <v>A-493-0103</v>
      </c>
      <c r="E292" s="316" t="str">
        <f>VLOOKUP(Table2[[#This Row],[Course Title]],'TSD-Data'!$A$1:$E$80,3,FALSE)</f>
        <v>12JY</v>
      </c>
      <c r="F292" s="315" t="s">
        <v>264</v>
      </c>
      <c r="G292" s="344">
        <v>46104</v>
      </c>
      <c r="H292" s="344">
        <v>46107</v>
      </c>
      <c r="I292" s="317" t="s">
        <v>163</v>
      </c>
      <c r="J292" s="318">
        <v>0.33333333333333331</v>
      </c>
      <c r="K292" s="318"/>
      <c r="L292" s="344"/>
      <c r="M292" s="317"/>
      <c r="N292" s="317"/>
      <c r="O292" s="317"/>
      <c r="P292" s="317"/>
      <c r="Q292" s="321" t="s">
        <v>275</v>
      </c>
      <c r="R292" s="321"/>
      <c r="S292" s="321"/>
      <c r="T292" s="316">
        <f>VLOOKUP(Table2[[#This Row],[Course Title]],'TSD-Data'!$A$1:$E$80,4,FALSE)</f>
        <v>25</v>
      </c>
      <c r="U292" s="316">
        <f>VLOOKUP(Table2[[#This Row],[Course Title]],'TSD-Data'!$A$1:$F$80,6,FALSE)</f>
        <v>40</v>
      </c>
      <c r="V292" s="323">
        <f>VLOOKUP(Table2[[#This Row],[Course Title]],'TSD-Data'!$A$1:$F$80,5,FALSE)</f>
        <v>5</v>
      </c>
      <c r="W292" s="323">
        <v>516</v>
      </c>
      <c r="X292" s="316">
        <f>Table2[[#This Row],[Quotas]]-Table2[[#This Row],[Open Quotas]]</f>
        <v>9</v>
      </c>
      <c r="Y292" s="316">
        <v>0</v>
      </c>
      <c r="Z292" s="323"/>
      <c r="AA292" s="323"/>
      <c r="AB292" s="316"/>
      <c r="AC292" s="316"/>
      <c r="AD292" s="316"/>
      <c r="AE292" s="316"/>
      <c r="AF292" s="323">
        <f ca="1">Table2[[#This Row],[End Date]]+2-TODAY()</f>
        <v>102</v>
      </c>
      <c r="AG292" s="316">
        <f>IF(ISBLANK(Table2[[#This Row],[Roster Received by]]),1,0)</f>
        <v>1</v>
      </c>
      <c r="AH292" s="316">
        <f ca="1">IF(Table2[[#This Row],[Start Date]]&gt;TODAY(),1,)</f>
        <v>1</v>
      </c>
      <c r="AI292" s="316">
        <f>IF(ISBLANK(Table2[[#This Row],[Primary Instructor]]),0,1)</f>
        <v>1</v>
      </c>
      <c r="AJ292" s="316">
        <f>IF(ISBLANK(Table2[[#This Row],[Instructor 2]]),0,1)</f>
        <v>0</v>
      </c>
      <c r="AK292" s="316">
        <f>Table2[[#This Row],[Course Length (Hours)]]/(SUM(Table2[[#This Row],[1]:[2]]))</f>
        <v>40</v>
      </c>
      <c r="AL292" s="124">
        <v>16</v>
      </c>
      <c r="AM292" s="433">
        <v>2</v>
      </c>
      <c r="AN292" s="363" t="str">
        <f>VLOOKUP(Table2[[#This Row],[Course Title]],'TSD-Data'!$A$1:$G$80,7,FALSE)</f>
        <v>N5</v>
      </c>
    </row>
    <row r="293" spans="2:40" s="428" customFormat="1" ht="15" customHeight="1" x14ac:dyDescent="0.25">
      <c r="B293" s="655" t="s">
        <v>465</v>
      </c>
      <c r="C293" s="3" t="s">
        <v>61</v>
      </c>
      <c r="D293" s="70" t="str">
        <f>VLOOKUP(Table2[[#This Row],[Course Title]],'TSD-Data'!$A$1:$E$80,2,FALSE)</f>
        <v>A-493-0012</v>
      </c>
      <c r="E293" s="70">
        <f>VLOOKUP(Table2[[#This Row],[Course Title]],'TSD-Data'!$A$1:$E$80,3,FALSE)</f>
        <v>3682</v>
      </c>
      <c r="F293" s="3" t="s">
        <v>287</v>
      </c>
      <c r="G293" s="72">
        <v>46104</v>
      </c>
      <c r="H293" s="72">
        <v>46108</v>
      </c>
      <c r="I293" s="341" t="s">
        <v>163</v>
      </c>
      <c r="J293" s="318">
        <v>0.33333333333333331</v>
      </c>
      <c r="K293" s="345"/>
      <c r="L293" s="344"/>
      <c r="M293" s="344"/>
      <c r="N293" s="344"/>
      <c r="O293" s="344"/>
      <c r="P293" s="344"/>
      <c r="Q293" s="321" t="s">
        <v>453</v>
      </c>
      <c r="R293" s="321"/>
      <c r="S293" s="321"/>
      <c r="T293" s="316">
        <f>VLOOKUP(Table2[[#This Row],[Course Title]],'TSD-Data'!$A$1:$E$80,4,FALSE)</f>
        <v>40</v>
      </c>
      <c r="U293" s="316">
        <f>VLOOKUP(Table2[[#This Row],[Course Title]],'TSD-Data'!$A$1:$F$80,6,FALSE)</f>
        <v>40</v>
      </c>
      <c r="V293" s="323">
        <f>VLOOKUP(Table2[[#This Row],[Course Title]],'TSD-Data'!$A$1:$F$80,5,FALSE)</f>
        <v>5</v>
      </c>
      <c r="W293" s="316">
        <v>30</v>
      </c>
      <c r="X293" s="316">
        <f>Table2[[#This Row],[Quotas]]-Table2[[#This Row],[Open Quotas]]</f>
        <v>0</v>
      </c>
      <c r="Y293" s="316"/>
      <c r="Z293" s="323"/>
      <c r="AA293" s="323"/>
      <c r="AB293" s="316"/>
      <c r="AC293" s="316"/>
      <c r="AD293" s="316"/>
      <c r="AE293" s="316"/>
      <c r="AF293" s="323">
        <f ca="1">Table2[[#This Row],[End Date]]+2-TODAY()</f>
        <v>103</v>
      </c>
      <c r="AG293" s="316">
        <f>IF(ISBLANK(Table2[[#This Row],[Roster Received by]]),1,0)</f>
        <v>1</v>
      </c>
      <c r="AH293" s="316">
        <f ca="1">IF(Table2[[#This Row],[Start Date]]&gt;TODAY(),1,)</f>
        <v>1</v>
      </c>
      <c r="AI293" s="316">
        <f>IF(ISBLANK(Table2[[#This Row],[Primary Instructor]]),0,1)</f>
        <v>1</v>
      </c>
      <c r="AJ293" s="316">
        <f>IF(ISBLANK(Table2[[#This Row],[Instructor 2]]),0,1)</f>
        <v>0</v>
      </c>
      <c r="AK293" s="316">
        <f>Table2[[#This Row],[Course Length (Hours)]]/(SUM(Table2[[#This Row],[1]:[2]]))</f>
        <v>40</v>
      </c>
      <c r="AL293" s="124">
        <v>40</v>
      </c>
      <c r="AM293" s="433">
        <v>2</v>
      </c>
      <c r="AN293" s="363" t="str">
        <f>VLOOKUP(Table2[[#This Row],[Course Title]],'TSD-Data'!$A$1:$G$80,7,FALSE)</f>
        <v>N4</v>
      </c>
    </row>
    <row r="294" spans="2:40" s="428" customFormat="1" ht="15" customHeight="1" x14ac:dyDescent="0.25">
      <c r="B294" s="315"/>
      <c r="C294" s="446" t="s">
        <v>71</v>
      </c>
      <c r="D294" s="422" t="str">
        <f>VLOOKUP(Table2[[#This Row],[Course Title]],'TSD-Data'!$A$1:$E$80,2,FALSE)</f>
        <v>A-493-0061</v>
      </c>
      <c r="E294" s="422" t="str">
        <f>VLOOKUP(Table2[[#This Row],[Course Title]],'TSD-Data'!$A$1:$E$80,3,FALSE)</f>
        <v>288E</v>
      </c>
      <c r="F294" s="446" t="s">
        <v>25</v>
      </c>
      <c r="G294" s="330">
        <v>46104</v>
      </c>
      <c r="H294" s="330">
        <v>46107</v>
      </c>
      <c r="I294" s="317" t="s">
        <v>163</v>
      </c>
      <c r="J294" s="318"/>
      <c r="K294" s="345">
        <v>0.33333333333333331</v>
      </c>
      <c r="L294" s="345">
        <v>0.20833333333333334</v>
      </c>
      <c r="M294" s="318">
        <v>0.625</v>
      </c>
      <c r="N294" s="318">
        <v>0.54166666666666663</v>
      </c>
      <c r="O294" s="318">
        <v>8.3333333333333329E-2</v>
      </c>
      <c r="P294" s="318">
        <v>0.875</v>
      </c>
      <c r="Q294" s="321" t="s">
        <v>272</v>
      </c>
      <c r="R294" s="321"/>
      <c r="S294" s="321"/>
      <c r="T294" s="316">
        <f>VLOOKUP(Table2[[#This Row],[Course Title]],'TSD-Data'!$A$1:$E$80,4,FALSE)</f>
        <v>45</v>
      </c>
      <c r="U294" s="316">
        <f>VLOOKUP(Table2[[#This Row],[Course Title]],'TSD-Data'!$A$1:$F$80,6,FALSE)</f>
        <v>30</v>
      </c>
      <c r="V294" s="323">
        <f>VLOOKUP(Table2[[#This Row],[Course Title]],'TSD-Data'!$A$1:$F$80,5,FALSE)</f>
        <v>4</v>
      </c>
      <c r="W294" s="323">
        <v>366</v>
      </c>
      <c r="X294" s="316">
        <f>Table2[[#This Row],[Quotas]]-Table2[[#This Row],[Open Quotas]]</f>
        <v>4</v>
      </c>
      <c r="Y294" s="316">
        <v>0</v>
      </c>
      <c r="Z294" s="323"/>
      <c r="AA294" s="323"/>
      <c r="AB294" s="316"/>
      <c r="AC294" s="316"/>
      <c r="AD294" s="316"/>
      <c r="AE294" s="316"/>
      <c r="AF294" s="323">
        <f ca="1">Table2[[#This Row],[End Date]]+2-TODAY()</f>
        <v>102</v>
      </c>
      <c r="AG294" s="316">
        <f>IF(ISBLANK(Table2[[#This Row],[Roster Received by]]),1,0)</f>
        <v>1</v>
      </c>
      <c r="AH294" s="316">
        <f ca="1">IF(Table2[[#This Row],[Start Date]]&gt;TODAY(),1,)</f>
        <v>1</v>
      </c>
      <c r="AI294" s="316">
        <f>IF(ISBLANK(Table2[[#This Row],[Primary Instructor]]),0,1)</f>
        <v>1</v>
      </c>
      <c r="AJ294" s="316">
        <f>IF(ISBLANK(Table2[[#This Row],[Instructor 2]]),0,1)</f>
        <v>0</v>
      </c>
      <c r="AK294" s="316">
        <f>Table2[[#This Row],[Course Length (Hours)]]/(SUM(Table2[[#This Row],[1]:[2]]))</f>
        <v>30</v>
      </c>
      <c r="AL294" s="124">
        <v>41</v>
      </c>
      <c r="AM294" s="433">
        <v>2</v>
      </c>
      <c r="AN294" s="363" t="str">
        <f>VLOOKUP(Table2[[#This Row],[Course Title]],'TSD-Data'!$A$1:$G$80,7,FALSE)</f>
        <v>N5</v>
      </c>
    </row>
    <row r="295" spans="2:40" s="428" customFormat="1" x14ac:dyDescent="0.25">
      <c r="B295" s="315"/>
      <c r="C295" s="94" t="s">
        <v>77</v>
      </c>
      <c r="D295" s="70" t="str">
        <f>VLOOKUP(Table2[[#This Row],[Course Title]],'TSD-Data'!$A$1:$E$80,2,FALSE)</f>
        <v>A-493-0077</v>
      </c>
      <c r="E295" s="70" t="str">
        <f>VLOOKUP(Table2[[#This Row],[Course Title]],'TSD-Data'!$A$1:$E$80,3,FALSE)</f>
        <v>0381</v>
      </c>
      <c r="F295" s="94" t="s">
        <v>258</v>
      </c>
      <c r="G295" s="72">
        <v>46104</v>
      </c>
      <c r="H295" s="72">
        <v>46106</v>
      </c>
      <c r="I295" s="341" t="s">
        <v>163</v>
      </c>
      <c r="J295" s="318">
        <v>0.33333333333333331</v>
      </c>
      <c r="K295" s="318"/>
      <c r="L295" s="344"/>
      <c r="M295" s="317"/>
      <c r="N295" s="317"/>
      <c r="O295" s="317"/>
      <c r="P295" s="317"/>
      <c r="Q295" s="321" t="s">
        <v>168</v>
      </c>
      <c r="R295" s="321"/>
      <c r="S295" s="321"/>
      <c r="T295" s="316">
        <f>VLOOKUP(Table2[[#This Row],[Course Title]],'TSD-Data'!$A$1:$E$80,4,FALSE)</f>
        <v>25</v>
      </c>
      <c r="U295" s="316">
        <f>VLOOKUP(Table2[[#This Row],[Course Title]],'TSD-Data'!$A$1:$F$80,6,FALSE)</f>
        <v>24</v>
      </c>
      <c r="V295" s="323">
        <f>VLOOKUP(Table2[[#This Row],[Course Title]],'TSD-Data'!$A$1:$F$80,5,FALSE)</f>
        <v>3</v>
      </c>
      <c r="W295" s="323">
        <v>17</v>
      </c>
      <c r="X295" s="316">
        <f>Table2[[#This Row],[Quotas]]-Table2[[#This Row],[Open Quotas]]</f>
        <v>1</v>
      </c>
      <c r="Y295" s="316"/>
      <c r="Z295" s="323"/>
      <c r="AA295" s="323"/>
      <c r="AB295" s="363"/>
      <c r="AC295" s="363"/>
      <c r="AD295" s="316"/>
      <c r="AE295" s="316"/>
      <c r="AF295" s="323">
        <f ca="1">Table2[[#This Row],[End Date]]+2-TODAY()</f>
        <v>101</v>
      </c>
      <c r="AG295" s="316">
        <f>IF(ISBLANK(Table2[[#This Row],[Roster Received by]]),1,0)</f>
        <v>1</v>
      </c>
      <c r="AH295" s="316">
        <f ca="1">IF(Table2[[#This Row],[Start Date]]&gt;TODAY(),1,)</f>
        <v>1</v>
      </c>
      <c r="AI295" s="316">
        <f>IF(ISBLANK(Table2[[#This Row],[Primary Instructor]]),0,1)</f>
        <v>1</v>
      </c>
      <c r="AJ295" s="316">
        <f>IF(ISBLANK(Table2[[#This Row],[Instructor 2]]),0,1)</f>
        <v>0</v>
      </c>
      <c r="AK295" s="316">
        <f>Table2[[#This Row],[Course Length (Hours)]]/(SUM(Table2[[#This Row],[1]:[2]]))</f>
        <v>24</v>
      </c>
      <c r="AL295" s="638">
        <v>24</v>
      </c>
      <c r="AM295" s="433">
        <v>2</v>
      </c>
      <c r="AN295" s="363" t="str">
        <f>VLOOKUP(Table2[[#This Row],[Course Title]],'TSD-Data'!$A$1:$G$80,7,FALSE)</f>
        <v>N4</v>
      </c>
    </row>
    <row r="296" spans="2:40" s="428" customFormat="1" x14ac:dyDescent="0.25">
      <c r="B296" s="315"/>
      <c r="C296" s="703" t="s">
        <v>77</v>
      </c>
      <c r="D296" s="710" t="str">
        <f>VLOOKUP(Table2[[#This Row],[Course Title]],'TSD-Data'!$A$1:$E$80,2,FALSE)</f>
        <v>A-493-0077</v>
      </c>
      <c r="E296" s="710" t="str">
        <f>VLOOKUP(Table2[[#This Row],[Course Title]],'TSD-Data'!$A$1:$E$80,3,FALSE)</f>
        <v>0381</v>
      </c>
      <c r="F296" s="703" t="s">
        <v>259</v>
      </c>
      <c r="G296" s="704">
        <v>46104</v>
      </c>
      <c r="H296" s="704">
        <v>46106</v>
      </c>
      <c r="I296" s="341" t="s">
        <v>163</v>
      </c>
      <c r="J296" s="318">
        <v>0.33333333333333331</v>
      </c>
      <c r="K296" s="318"/>
      <c r="L296" s="344"/>
      <c r="M296" s="317"/>
      <c r="N296" s="317"/>
      <c r="O296" s="317"/>
      <c r="P296" s="317"/>
      <c r="Q296" s="321" t="s">
        <v>168</v>
      </c>
      <c r="R296" s="321"/>
      <c r="S296" s="321"/>
      <c r="T296" s="316">
        <f>VLOOKUP(Table2[[#This Row],[Course Title]],'TSD-Data'!$A$1:$E$80,4,FALSE)</f>
        <v>25</v>
      </c>
      <c r="U296" s="316">
        <f>VLOOKUP(Table2[[#This Row],[Course Title]],'TSD-Data'!$A$1:$F$80,6,FALSE)</f>
        <v>24</v>
      </c>
      <c r="V296" s="323">
        <f>VLOOKUP(Table2[[#This Row],[Course Title]],'TSD-Data'!$A$1:$F$80,5,FALSE)</f>
        <v>3</v>
      </c>
      <c r="W296" s="323">
        <v>24</v>
      </c>
      <c r="X296" s="316">
        <f>Table2[[#This Row],[Quotas]]-Table2[[#This Row],[Open Quotas]]</f>
        <v>1</v>
      </c>
      <c r="Y296" s="316"/>
      <c r="Z296" s="323"/>
      <c r="AA296" s="323"/>
      <c r="AB296" s="363"/>
      <c r="AC296" s="363"/>
      <c r="AD296" s="316"/>
      <c r="AE296" s="316"/>
      <c r="AF296" s="323">
        <f ca="1">Table2[[#This Row],[End Date]]+2-TODAY()</f>
        <v>101</v>
      </c>
      <c r="AG296" s="316">
        <f>IF(ISBLANK(Table2[[#This Row],[Roster Received by]]),1,0)</f>
        <v>1</v>
      </c>
      <c r="AH296" s="316">
        <f ca="1">IF(Table2[[#This Row],[Start Date]]&gt;TODAY(),1,)</f>
        <v>1</v>
      </c>
      <c r="AI296" s="316">
        <f>IF(ISBLANK(Table2[[#This Row],[Primary Instructor]]),0,1)</f>
        <v>1</v>
      </c>
      <c r="AJ296" s="316">
        <f>IF(ISBLANK(Table2[[#This Row],[Instructor 2]]),0,1)</f>
        <v>0</v>
      </c>
      <c r="AK296" s="316">
        <f>Table2[[#This Row],[Course Length (Hours)]]/(SUM(Table2[[#This Row],[1]:[2]]))</f>
        <v>24</v>
      </c>
      <c r="AL296" s="638">
        <v>24</v>
      </c>
      <c r="AM296" s="433">
        <v>2</v>
      </c>
      <c r="AN296" s="363" t="str">
        <f>VLOOKUP(Table2[[#This Row],[Course Title]],'TSD-Data'!$A$1:$G$80,7,FALSE)</f>
        <v>N4</v>
      </c>
    </row>
    <row r="297" spans="2:40" s="428" customFormat="1" x14ac:dyDescent="0.25">
      <c r="B297" s="315"/>
      <c r="C297" s="315" t="s">
        <v>97</v>
      </c>
      <c r="D297" s="316" t="str">
        <f>VLOOKUP(Table2[[#This Row],[Course Title]],'TSD-Data'!$A$1:$E$80,2,FALSE)</f>
        <v>A-493-0335</v>
      </c>
      <c r="E297" s="316" t="str">
        <f>VLOOKUP(Table2[[#This Row],[Course Title]],'TSD-Data'!$A$1:$E$80,3,FALSE)</f>
        <v>09ND</v>
      </c>
      <c r="F297" s="364" t="s">
        <v>25</v>
      </c>
      <c r="G297" s="344">
        <v>46104</v>
      </c>
      <c r="H297" s="344">
        <v>46107</v>
      </c>
      <c r="I297" s="317" t="s">
        <v>163</v>
      </c>
      <c r="J297" s="318"/>
      <c r="K297" s="318">
        <v>0.5</v>
      </c>
      <c r="L297" s="429">
        <v>0.375</v>
      </c>
      <c r="M297" s="431">
        <v>0.79166666666666663</v>
      </c>
      <c r="N297" s="431">
        <v>0.75</v>
      </c>
      <c r="O297" s="431">
        <v>0.25</v>
      </c>
      <c r="P297" s="431">
        <v>4.1666666666666664E-2</v>
      </c>
      <c r="Q297" s="321" t="s">
        <v>174</v>
      </c>
      <c r="R297" s="321"/>
      <c r="S297" s="321"/>
      <c r="T297" s="316">
        <f>VLOOKUP(Table2[[#This Row],[Course Title]],'TSD-Data'!$A$1:$E$80,4,FALSE)</f>
        <v>45</v>
      </c>
      <c r="U297" s="316">
        <f>VLOOKUP(Table2[[#This Row],[Course Title]],'TSD-Data'!$A$1:$F$80,6,FALSE)</f>
        <v>32</v>
      </c>
      <c r="V297" s="323">
        <f>VLOOKUP(Table2[[#This Row],[Course Title]],'TSD-Data'!$A$1:$F$80,5,FALSE)</f>
        <v>4</v>
      </c>
      <c r="W297" s="323">
        <v>537</v>
      </c>
      <c r="X297" s="316">
        <f>Table2[[#This Row],[Quotas]]-Table2[[#This Row],[Open Quotas]]</f>
        <v>1</v>
      </c>
      <c r="Y297" s="316">
        <v>0</v>
      </c>
      <c r="Z297" s="323"/>
      <c r="AA297" s="323"/>
      <c r="AB297" s="316"/>
      <c r="AC297" s="316"/>
      <c r="AD297" s="316"/>
      <c r="AE297" s="316"/>
      <c r="AF297" s="323">
        <f ca="1">Table2[[#This Row],[End Date]]+2-TODAY()</f>
        <v>102</v>
      </c>
      <c r="AG297" s="316">
        <f>IF(ISBLANK(Table2[[#This Row],[Roster Received by]]),1,0)</f>
        <v>1</v>
      </c>
      <c r="AH297" s="316">
        <f ca="1">IF(Table2[[#This Row],[Start Date]]&gt;TODAY(),1,)</f>
        <v>1</v>
      </c>
      <c r="AI297" s="316">
        <f>IF(ISBLANK(Table2[[#This Row],[Primary Instructor]]),0,1)</f>
        <v>1</v>
      </c>
      <c r="AJ297" s="316">
        <f>IF(ISBLANK(Table2[[#This Row],[Instructor 2]]),0,1)</f>
        <v>0</v>
      </c>
      <c r="AK297" s="316">
        <f>Table2[[#This Row],[Course Length (Hours)]]/(SUM(Table2[[#This Row],[1]:[2]]))</f>
        <v>32</v>
      </c>
      <c r="AL297" s="124">
        <v>44</v>
      </c>
      <c r="AM297" s="433">
        <v>2</v>
      </c>
      <c r="AN297" s="363" t="str">
        <f>VLOOKUP(Table2[[#This Row],[Course Title]],'TSD-Data'!$A$1:$G$80,7,FALSE)</f>
        <v>N3</v>
      </c>
    </row>
    <row r="298" spans="2:40" s="428" customFormat="1" x14ac:dyDescent="0.25">
      <c r="B298" s="315"/>
      <c r="C298" s="364" t="s">
        <v>108</v>
      </c>
      <c r="D298" s="316" t="str">
        <f>VLOOKUP(Table2[[#This Row],[Course Title]],'TSD-Data'!$A$1:$E$80,2,FALSE)</f>
        <v>A-493-0085</v>
      </c>
      <c r="E298" s="316">
        <f>VLOOKUP(Table2[[#This Row],[Course Title]],'TSD-Data'!$A$1:$E$80,3,FALSE)</f>
        <v>3555</v>
      </c>
      <c r="F298" s="364" t="s">
        <v>25</v>
      </c>
      <c r="G298" s="344">
        <v>46104</v>
      </c>
      <c r="H298" s="344">
        <v>46107</v>
      </c>
      <c r="I298" s="317" t="s">
        <v>163</v>
      </c>
      <c r="J298" s="318"/>
      <c r="K298" s="345">
        <v>0.5</v>
      </c>
      <c r="L298" s="429">
        <v>0.375</v>
      </c>
      <c r="M298" s="429">
        <v>0.79166666666666663</v>
      </c>
      <c r="N298" s="429">
        <v>0.75</v>
      </c>
      <c r="O298" s="429">
        <v>0.25</v>
      </c>
      <c r="P298" s="429">
        <v>4.1666666666666664E-2</v>
      </c>
      <c r="Q298" s="321" t="s">
        <v>175</v>
      </c>
      <c r="R298" s="321" t="s">
        <v>445</v>
      </c>
      <c r="S298" s="321"/>
      <c r="T298" s="316">
        <f>VLOOKUP(Table2[[#This Row],[Course Title]],'TSD-Data'!$A$1:$E$80,4,FALSE)</f>
        <v>45</v>
      </c>
      <c r="U298" s="316">
        <f>VLOOKUP(Table2[[#This Row],[Course Title]],'TSD-Data'!$A$1:$F$80,6,FALSE)</f>
        <v>32</v>
      </c>
      <c r="V298" s="323">
        <f>VLOOKUP(Table2[[#This Row],[Course Title]],'TSD-Data'!$A$1:$F$80,5,FALSE)</f>
        <v>4</v>
      </c>
      <c r="W298" s="323">
        <v>688</v>
      </c>
      <c r="X298" s="316">
        <f>Table2[[#This Row],[Quotas]]-Table2[[#This Row],[Open Quotas]]</f>
        <v>0</v>
      </c>
      <c r="Y298" s="316">
        <v>0</v>
      </c>
      <c r="Z298" s="323"/>
      <c r="AA298" s="323"/>
      <c r="AB298" s="316"/>
      <c r="AC298" s="316"/>
      <c r="AD298" s="316"/>
      <c r="AE298" s="316"/>
      <c r="AF298" s="323">
        <f ca="1">Table2[[#This Row],[End Date]]+2-TODAY()</f>
        <v>102</v>
      </c>
      <c r="AG298" s="316">
        <f>IF(ISBLANK(Table2[[#This Row],[Roster Received by]]),1,0)</f>
        <v>1</v>
      </c>
      <c r="AH298" s="316">
        <f ca="1">IF(Table2[[#This Row],[Start Date]]&gt;TODAY(),1,)</f>
        <v>1</v>
      </c>
      <c r="AI298" s="316">
        <f>IF(ISBLANK(Table2[[#This Row],[Primary Instructor]]),0,1)</f>
        <v>1</v>
      </c>
      <c r="AJ298" s="316">
        <f>IF(ISBLANK(Table2[[#This Row],[Instructor 2]]),0,1)</f>
        <v>1</v>
      </c>
      <c r="AK298" s="316">
        <f>Table2[[#This Row],[Course Length (Hours)]]/(SUM(Table2[[#This Row],[1]:[2]]))</f>
        <v>16</v>
      </c>
      <c r="AL298" s="124">
        <v>45</v>
      </c>
      <c r="AM298" s="433">
        <v>2</v>
      </c>
      <c r="AN298" s="363" t="str">
        <f>VLOOKUP(Table2[[#This Row],[Course Title]],'TSD-Data'!$A$1:$G$80,7,FALSE)</f>
        <v>N3</v>
      </c>
    </row>
    <row r="299" spans="2:40" s="428" customFormat="1" ht="15" customHeight="1" x14ac:dyDescent="0.25">
      <c r="B299" s="315"/>
      <c r="C299" s="94" t="s">
        <v>110</v>
      </c>
      <c r="D299" s="70" t="str">
        <f>VLOOKUP(Table2[[#This Row],[Course Title]],'TSD-Data'!$A$1:$E$80,2,FALSE)</f>
        <v>A-493-2501</v>
      </c>
      <c r="E299" s="70" t="str">
        <f>VLOOKUP(Table2[[#This Row],[Course Title]],'TSD-Data'!$A$1:$E$80,3,FALSE)</f>
        <v>05ZE</v>
      </c>
      <c r="F299" s="94" t="s">
        <v>211</v>
      </c>
      <c r="G299" s="72">
        <v>46104</v>
      </c>
      <c r="H299" s="72">
        <v>46104</v>
      </c>
      <c r="I299" s="341" t="s">
        <v>163</v>
      </c>
      <c r="J299" s="318">
        <v>0.33333333333333331</v>
      </c>
      <c r="K299" s="318"/>
      <c r="L299" s="344"/>
      <c r="M299" s="317"/>
      <c r="N299" s="317"/>
      <c r="O299" s="317"/>
      <c r="P299" s="317"/>
      <c r="Q299" s="321" t="s">
        <v>168</v>
      </c>
      <c r="R299" s="321"/>
      <c r="S299" s="321"/>
      <c r="T299" s="316">
        <f>VLOOKUP(Table2[[#This Row],[Course Title]],'TSD-Data'!$A$1:$E$80,4,FALSE)</f>
        <v>30</v>
      </c>
      <c r="U299" s="316">
        <f>VLOOKUP(Table2[[#This Row],[Course Title]],'TSD-Data'!$A$1:$F$80,6,FALSE)</f>
        <v>8</v>
      </c>
      <c r="V299" s="323">
        <f>VLOOKUP(Table2[[#This Row],[Course Title]],'TSD-Data'!$A$1:$F$80,5,FALSE)</f>
        <v>1</v>
      </c>
      <c r="W299" s="323">
        <v>30</v>
      </c>
      <c r="X299" s="316">
        <f>Table2[[#This Row],[Quotas]]-Table2[[#This Row],[Open Quotas]]</f>
        <v>0</v>
      </c>
      <c r="Y299" s="316"/>
      <c r="Z299" s="323"/>
      <c r="AA299" s="323"/>
      <c r="AB299" s="363"/>
      <c r="AC299" s="363"/>
      <c r="AD299" s="316"/>
      <c r="AE299" s="316"/>
      <c r="AF299" s="323">
        <f ca="1">Table2[[#This Row],[End Date]]+2-TODAY()</f>
        <v>99</v>
      </c>
      <c r="AG299" s="316">
        <f>IF(ISBLANK(Table2[[#This Row],[Roster Received by]]),1,0)</f>
        <v>1</v>
      </c>
      <c r="AH299" s="316">
        <f ca="1">IF(Table2[[#This Row],[Start Date]]&gt;TODAY(),1,)</f>
        <v>1</v>
      </c>
      <c r="AI299" s="316">
        <f>IF(ISBLANK(Table2[[#This Row],[Primary Instructor]]),0,1)</f>
        <v>1</v>
      </c>
      <c r="AJ299" s="316">
        <f>IF(ISBLANK(Table2[[#This Row],[Instructor 2]]),0,1)</f>
        <v>0</v>
      </c>
      <c r="AK299" s="316">
        <f>Table2[[#This Row],[Course Length (Hours)]]/(SUM(Table2[[#This Row],[1]:[2]]))</f>
        <v>8</v>
      </c>
      <c r="AL299" s="638">
        <v>30</v>
      </c>
      <c r="AM299" s="433">
        <v>2</v>
      </c>
      <c r="AN299" s="363" t="str">
        <f>VLOOKUP(Table2[[#This Row],[Course Title]],'TSD-Data'!$A$1:$G$80,7,FALSE)</f>
        <v>N4</v>
      </c>
    </row>
    <row r="300" spans="2:40" s="428" customFormat="1" ht="15" customHeight="1" x14ac:dyDescent="0.25">
      <c r="B300" s="315"/>
      <c r="C300" s="364" t="s">
        <v>113</v>
      </c>
      <c r="D300" s="316" t="str">
        <f>VLOOKUP(Table2[[#This Row],[Course Title]],'TSD-Data'!$A$1:$E$80,2,FALSE)</f>
        <v>A-570-0100</v>
      </c>
      <c r="E300" s="316" t="str">
        <f>VLOOKUP(Table2[[#This Row],[Course Title]],'TSD-Data'!$A$1:$E$80,3,FALSE)</f>
        <v>18B7</v>
      </c>
      <c r="F300" s="364" t="s">
        <v>25</v>
      </c>
      <c r="G300" s="344">
        <v>46104</v>
      </c>
      <c r="H300" s="344">
        <v>46105</v>
      </c>
      <c r="I300" s="317" t="s">
        <v>163</v>
      </c>
      <c r="J300" s="318"/>
      <c r="K300" s="345">
        <v>0.5</v>
      </c>
      <c r="L300" s="429">
        <v>0.375</v>
      </c>
      <c r="M300" s="429">
        <v>0.79166666666666663</v>
      </c>
      <c r="N300" s="429">
        <v>0.75</v>
      </c>
      <c r="O300" s="429">
        <v>0.25</v>
      </c>
      <c r="P300" s="429">
        <v>4.1666666666666664E-2</v>
      </c>
      <c r="Q300" s="321" t="s">
        <v>431</v>
      </c>
      <c r="R300" s="321"/>
      <c r="S300" s="321"/>
      <c r="T300" s="316">
        <f>VLOOKUP(Table2[[#This Row],[Course Title]],'TSD-Data'!$A$1:$E$80,4,FALSE)</f>
        <v>45</v>
      </c>
      <c r="U300" s="316">
        <f>VLOOKUP(Table2[[#This Row],[Course Title]],'TSD-Data'!$A$1:$F$80,6,FALSE)</f>
        <v>16</v>
      </c>
      <c r="V300" s="323">
        <f>VLOOKUP(Table2[[#This Row],[Course Title]],'TSD-Data'!$A$1:$F$80,5,FALSE)</f>
        <v>2</v>
      </c>
      <c r="W300" s="323">
        <v>621</v>
      </c>
      <c r="X300" s="316">
        <f>Table2[[#This Row],[Quotas]]-Table2[[#This Row],[Open Quotas]]</f>
        <v>1</v>
      </c>
      <c r="Y300" s="316">
        <v>0</v>
      </c>
      <c r="Z300" s="323"/>
      <c r="AA300" s="323"/>
      <c r="AB300" s="316"/>
      <c r="AC300" s="316"/>
      <c r="AD300" s="316"/>
      <c r="AE300" s="316"/>
      <c r="AF300" s="323">
        <f ca="1">Table2[[#This Row],[End Date]]+2-TODAY()</f>
        <v>100</v>
      </c>
      <c r="AG300" s="316">
        <f>IF(ISBLANK(Table2[[#This Row],[Roster Received by]]),1,0)</f>
        <v>1</v>
      </c>
      <c r="AH300" s="316">
        <f ca="1">IF(Table2[[#This Row],[Start Date]]&gt;TODAY(),1,)</f>
        <v>1</v>
      </c>
      <c r="AI300" s="316">
        <f>IF(ISBLANK(Table2[[#This Row],[Primary Instructor]]),0,1)</f>
        <v>1</v>
      </c>
      <c r="AJ300" s="316">
        <f>IF(ISBLANK(Table2[[#This Row],[Instructor 2]]),0,1)</f>
        <v>0</v>
      </c>
      <c r="AK300" s="316">
        <f>Table2[[#This Row],[Course Length (Hours)]]/(SUM(Table2[[#This Row],[1]:[2]]))</f>
        <v>16</v>
      </c>
      <c r="AL300" s="124">
        <v>44</v>
      </c>
      <c r="AM300" s="433">
        <v>2</v>
      </c>
      <c r="AN300" s="363" t="str">
        <f>VLOOKUP(Table2[[#This Row],[Course Title]],'TSD-Data'!$A$1:$G$80,7,FALSE)</f>
        <v>N8</v>
      </c>
    </row>
    <row r="301" spans="2:40" s="428" customFormat="1" ht="15" customHeight="1" x14ac:dyDescent="0.25">
      <c r="B301" s="315"/>
      <c r="C301" s="364" t="s">
        <v>394</v>
      </c>
      <c r="D301" s="363" t="str">
        <f>VLOOKUP(Table2[[#This Row],[Course Title]],'TSD-Data'!$A$1:$E$80,2,FALSE)</f>
        <v>A-493-3010</v>
      </c>
      <c r="E301" s="363" t="str">
        <f>VLOOKUP(Table2[[#This Row],[Course Title]],'TSD-Data'!$A$1:$E$80,3,FALSE)</f>
        <v>31VC</v>
      </c>
      <c r="F301" s="364" t="s">
        <v>25</v>
      </c>
      <c r="G301" s="344">
        <v>46104</v>
      </c>
      <c r="H301" s="344">
        <v>46104</v>
      </c>
      <c r="I301" s="317" t="s">
        <v>163</v>
      </c>
      <c r="J301" s="318"/>
      <c r="K301" s="318">
        <v>0.79166666666666663</v>
      </c>
      <c r="L301" s="345">
        <v>0.66666666666666663</v>
      </c>
      <c r="M301" s="318">
        <v>8.3333333333333329E-2</v>
      </c>
      <c r="N301" s="318">
        <v>6.9444444444444447E-4</v>
      </c>
      <c r="O301" s="318">
        <v>0.58333333333333337</v>
      </c>
      <c r="P301" s="318">
        <v>0.33333333333333331</v>
      </c>
      <c r="Q301" s="321" t="s">
        <v>439</v>
      </c>
      <c r="R301" s="321"/>
      <c r="S301" s="321"/>
      <c r="T301" s="363">
        <f>VLOOKUP(Table2[[#This Row],[Course Title]],'TSD-Data'!$A$1:$E$80,4,FALSE)</f>
        <v>1000</v>
      </c>
      <c r="U301" s="363">
        <f>VLOOKUP(Table2[[#This Row],[Course Title]],'TSD-Data'!$A$1:$F$80,6,FALSE)</f>
        <v>3.5</v>
      </c>
      <c r="V301" s="323">
        <f>VLOOKUP(Table2[[#This Row],[Course Title]],'TSD-Data'!$A$1:$F$80,5,FALSE)</f>
        <v>0.4</v>
      </c>
      <c r="W301" s="323"/>
      <c r="X301" s="316">
        <f>Table2[[#This Row],[Quotas]]-Table2[[#This Row],[Open Quotas]]</f>
        <v>1</v>
      </c>
      <c r="Y301" s="316">
        <v>0</v>
      </c>
      <c r="Z301" s="323"/>
      <c r="AA301" s="323"/>
      <c r="AB301" s="363"/>
      <c r="AC301" s="363"/>
      <c r="AD301" s="316"/>
      <c r="AE301" s="316"/>
      <c r="AF301" s="323">
        <f ca="1">Table2[[#This Row],[End Date]]+2-TODAY()</f>
        <v>99</v>
      </c>
      <c r="AG301" s="363">
        <f>IF(ISBLANK(Table2[[#This Row],[Roster Received by]]),1,0)</f>
        <v>1</v>
      </c>
      <c r="AH301" s="363">
        <f ca="1">IF(Table2[[#This Row],[Start Date]]&gt;TODAY(),1,)</f>
        <v>1</v>
      </c>
      <c r="AI301" s="363">
        <f>IF(ISBLANK(Table2[[#This Row],[Primary Instructor]]),0,1)</f>
        <v>1</v>
      </c>
      <c r="AJ301" s="363">
        <f>IF(ISBLANK(Table2[[#This Row],[Instructor 2]]),0,1)</f>
        <v>0</v>
      </c>
      <c r="AK301" s="363">
        <f>Table2[[#This Row],[Course Length (Hours)]]/(SUM(Table2[[#This Row],[1]:[2]]))</f>
        <v>3.5</v>
      </c>
      <c r="AL301" s="638">
        <v>999</v>
      </c>
      <c r="AM301" s="363">
        <v>2</v>
      </c>
      <c r="AN301" s="363" t="str">
        <f>VLOOKUP(Table2[[#This Row],[Course Title]],'TSD-Data'!$A$1:$G$80,7,FALSE)</f>
        <v>N8</v>
      </c>
    </row>
    <row r="302" spans="2:40" s="428" customFormat="1" x14ac:dyDescent="0.25">
      <c r="B302" s="315"/>
      <c r="C302" s="364" t="s">
        <v>401</v>
      </c>
      <c r="D302" s="685" t="str">
        <f>VLOOKUP(Table2[[#This Row],[Course Title]],'TSD-Data'!$A$1:$E$80,2,FALSE)</f>
        <v>A-493-3003</v>
      </c>
      <c r="E302" s="685" t="str">
        <f>VLOOKUP(Table2[[#This Row],[Course Title]],'TSD-Data'!$A$1:$E$80,3,FALSE)</f>
        <v>31V5</v>
      </c>
      <c r="F302" s="364" t="s">
        <v>25</v>
      </c>
      <c r="G302" s="344">
        <v>46104</v>
      </c>
      <c r="H302" s="344">
        <v>46104</v>
      </c>
      <c r="I302" s="317" t="s">
        <v>163</v>
      </c>
      <c r="J302" s="318"/>
      <c r="K302" s="318">
        <v>8.3333333333333329E-2</v>
      </c>
      <c r="L302" s="345">
        <v>0.95833333333333337</v>
      </c>
      <c r="M302" s="318">
        <v>0.375</v>
      </c>
      <c r="N302" s="318">
        <v>0.29166666666666669</v>
      </c>
      <c r="O302" s="318">
        <v>0.875</v>
      </c>
      <c r="P302" s="318">
        <v>0.625</v>
      </c>
      <c r="Q302" s="321" t="s">
        <v>439</v>
      </c>
      <c r="R302" s="321"/>
      <c r="S302" s="321"/>
      <c r="T302" s="363">
        <f>VLOOKUP(Table2[[#This Row],[Course Title]],'TSD-Data'!$A$1:$E$80,4,FALSE)</f>
        <v>1000</v>
      </c>
      <c r="U302" s="363">
        <f>VLOOKUP(Table2[[#This Row],[Course Title]],'TSD-Data'!$A$1:$F$80,6,FALSE)</f>
        <v>0.75</v>
      </c>
      <c r="V302" s="323">
        <f>VLOOKUP(Table2[[#This Row],[Course Title]],'TSD-Data'!$A$1:$F$80,5,FALSE)</f>
        <v>0.1</v>
      </c>
      <c r="W302" s="323"/>
      <c r="X302" s="316">
        <f>Table2[[#This Row],[Quotas]]-Table2[[#This Row],[Open Quotas]]</f>
        <v>1</v>
      </c>
      <c r="Y302" s="316">
        <v>0</v>
      </c>
      <c r="Z302" s="323"/>
      <c r="AA302" s="323"/>
      <c r="AB302" s="363"/>
      <c r="AC302" s="363"/>
      <c r="AD302" s="316"/>
      <c r="AE302" s="316"/>
      <c r="AF302" s="323">
        <f ca="1">Table2[[#This Row],[End Date]]+2-TODAY()</f>
        <v>99</v>
      </c>
      <c r="AG302" s="363">
        <f>IF(ISBLANK(Table2[[#This Row],[Roster Received by]]),1,0)</f>
        <v>1</v>
      </c>
      <c r="AH302" s="363">
        <f ca="1">IF(Table2[[#This Row],[Start Date]]&gt;TODAY(),1,)</f>
        <v>1</v>
      </c>
      <c r="AI302" s="363">
        <f>IF(ISBLANK(Table2[[#This Row],[Primary Instructor]]),0,1)</f>
        <v>1</v>
      </c>
      <c r="AJ302" s="363">
        <f>IF(ISBLANK(Table2[[#This Row],[Instructor 2]]),0,1)</f>
        <v>0</v>
      </c>
      <c r="AK302" s="363">
        <f>Table2[[#This Row],[Course Length (Hours)]]/(SUM(Table2[[#This Row],[1]:[2]]))</f>
        <v>0.75</v>
      </c>
      <c r="AL302" s="638">
        <v>999</v>
      </c>
      <c r="AM302" s="363">
        <v>2</v>
      </c>
      <c r="AN302" s="363" t="str">
        <f>VLOOKUP(Table2[[#This Row],[Course Title]],'TSD-Data'!$A$1:$G$80,7,FALSE)</f>
        <v>N8</v>
      </c>
    </row>
    <row r="303" spans="2:40" s="428" customFormat="1" ht="15" customHeight="1" x14ac:dyDescent="0.25">
      <c r="B303" s="315"/>
      <c r="C303" s="364" t="s">
        <v>404</v>
      </c>
      <c r="D303" s="685" t="str">
        <f>VLOOKUP(Table2[[#This Row],[Course Title]],'TSD-Data'!$A$1:$E$80,2,FALSE)</f>
        <v>A-493-3006</v>
      </c>
      <c r="E303" s="685" t="str">
        <f>VLOOKUP(Table2[[#This Row],[Course Title]],'TSD-Data'!$A$1:$E$80,3,FALSE)</f>
        <v>31V8</v>
      </c>
      <c r="F303" s="364" t="s">
        <v>25</v>
      </c>
      <c r="G303" s="344">
        <v>46104</v>
      </c>
      <c r="H303" s="344">
        <v>46104</v>
      </c>
      <c r="I303" s="317" t="s">
        <v>163</v>
      </c>
      <c r="J303" s="318"/>
      <c r="K303" s="318">
        <v>6.9444444444444447E-4</v>
      </c>
      <c r="L303" s="345">
        <v>0.875</v>
      </c>
      <c r="M303" s="318">
        <v>0.79166666666666663</v>
      </c>
      <c r="N303" s="318">
        <v>0.20833333333333334</v>
      </c>
      <c r="O303" s="318">
        <v>0.79166666666666663</v>
      </c>
      <c r="P303" s="318">
        <v>0.54166666666666663</v>
      </c>
      <c r="Q303" s="321" t="s">
        <v>439</v>
      </c>
      <c r="R303" s="321"/>
      <c r="S303" s="321"/>
      <c r="T303" s="363">
        <f>VLOOKUP(Table2[[#This Row],[Course Title]],'TSD-Data'!$A$1:$E$80,4,FALSE)</f>
        <v>1000</v>
      </c>
      <c r="U303" s="363">
        <f>VLOOKUP(Table2[[#This Row],[Course Title]],'TSD-Data'!$A$1:$F$80,6,FALSE)</f>
        <v>0.75</v>
      </c>
      <c r="V303" s="323">
        <f>VLOOKUP(Table2[[#This Row],[Course Title]],'TSD-Data'!$A$1:$F$80,5,FALSE)</f>
        <v>0.1</v>
      </c>
      <c r="W303" s="323"/>
      <c r="X303" s="316">
        <f>Table2[[#This Row],[Quotas]]-Table2[[#This Row],[Open Quotas]]</f>
        <v>1</v>
      </c>
      <c r="Y303" s="316">
        <v>0</v>
      </c>
      <c r="Z303" s="323"/>
      <c r="AA303" s="323"/>
      <c r="AB303" s="363"/>
      <c r="AC303" s="363"/>
      <c r="AD303" s="316"/>
      <c r="AE303" s="316"/>
      <c r="AF303" s="323">
        <f ca="1">Table2[[#This Row],[End Date]]+2-TODAY()</f>
        <v>99</v>
      </c>
      <c r="AG303" s="363">
        <f>IF(ISBLANK(Table2[[#This Row],[Roster Received by]]),1,0)</f>
        <v>1</v>
      </c>
      <c r="AH303" s="363">
        <f ca="1">IF(Table2[[#This Row],[Start Date]]&gt;TODAY(),1,)</f>
        <v>1</v>
      </c>
      <c r="AI303" s="363">
        <f>IF(ISBLANK(Table2[[#This Row],[Primary Instructor]]),0,1)</f>
        <v>1</v>
      </c>
      <c r="AJ303" s="363">
        <f>IF(ISBLANK(Table2[[#This Row],[Instructor 2]]),0,1)</f>
        <v>0</v>
      </c>
      <c r="AK303" s="363">
        <f>Table2[[#This Row],[Course Length (Hours)]]/(SUM(Table2[[#This Row],[1]:[2]]))</f>
        <v>0.75</v>
      </c>
      <c r="AL303" s="638">
        <v>999</v>
      </c>
      <c r="AM303" s="363">
        <v>2</v>
      </c>
      <c r="AN303" s="363" t="str">
        <f>VLOOKUP(Table2[[#This Row],[Course Title]],'TSD-Data'!$A$1:$G$80,7,FALSE)</f>
        <v>N8</v>
      </c>
    </row>
    <row r="304" spans="2:40" s="428" customFormat="1" x14ac:dyDescent="0.25">
      <c r="B304" s="315"/>
      <c r="C304" s="364" t="s">
        <v>407</v>
      </c>
      <c r="D304" s="363" t="str">
        <f>VLOOKUP(Table2[[#This Row],[Course Title]],'TSD-Data'!$A$1:$E$80,2,FALSE)</f>
        <v>A-493-3007</v>
      </c>
      <c r="E304" s="363" t="str">
        <f>VLOOKUP(Table2[[#This Row],[Course Title]],'TSD-Data'!$A$1:$E$80,3,FALSE)</f>
        <v>31V9</v>
      </c>
      <c r="F304" s="364" t="s">
        <v>25</v>
      </c>
      <c r="G304" s="344">
        <v>46104</v>
      </c>
      <c r="H304" s="344">
        <v>46104</v>
      </c>
      <c r="I304" s="317" t="s">
        <v>163</v>
      </c>
      <c r="J304" s="318"/>
      <c r="K304" s="318">
        <v>4.1666666666666664E-2</v>
      </c>
      <c r="L304" s="345">
        <v>0.91666666666666663</v>
      </c>
      <c r="M304" s="318">
        <v>0.33333333333333331</v>
      </c>
      <c r="N304" s="318">
        <v>0.25</v>
      </c>
      <c r="O304" s="318">
        <v>0.83333333333333337</v>
      </c>
      <c r="P304" s="318">
        <v>0.58333333333333337</v>
      </c>
      <c r="Q304" s="321" t="s">
        <v>439</v>
      </c>
      <c r="R304" s="321"/>
      <c r="S304" s="321"/>
      <c r="T304" s="363">
        <f>VLOOKUP(Table2[[#This Row],[Course Title]],'TSD-Data'!$A$1:$E$80,4,FALSE)</f>
        <v>1000</v>
      </c>
      <c r="U304" s="363">
        <f>VLOOKUP(Table2[[#This Row],[Course Title]],'TSD-Data'!$A$1:$F$80,6,FALSE)</f>
        <v>0.75</v>
      </c>
      <c r="V304" s="323">
        <f>VLOOKUP(Table2[[#This Row],[Course Title]],'TSD-Data'!$A$1:$F$80,5,FALSE)</f>
        <v>0.1</v>
      </c>
      <c r="W304" s="323"/>
      <c r="X304" s="316">
        <f>Table2[[#This Row],[Quotas]]-Table2[[#This Row],[Open Quotas]]</f>
        <v>1</v>
      </c>
      <c r="Y304" s="316">
        <v>0</v>
      </c>
      <c r="Z304" s="323"/>
      <c r="AA304" s="323"/>
      <c r="AB304" s="363"/>
      <c r="AC304" s="363"/>
      <c r="AD304" s="316"/>
      <c r="AE304" s="316"/>
      <c r="AF304" s="323">
        <f ca="1">Table2[[#This Row],[End Date]]+2-TODAY()</f>
        <v>99</v>
      </c>
      <c r="AG304" s="363">
        <f>IF(ISBLANK(Table2[[#This Row],[Roster Received by]]),1,0)</f>
        <v>1</v>
      </c>
      <c r="AH304" s="363">
        <f ca="1">IF(Table2[[#This Row],[Start Date]]&gt;TODAY(),1,)</f>
        <v>1</v>
      </c>
      <c r="AI304" s="363">
        <f>IF(ISBLANK(Table2[[#This Row],[Primary Instructor]]),0,1)</f>
        <v>1</v>
      </c>
      <c r="AJ304" s="363">
        <f>IF(ISBLANK(Table2[[#This Row],[Instructor 2]]),0,1)</f>
        <v>0</v>
      </c>
      <c r="AK304" s="363">
        <f>Table2[[#This Row],[Course Length (Hours)]]/(SUM(Table2[[#This Row],[1]:[2]]))</f>
        <v>0.75</v>
      </c>
      <c r="AL304" s="638">
        <v>999</v>
      </c>
      <c r="AM304" s="363">
        <v>2</v>
      </c>
      <c r="AN304" s="363" t="str">
        <f>VLOOKUP(Table2[[#This Row],[Course Title]],'TSD-Data'!$A$1:$G$80,7,FALSE)</f>
        <v>N8</v>
      </c>
    </row>
    <row r="305" spans="2:40" s="428" customFormat="1" x14ac:dyDescent="0.25">
      <c r="B305" s="315"/>
      <c r="C305" s="364" t="s">
        <v>119</v>
      </c>
      <c r="D305" s="421" t="str">
        <f>VLOOKUP(Table2[[#This Row],[Course Title]],'TSD-Data'!$A$1:$E$80,2,FALSE)</f>
        <v>A-493-2098</v>
      </c>
      <c r="E305" s="421" t="str">
        <f>VLOOKUP(Table2[[#This Row],[Course Title]],'TSD-Data'!$A$1:$E$80,3,FALSE)</f>
        <v>09WW</v>
      </c>
      <c r="F305" s="447" t="s">
        <v>25</v>
      </c>
      <c r="G305" s="414">
        <v>46104</v>
      </c>
      <c r="H305" s="414">
        <v>46106</v>
      </c>
      <c r="I305" s="317" t="s">
        <v>163</v>
      </c>
      <c r="J305" s="318"/>
      <c r="K305" s="318">
        <v>0.79166666666666663</v>
      </c>
      <c r="L305" s="431">
        <v>0.66666666666666663</v>
      </c>
      <c r="M305" s="431">
        <v>8.3333333333333329E-2</v>
      </c>
      <c r="N305" s="431">
        <v>0</v>
      </c>
      <c r="O305" s="431">
        <v>0.54166666666666663</v>
      </c>
      <c r="P305" s="431">
        <v>0.33333333333333331</v>
      </c>
      <c r="Q305" s="321" t="s">
        <v>164</v>
      </c>
      <c r="R305" s="321"/>
      <c r="S305" s="321"/>
      <c r="T305" s="316">
        <f>VLOOKUP(Table2[[#This Row],[Course Title]],'TSD-Data'!$A$1:$E$80,4,FALSE)</f>
        <v>100</v>
      </c>
      <c r="U305" s="316">
        <f>VLOOKUP(Table2[[#This Row],[Course Title]],'TSD-Data'!$A$1:$F$80,6,FALSE)</f>
        <v>16</v>
      </c>
      <c r="V305" s="323">
        <f>VLOOKUP(Table2[[#This Row],[Course Title]],'TSD-Data'!$A$1:$F$80,5,FALSE)</f>
        <v>3</v>
      </c>
      <c r="W305" s="323">
        <v>356</v>
      </c>
      <c r="X305" s="316">
        <f>Table2[[#This Row],[Quotas]]-Table2[[#This Row],[Open Quotas]]</f>
        <v>13</v>
      </c>
      <c r="Y305" s="316">
        <v>0</v>
      </c>
      <c r="Z305" s="323"/>
      <c r="AA305" s="323"/>
      <c r="AB305" s="316"/>
      <c r="AC305" s="316"/>
      <c r="AD305" s="316"/>
      <c r="AE305" s="316"/>
      <c r="AF305" s="323">
        <f ca="1">Table2[[#This Row],[End Date]]+2-TODAY()</f>
        <v>101</v>
      </c>
      <c r="AG305" s="316">
        <f>IF(ISBLANK(Table2[[#This Row],[Roster Received by]]),1,0)</f>
        <v>1</v>
      </c>
      <c r="AH305" s="316">
        <f ca="1">IF(Table2[[#This Row],[Start Date]]&gt;TODAY(),1,)</f>
        <v>1</v>
      </c>
      <c r="AI305" s="316">
        <f>IF(ISBLANK(Table2[[#This Row],[Primary Instructor]]),0,1)</f>
        <v>1</v>
      </c>
      <c r="AJ305" s="316">
        <f>IF(ISBLANK(Table2[[#This Row],[Instructor 2]]),0,1)</f>
        <v>0</v>
      </c>
      <c r="AK305" s="316">
        <f>Table2[[#This Row],[Course Length (Hours)]]/(SUM(Table2[[#This Row],[1]:[2]]))</f>
        <v>16</v>
      </c>
      <c r="AL305" s="124">
        <v>87</v>
      </c>
      <c r="AM305" s="433">
        <v>2</v>
      </c>
      <c r="AN305" s="363" t="str">
        <f>VLOOKUP(Table2[[#This Row],[Course Title]],'TSD-Data'!$A$1:$G$80,7,FALSE)</f>
        <v>N8</v>
      </c>
    </row>
    <row r="306" spans="2:40" s="428" customFormat="1" ht="15" customHeight="1" x14ac:dyDescent="0.25">
      <c r="B306" s="364"/>
      <c r="C306" s="364" t="s">
        <v>122</v>
      </c>
      <c r="D306" s="421" t="str">
        <f>VLOOKUP(Table2[[#This Row],[Course Title]],'TSD-Data'!$A$1:$E$80,2,FALSE)</f>
        <v>F-4J-0023</v>
      </c>
      <c r="E306" s="421" t="str">
        <f>VLOOKUP(Table2[[#This Row],[Course Title]],'TSD-Data'!$A$1:$E$80,3,FALSE)</f>
        <v>11A2</v>
      </c>
      <c r="F306" s="364" t="s">
        <v>25</v>
      </c>
      <c r="G306" s="344">
        <v>46104</v>
      </c>
      <c r="H306" s="344">
        <v>46105</v>
      </c>
      <c r="I306" s="317" t="s">
        <v>163</v>
      </c>
      <c r="J306" s="318"/>
      <c r="K306" s="318">
        <v>0.33333333333333331</v>
      </c>
      <c r="L306" s="318">
        <v>0.20833333333333334</v>
      </c>
      <c r="M306" s="318">
        <v>0.625</v>
      </c>
      <c r="N306" s="318">
        <v>0.54166666666666663</v>
      </c>
      <c r="O306" s="318">
        <v>8.3333333333333329E-2</v>
      </c>
      <c r="P306" s="318">
        <v>0.875</v>
      </c>
      <c r="Q306" s="321" t="s">
        <v>461</v>
      </c>
      <c r="R306" s="321"/>
      <c r="S306" s="321"/>
      <c r="T306" s="316">
        <f>VLOOKUP(Table2[[#This Row],[Course Title]],'TSD-Data'!$A$1:$E$80,4,FALSE)</f>
        <v>45</v>
      </c>
      <c r="U306" s="316">
        <f>VLOOKUP(Table2[[#This Row],[Course Title]],'TSD-Data'!$A$1:$F$80,6,FALSE)</f>
        <v>16</v>
      </c>
      <c r="V306" s="323">
        <f>VLOOKUP(Table2[[#This Row],[Course Title]],'TSD-Data'!$A$1:$F$80,5,FALSE)</f>
        <v>2</v>
      </c>
      <c r="W306" s="323">
        <v>28</v>
      </c>
      <c r="X306" s="316">
        <f>Table2[[#This Row],[Quotas]]-Table2[[#This Row],[Open Quotas]]</f>
        <v>2</v>
      </c>
      <c r="Y306" s="316">
        <v>0</v>
      </c>
      <c r="Z306" s="323"/>
      <c r="AA306" s="323"/>
      <c r="AB306" s="316"/>
      <c r="AC306" s="316"/>
      <c r="AD306" s="316"/>
      <c r="AE306" s="316"/>
      <c r="AF306" s="323">
        <f ca="1">Table2[[#This Row],[End Date]]+2-TODAY()</f>
        <v>100</v>
      </c>
      <c r="AG306" s="316">
        <f>IF(ISBLANK(Table2[[#This Row],[Roster Received by]]),1,0)</f>
        <v>1</v>
      </c>
      <c r="AH306" s="316">
        <f ca="1">IF(Table2[[#This Row],[Start Date]]&gt;TODAY(),1,)</f>
        <v>1</v>
      </c>
      <c r="AI306" s="316">
        <f>IF(ISBLANK(Table2[[#This Row],[Primary Instructor]]),0,1)</f>
        <v>1</v>
      </c>
      <c r="AJ306" s="316">
        <f>IF(ISBLANK(Table2[[#This Row],[Instructor 2]]),0,1)</f>
        <v>0</v>
      </c>
      <c r="AK306" s="316">
        <f>Table2[[#This Row],[Course Length (Hours)]]/(SUM(Table2[[#This Row],[1]:[2]]))</f>
        <v>16</v>
      </c>
      <c r="AL306" s="124">
        <v>43</v>
      </c>
      <c r="AM306" s="433">
        <v>2</v>
      </c>
      <c r="AN306" s="363" t="str">
        <f>VLOOKUP(Table2[[#This Row],[Course Title]],'TSD-Data'!$A$1:$G$80,7,FALSE)</f>
        <v>N8</v>
      </c>
    </row>
    <row r="307" spans="2:40" s="428" customFormat="1" x14ac:dyDescent="0.25">
      <c r="B307" s="315"/>
      <c r="C307" s="364" t="s">
        <v>100</v>
      </c>
      <c r="D307" s="316" t="str">
        <f>VLOOKUP(Table2[[#This Row],[Course Title]],'TSD-Data'!$A$1:$E$80,2,FALSE)</f>
        <v>A-493-0550</v>
      </c>
      <c r="E307" s="316" t="str">
        <f>VLOOKUP(Table2[[#This Row],[Course Title]],'TSD-Data'!$A$1:$E$80,3,FALSE)</f>
        <v>09K5</v>
      </c>
      <c r="F307" s="364" t="s">
        <v>25</v>
      </c>
      <c r="G307" s="344">
        <v>46104</v>
      </c>
      <c r="H307" s="344">
        <v>46107</v>
      </c>
      <c r="I307" s="317" t="s">
        <v>163</v>
      </c>
      <c r="J307" s="318"/>
      <c r="K307" s="345">
        <v>0.33333333333333331</v>
      </c>
      <c r="L307" s="345">
        <v>0.20833333333333334</v>
      </c>
      <c r="M307" s="345">
        <v>0.625</v>
      </c>
      <c r="N307" s="345">
        <v>0.54166666666666663</v>
      </c>
      <c r="O307" s="345">
        <v>8.3333333333333329E-2</v>
      </c>
      <c r="P307" s="345">
        <v>0.875</v>
      </c>
      <c r="Q307" s="321" t="s">
        <v>426</v>
      </c>
      <c r="R307" s="321"/>
      <c r="S307" s="321"/>
      <c r="T307" s="316">
        <f>VLOOKUP(Table2[[#This Row],[Course Title]],'TSD-Data'!$A$1:$E$80,4,FALSE)</f>
        <v>45</v>
      </c>
      <c r="U307" s="316">
        <f>VLOOKUP(Table2[[#This Row],[Course Title]],'TSD-Data'!$A$1:$F$80,6,FALSE)</f>
        <v>32</v>
      </c>
      <c r="V307" s="323">
        <f>VLOOKUP(Table2[[#This Row],[Course Title]],'TSD-Data'!$A$1:$F$80,5,FALSE)</f>
        <v>4</v>
      </c>
      <c r="W307" s="323">
        <v>455</v>
      </c>
      <c r="X307" s="316">
        <f>Table2[[#This Row],[Quotas]]-Table2[[#This Row],[Open Quotas]]</f>
        <v>4</v>
      </c>
      <c r="Y307" s="316">
        <v>0</v>
      </c>
      <c r="Z307" s="323"/>
      <c r="AA307" s="323"/>
      <c r="AB307" s="316"/>
      <c r="AC307" s="316"/>
      <c r="AD307" s="316"/>
      <c r="AE307" s="316"/>
      <c r="AF307" s="323">
        <f ca="1">Table2[[#This Row],[End Date]]+2-TODAY()</f>
        <v>102</v>
      </c>
      <c r="AG307" s="316">
        <f>IF(ISBLANK(Table2[[#This Row],[Roster Received by]]),1,0)</f>
        <v>1</v>
      </c>
      <c r="AH307" s="316">
        <f ca="1">IF(Table2[[#This Row],[Start Date]]&gt;TODAY(),1,)</f>
        <v>1</v>
      </c>
      <c r="AI307" s="316">
        <f>IF(ISBLANK(Table2[[#This Row],[Primary Instructor]]),0,1)</f>
        <v>1</v>
      </c>
      <c r="AJ307" s="316">
        <f>IF(ISBLANK(Table2[[#This Row],[Instructor 2]]),0,1)</f>
        <v>0</v>
      </c>
      <c r="AK307" s="316">
        <f>Table2[[#This Row],[Course Length (Hours)]]/(SUM(Table2[[#This Row],[1]:[2]]))</f>
        <v>32</v>
      </c>
      <c r="AL307" s="124">
        <v>41</v>
      </c>
      <c r="AM307" s="433">
        <v>2</v>
      </c>
      <c r="AN307" s="363" t="str">
        <f>VLOOKUP(Table2[[#This Row],[Course Title]],'TSD-Data'!$A$1:$G$80,7,FALSE)</f>
        <v>N5</v>
      </c>
    </row>
    <row r="308" spans="2:40" s="428" customFormat="1" x14ac:dyDescent="0.25">
      <c r="B308" s="315"/>
      <c r="C308" s="364" t="s">
        <v>106</v>
      </c>
      <c r="D308" s="316" t="str">
        <f>VLOOKUP(Table2[[#This Row],[Course Title]],'TSD-Data'!$A$1:$E$80,2,FALSE)</f>
        <v>A-493-0078</v>
      </c>
      <c r="E308" s="316">
        <f>VLOOKUP(Table2[[#This Row],[Course Title]],'TSD-Data'!$A$1:$E$80,3,FALSE)</f>
        <v>1228</v>
      </c>
      <c r="F308" s="364" t="s">
        <v>25</v>
      </c>
      <c r="G308" s="344">
        <v>46104</v>
      </c>
      <c r="H308" s="344">
        <v>46107</v>
      </c>
      <c r="I308" s="317" t="s">
        <v>163</v>
      </c>
      <c r="J308" s="318"/>
      <c r="K308" s="345">
        <v>0.33333333333333331</v>
      </c>
      <c r="L308" s="345">
        <v>0.20833333333333334</v>
      </c>
      <c r="M308" s="345">
        <v>0.625</v>
      </c>
      <c r="N308" s="345">
        <v>0.54166666666666663</v>
      </c>
      <c r="O308" s="345">
        <v>8.3333333333333329E-2</v>
      </c>
      <c r="P308" s="345">
        <v>0.875</v>
      </c>
      <c r="Q308" s="321" t="s">
        <v>172</v>
      </c>
      <c r="R308" s="321"/>
      <c r="S308" s="321"/>
      <c r="T308" s="316">
        <f>VLOOKUP(Table2[[#This Row],[Course Title]],'TSD-Data'!$A$1:$E$80,4,FALSE)</f>
        <v>45</v>
      </c>
      <c r="U308" s="316">
        <f>VLOOKUP(Table2[[#This Row],[Course Title]],'TSD-Data'!$A$1:$F$80,6,FALSE)</f>
        <v>32</v>
      </c>
      <c r="V308" s="323">
        <f>VLOOKUP(Table2[[#This Row],[Course Title]],'TSD-Data'!$A$1:$F$80,5,FALSE)</f>
        <v>4</v>
      </c>
      <c r="W308" s="323">
        <v>454</v>
      </c>
      <c r="X308" s="316">
        <f>Table2[[#This Row],[Quotas]]-Table2[[#This Row],[Open Quotas]]</f>
        <v>5</v>
      </c>
      <c r="Y308" s="316">
        <v>0</v>
      </c>
      <c r="Z308" s="323"/>
      <c r="AA308" s="323"/>
      <c r="AB308" s="316"/>
      <c r="AC308" s="316"/>
      <c r="AD308" s="316"/>
      <c r="AE308" s="316"/>
      <c r="AF308" s="323">
        <f ca="1">Table2[[#This Row],[End Date]]+2-TODAY()</f>
        <v>102</v>
      </c>
      <c r="AG308" s="316">
        <f>IF(ISBLANK(Table2[[#This Row],[Roster Received by]]),1,0)</f>
        <v>1</v>
      </c>
      <c r="AH308" s="316">
        <f ca="1">IF(Table2[[#This Row],[Start Date]]&gt;TODAY(),1,)</f>
        <v>1</v>
      </c>
      <c r="AI308" s="316">
        <f>IF(ISBLANK(Table2[[#This Row],[Primary Instructor]]),0,1)</f>
        <v>1</v>
      </c>
      <c r="AJ308" s="316">
        <f>IF(ISBLANK(Table2[[#This Row],[Instructor 2]]),0,1)</f>
        <v>0</v>
      </c>
      <c r="AK308" s="316">
        <f>Table2[[#This Row],[Course Length (Hours)]]/(SUM(Table2[[#This Row],[1]:[2]]))</f>
        <v>32</v>
      </c>
      <c r="AL308" s="124">
        <v>40</v>
      </c>
      <c r="AM308" s="433">
        <v>2</v>
      </c>
      <c r="AN308" s="363" t="str">
        <f>VLOOKUP(Table2[[#This Row],[Course Title]],'TSD-Data'!$A$1:$G$80,7,FALSE)</f>
        <v>N5</v>
      </c>
    </row>
    <row r="309" spans="2:40" s="428" customFormat="1" x14ac:dyDescent="0.25">
      <c r="B309" s="315"/>
      <c r="C309" s="94" t="s">
        <v>110</v>
      </c>
      <c r="D309" s="70" t="str">
        <f>VLOOKUP(Table2[[#This Row],[Course Title]],'TSD-Data'!$A$1:$E$80,2,FALSE)</f>
        <v>A-493-2501</v>
      </c>
      <c r="E309" s="70" t="str">
        <f>VLOOKUP(Table2[[#This Row],[Course Title]],'TSD-Data'!$A$1:$E$80,3,FALSE)</f>
        <v>05ZE</v>
      </c>
      <c r="F309" s="659" t="s">
        <v>170</v>
      </c>
      <c r="G309" s="104">
        <v>46105</v>
      </c>
      <c r="H309" s="104">
        <v>46105</v>
      </c>
      <c r="I309" s="341" t="s">
        <v>163</v>
      </c>
      <c r="J309" s="318">
        <v>0.33333333333333331</v>
      </c>
      <c r="K309" s="318"/>
      <c r="L309" s="344"/>
      <c r="M309" s="344"/>
      <c r="N309" s="344"/>
      <c r="O309" s="344"/>
      <c r="P309" s="344"/>
      <c r="Q309" s="321" t="s">
        <v>168</v>
      </c>
      <c r="R309" s="321"/>
      <c r="S309" s="321"/>
      <c r="T309" s="316">
        <f>VLOOKUP(Table2[[#This Row],[Course Title]],'TSD-Data'!$A$1:$E$80,4,FALSE)</f>
        <v>30</v>
      </c>
      <c r="U309" s="316">
        <f>VLOOKUP(Table2[[#This Row],[Course Title]],'TSD-Data'!$A$1:$F$80,6,FALSE)</f>
        <v>8</v>
      </c>
      <c r="V309" s="323">
        <f>VLOOKUP(Table2[[#This Row],[Course Title]],'TSD-Data'!$A$1:$F$80,5,FALSE)</f>
        <v>1</v>
      </c>
      <c r="W309" s="323">
        <v>28</v>
      </c>
      <c r="X309" s="316">
        <f>Table2[[#This Row],[Quotas]]-Table2[[#This Row],[Open Quotas]]</f>
        <v>0</v>
      </c>
      <c r="Y309" s="316"/>
      <c r="Z309" s="323"/>
      <c r="AA309" s="323"/>
      <c r="AB309" s="363"/>
      <c r="AC309" s="363"/>
      <c r="AD309" s="316"/>
      <c r="AE309" s="316"/>
      <c r="AF309" s="323">
        <f ca="1">Table2[[#This Row],[End Date]]+2-TODAY()</f>
        <v>100</v>
      </c>
      <c r="AG309" s="316">
        <f>IF(ISBLANK(Table2[[#This Row],[Roster Received by]]),1,0)</f>
        <v>1</v>
      </c>
      <c r="AH309" s="316">
        <f ca="1">IF(Table2[[#This Row],[Start Date]]&gt;TODAY(),1,)</f>
        <v>1</v>
      </c>
      <c r="AI309" s="316">
        <f>IF(ISBLANK(Table2[[#This Row],[Primary Instructor]]),0,1)</f>
        <v>1</v>
      </c>
      <c r="AJ309" s="316">
        <f>IF(ISBLANK(Table2[[#This Row],[Instructor 2]]),0,1)</f>
        <v>0</v>
      </c>
      <c r="AK309" s="316">
        <f>Table2[[#This Row],[Course Length (Hours)]]/(SUM(Table2[[#This Row],[1]:[2]]))</f>
        <v>8</v>
      </c>
      <c r="AL309" s="638">
        <v>30</v>
      </c>
      <c r="AM309" s="433">
        <v>2</v>
      </c>
      <c r="AN309" s="363" t="str">
        <f>VLOOKUP(Table2[[#This Row],[Course Title]],'TSD-Data'!$A$1:$G$80,7,FALSE)</f>
        <v>N4</v>
      </c>
    </row>
    <row r="310" spans="2:40" s="428" customFormat="1" ht="15" customHeight="1" x14ac:dyDescent="0.25">
      <c r="B310" s="315"/>
      <c r="C310" s="364" t="s">
        <v>392</v>
      </c>
      <c r="D310" s="363" t="str">
        <f>VLOOKUP(Table2[[#This Row],[Course Title]],'TSD-Data'!$A$1:$E$80,2,FALSE)</f>
        <v>A-493-3004</v>
      </c>
      <c r="E310" s="363" t="str">
        <f>VLOOKUP(Table2[[#This Row],[Course Title]],'TSD-Data'!$A$1:$E$80,3,FALSE)</f>
        <v>31V6</v>
      </c>
      <c r="F310" s="364" t="s">
        <v>25</v>
      </c>
      <c r="G310" s="344">
        <v>46105</v>
      </c>
      <c r="H310" s="344">
        <v>46105</v>
      </c>
      <c r="I310" s="317" t="s">
        <v>163</v>
      </c>
      <c r="J310" s="318"/>
      <c r="K310" s="318">
        <v>0.97916666666666663</v>
      </c>
      <c r="L310" s="345">
        <v>0.85416666666666663</v>
      </c>
      <c r="M310" s="318">
        <v>0.27083333333333331</v>
      </c>
      <c r="N310" s="318">
        <v>0.1875</v>
      </c>
      <c r="O310" s="318">
        <v>0.77083333333333337</v>
      </c>
      <c r="P310" s="318">
        <v>0.52083333333333337</v>
      </c>
      <c r="Q310" s="321" t="s">
        <v>439</v>
      </c>
      <c r="R310" s="321"/>
      <c r="S310" s="321"/>
      <c r="T310" s="363">
        <f>VLOOKUP(Table2[[#This Row],[Course Title]],'TSD-Data'!$A$1:$E$80,4,FALSE)</f>
        <v>1000</v>
      </c>
      <c r="U310" s="363">
        <f>VLOOKUP(Table2[[#This Row],[Course Title]],'TSD-Data'!$A$1:$F$80,6,FALSE)</f>
        <v>1.5</v>
      </c>
      <c r="V310" s="323">
        <f>VLOOKUP(Table2[[#This Row],[Course Title]],'TSD-Data'!$A$1:$F$80,5,FALSE)</f>
        <v>0.2</v>
      </c>
      <c r="W310" s="323"/>
      <c r="X310" s="316">
        <f>Table2[[#This Row],[Quotas]]-Table2[[#This Row],[Open Quotas]]</f>
        <v>1</v>
      </c>
      <c r="Y310" s="316">
        <v>0</v>
      </c>
      <c r="Z310" s="323"/>
      <c r="AA310" s="323"/>
      <c r="AB310" s="363"/>
      <c r="AC310" s="363"/>
      <c r="AD310" s="316"/>
      <c r="AE310" s="316"/>
      <c r="AF310" s="323">
        <f ca="1">Table2[[#This Row],[End Date]]+2-TODAY()</f>
        <v>100</v>
      </c>
      <c r="AG310" s="363">
        <f>IF(ISBLANK(Table2[[#This Row],[Roster Received by]]),1,0)</f>
        <v>1</v>
      </c>
      <c r="AH310" s="363">
        <f ca="1">IF(Table2[[#This Row],[Start Date]]&gt;TODAY(),1,)</f>
        <v>1</v>
      </c>
      <c r="AI310" s="363">
        <f>IF(ISBLANK(Table2[[#This Row],[Primary Instructor]]),0,1)</f>
        <v>1</v>
      </c>
      <c r="AJ310" s="363">
        <f>IF(ISBLANK(Table2[[#This Row],[Instructor 2]]),0,1)</f>
        <v>0</v>
      </c>
      <c r="AK310" s="363">
        <f>Table2[[#This Row],[Course Length (Hours)]]/(SUM(Table2[[#This Row],[1]:[2]]))</f>
        <v>1.5</v>
      </c>
      <c r="AL310" s="638">
        <v>999</v>
      </c>
      <c r="AM310" s="363">
        <v>2</v>
      </c>
      <c r="AN310" s="363" t="str">
        <f>VLOOKUP(Table2[[#This Row],[Course Title]],'TSD-Data'!$A$1:$G$80,7,FALSE)</f>
        <v>N8</v>
      </c>
    </row>
    <row r="311" spans="2:40" s="428" customFormat="1" x14ac:dyDescent="0.25">
      <c r="B311" s="315"/>
      <c r="C311" s="364" t="s">
        <v>393</v>
      </c>
      <c r="D311" s="363" t="str">
        <f>VLOOKUP(Table2[[#This Row],[Course Title]],'TSD-Data'!$A$1:$E$80,2,FALSE)</f>
        <v>A-493-3011</v>
      </c>
      <c r="E311" s="363" t="str">
        <f>VLOOKUP(Table2[[#This Row],[Course Title]],'TSD-Data'!$A$1:$E$80,3,FALSE)</f>
        <v>31VD</v>
      </c>
      <c r="F311" s="447" t="s">
        <v>25</v>
      </c>
      <c r="G311" s="414">
        <v>46105</v>
      </c>
      <c r="H311" s="414">
        <v>46105</v>
      </c>
      <c r="I311" s="317" t="s">
        <v>163</v>
      </c>
      <c r="J311" s="318"/>
      <c r="K311" s="318">
        <v>6.9444444444444447E-4</v>
      </c>
      <c r="L311" s="345">
        <v>0.875</v>
      </c>
      <c r="M311" s="318">
        <v>0.79166666666666663</v>
      </c>
      <c r="N311" s="318">
        <v>0.20833333333333334</v>
      </c>
      <c r="O311" s="318">
        <v>0.79166666666666663</v>
      </c>
      <c r="P311" s="318">
        <v>0.54166666666666663</v>
      </c>
      <c r="Q311" s="321" t="s">
        <v>439</v>
      </c>
      <c r="R311" s="321"/>
      <c r="S311" s="321"/>
      <c r="T311" s="363">
        <f>VLOOKUP(Table2[[#This Row],[Course Title]],'TSD-Data'!$A$1:$E$80,4,FALSE)</f>
        <v>1000</v>
      </c>
      <c r="U311" s="363">
        <f>VLOOKUP(Table2[[#This Row],[Course Title]],'TSD-Data'!$A$1:$F$80,6,FALSE)</f>
        <v>2.5</v>
      </c>
      <c r="V311" s="323">
        <f>VLOOKUP(Table2[[#This Row],[Course Title]],'TSD-Data'!$A$1:$F$80,5,FALSE)</f>
        <v>0.3</v>
      </c>
      <c r="W311" s="323"/>
      <c r="X311" s="316">
        <f>Table2[[#This Row],[Quotas]]-Table2[[#This Row],[Open Quotas]]</f>
        <v>1</v>
      </c>
      <c r="Y311" s="316">
        <v>0</v>
      </c>
      <c r="Z311" s="323"/>
      <c r="AA311" s="323"/>
      <c r="AB311" s="363"/>
      <c r="AC311" s="363"/>
      <c r="AD311" s="316"/>
      <c r="AE311" s="316"/>
      <c r="AF311" s="323">
        <f ca="1">Table2[[#This Row],[End Date]]+2-TODAY()</f>
        <v>100</v>
      </c>
      <c r="AG311" s="363">
        <f>IF(ISBLANK(Table2[[#This Row],[Roster Received by]]),1,0)</f>
        <v>1</v>
      </c>
      <c r="AH311" s="363">
        <f ca="1">IF(Table2[[#This Row],[Start Date]]&gt;TODAY(),1,)</f>
        <v>1</v>
      </c>
      <c r="AI311" s="363">
        <f>IF(ISBLANK(Table2[[#This Row],[Primary Instructor]]),0,1)</f>
        <v>1</v>
      </c>
      <c r="AJ311" s="363">
        <f>IF(ISBLANK(Table2[[#This Row],[Instructor 2]]),0,1)</f>
        <v>0</v>
      </c>
      <c r="AK311" s="363">
        <f>Table2[[#This Row],[Course Length (Hours)]]/(SUM(Table2[[#This Row],[1]:[2]]))</f>
        <v>2.5</v>
      </c>
      <c r="AL311" s="638">
        <v>999</v>
      </c>
      <c r="AM311" s="363">
        <v>2</v>
      </c>
      <c r="AN311" s="363" t="str">
        <f>VLOOKUP(Table2[[#This Row],[Course Title]],'TSD-Data'!$A$1:$G$80,7,FALSE)</f>
        <v>N8</v>
      </c>
    </row>
    <row r="312" spans="2:40" s="428" customFormat="1" x14ac:dyDescent="0.25">
      <c r="B312" s="315"/>
      <c r="C312" s="364" t="s">
        <v>403</v>
      </c>
      <c r="D312" s="363" t="str">
        <f>VLOOKUP(Table2[[#This Row],[Course Title]],'TSD-Data'!$A$1:$E$80,2,FALSE)</f>
        <v>A-493-3001</v>
      </c>
      <c r="E312" s="363" t="str">
        <f>VLOOKUP(Table2[[#This Row],[Course Title]],'TSD-Data'!$A$1:$E$80,3,FALSE)</f>
        <v>31V3</v>
      </c>
      <c r="F312" s="364" t="s">
        <v>25</v>
      </c>
      <c r="G312" s="344">
        <v>46105</v>
      </c>
      <c r="H312" s="344">
        <v>46105</v>
      </c>
      <c r="I312" s="317" t="s">
        <v>163</v>
      </c>
      <c r="J312" s="318"/>
      <c r="K312" s="318">
        <v>0.79166666666666663</v>
      </c>
      <c r="L312" s="345">
        <v>0.66666666666666663</v>
      </c>
      <c r="M312" s="318">
        <v>8.3333333333333329E-2</v>
      </c>
      <c r="N312" s="318">
        <v>6.9444444444444447E-4</v>
      </c>
      <c r="O312" s="318">
        <v>0.58333333333333337</v>
      </c>
      <c r="P312" s="318">
        <v>0.33333333333333331</v>
      </c>
      <c r="Q312" s="321" t="s">
        <v>439</v>
      </c>
      <c r="R312" s="321"/>
      <c r="S312" s="321"/>
      <c r="T312" s="363">
        <f>VLOOKUP(Table2[[#This Row],[Course Title]],'TSD-Data'!$A$1:$E$80,4,FALSE)</f>
        <v>1000</v>
      </c>
      <c r="U312" s="363">
        <f>VLOOKUP(Table2[[#This Row],[Course Title]],'TSD-Data'!$A$1:$F$80,6,FALSE)</f>
        <v>2</v>
      </c>
      <c r="V312" s="323">
        <f>VLOOKUP(Table2[[#This Row],[Course Title]],'TSD-Data'!$A$1:$F$80,5,FALSE)</f>
        <v>0.25</v>
      </c>
      <c r="W312" s="323"/>
      <c r="X312" s="316">
        <f>Table2[[#This Row],[Quotas]]-Table2[[#This Row],[Open Quotas]]</f>
        <v>1</v>
      </c>
      <c r="Y312" s="316">
        <v>0</v>
      </c>
      <c r="Z312" s="323"/>
      <c r="AA312" s="323"/>
      <c r="AB312" s="363"/>
      <c r="AC312" s="363"/>
      <c r="AD312" s="316"/>
      <c r="AE312" s="316"/>
      <c r="AF312" s="323">
        <f ca="1">Table2[[#This Row],[End Date]]+2-TODAY()</f>
        <v>100</v>
      </c>
      <c r="AG312" s="363">
        <f>IF(ISBLANK(Table2[[#This Row],[Roster Received by]]),1,0)</f>
        <v>1</v>
      </c>
      <c r="AH312" s="363">
        <f ca="1">IF(Table2[[#This Row],[Start Date]]&gt;TODAY(),1,)</f>
        <v>1</v>
      </c>
      <c r="AI312" s="363">
        <f>IF(ISBLANK(Table2[[#This Row],[Primary Instructor]]),0,1)</f>
        <v>1</v>
      </c>
      <c r="AJ312" s="363">
        <f>IF(ISBLANK(Table2[[#This Row],[Instructor 2]]),0,1)</f>
        <v>0</v>
      </c>
      <c r="AK312" s="363">
        <f>Table2[[#This Row],[Course Length (Hours)]]/(SUM(Table2[[#This Row],[1]:[2]]))</f>
        <v>2</v>
      </c>
      <c r="AL312" s="638">
        <v>999</v>
      </c>
      <c r="AM312" s="363">
        <v>2</v>
      </c>
      <c r="AN312" s="363" t="str">
        <f>VLOOKUP(Table2[[#This Row],[Course Title]],'TSD-Data'!$A$1:$G$80,7,FALSE)</f>
        <v>N8</v>
      </c>
    </row>
    <row r="313" spans="2:40" s="428" customFormat="1" ht="15" customHeight="1" x14ac:dyDescent="0.25">
      <c r="B313" s="315"/>
      <c r="C313" s="364" t="s">
        <v>390</v>
      </c>
      <c r="D313" s="363" t="str">
        <f>VLOOKUP(Table2[[#This Row],[Course Title]],'TSD-Data'!$A$1:$E$80,2,FALSE)</f>
        <v>A-493-3018</v>
      </c>
      <c r="E313" s="363" t="str">
        <f>VLOOKUP(Table2[[#This Row],[Course Title]],'TSD-Data'!$A$1:$E$80,3,FALSE)</f>
        <v>31YM</v>
      </c>
      <c r="F313" s="364" t="s">
        <v>25</v>
      </c>
      <c r="G313" s="344">
        <v>46106</v>
      </c>
      <c r="H313" s="344">
        <v>46106</v>
      </c>
      <c r="I313" s="317" t="s">
        <v>163</v>
      </c>
      <c r="J313" s="318"/>
      <c r="K313" s="318">
        <v>6.25E-2</v>
      </c>
      <c r="L313" s="345">
        <v>0.9375</v>
      </c>
      <c r="M313" s="318">
        <v>0.35416666666666669</v>
      </c>
      <c r="N313" s="318">
        <v>0.27083333333333331</v>
      </c>
      <c r="O313" s="318">
        <v>0.85416666666666663</v>
      </c>
      <c r="P313" s="318">
        <v>0.60416666666666663</v>
      </c>
      <c r="Q313" s="321" t="s">
        <v>439</v>
      </c>
      <c r="R313" s="321"/>
      <c r="S313" s="321"/>
      <c r="T313" s="363">
        <f>VLOOKUP(Table2[[#This Row],[Course Title]],'TSD-Data'!$A$1:$E$80,4,FALSE)</f>
        <v>1000</v>
      </c>
      <c r="U313" s="363">
        <f>VLOOKUP(Table2[[#This Row],[Course Title]],'TSD-Data'!$A$1:$F$80,6,FALSE)</f>
        <v>2.5</v>
      </c>
      <c r="V313" s="323">
        <f>VLOOKUP(Table2[[#This Row],[Course Title]],'TSD-Data'!$A$1:$F$80,5,FALSE)</f>
        <v>0.3</v>
      </c>
      <c r="W313" s="323"/>
      <c r="X313" s="316">
        <f>Table2[[#This Row],[Quotas]]-Table2[[#This Row],[Open Quotas]]</f>
        <v>1</v>
      </c>
      <c r="Y313" s="316">
        <v>0</v>
      </c>
      <c r="Z313" s="323"/>
      <c r="AA313" s="323"/>
      <c r="AB313" s="363"/>
      <c r="AC313" s="363"/>
      <c r="AD313" s="316"/>
      <c r="AE313" s="316"/>
      <c r="AF313" s="323">
        <f ca="1">Table2[[#This Row],[End Date]]+2-TODAY()</f>
        <v>101</v>
      </c>
      <c r="AG313" s="363">
        <f>IF(ISBLANK(Table2[[#This Row],[Roster Received by]]),1,0)</f>
        <v>1</v>
      </c>
      <c r="AH313" s="363">
        <f ca="1">IF(Table2[[#This Row],[Start Date]]&gt;TODAY(),1,)</f>
        <v>1</v>
      </c>
      <c r="AI313" s="363">
        <f>IF(ISBLANK(Table2[[#This Row],[Primary Instructor]]),0,1)</f>
        <v>1</v>
      </c>
      <c r="AJ313" s="363">
        <f>IF(ISBLANK(Table2[[#This Row],[Instructor 2]]),0,1)</f>
        <v>0</v>
      </c>
      <c r="AK313" s="363">
        <f>Table2[[#This Row],[Course Length (Hours)]]/(SUM(Table2[[#This Row],[1]:[2]]))</f>
        <v>2.5</v>
      </c>
      <c r="AL313" s="638">
        <v>999</v>
      </c>
      <c r="AM313" s="363">
        <v>2</v>
      </c>
      <c r="AN313" s="363" t="str">
        <f>VLOOKUP(Table2[[#This Row],[Course Title]],'TSD-Data'!$A$1:$G$80,7,FALSE)</f>
        <v>N8</v>
      </c>
    </row>
    <row r="314" spans="2:40" s="428" customFormat="1" x14ac:dyDescent="0.25">
      <c r="B314" s="315"/>
      <c r="C314" s="364" t="s">
        <v>397</v>
      </c>
      <c r="D314" s="363" t="str">
        <f>VLOOKUP(Table2[[#This Row],[Course Title]],'TSD-Data'!$A$1:$E$80,2,FALSE)</f>
        <v>A-493-3013</v>
      </c>
      <c r="E314" s="363" t="str">
        <f>VLOOKUP(Table2[[#This Row],[Course Title]],'TSD-Data'!$A$1:$E$80,3,FALSE)</f>
        <v>31YG</v>
      </c>
      <c r="F314" s="364" t="s">
        <v>25</v>
      </c>
      <c r="G314" s="344">
        <v>46106</v>
      </c>
      <c r="H314" s="344">
        <v>46106</v>
      </c>
      <c r="I314" s="317" t="s">
        <v>163</v>
      </c>
      <c r="J314" s="318"/>
      <c r="K314" s="318">
        <v>0.89583333333333337</v>
      </c>
      <c r="L314" s="345">
        <v>0.77083333333333337</v>
      </c>
      <c r="M314" s="318">
        <v>0.1875</v>
      </c>
      <c r="N314" s="318">
        <v>0.10416666666666667</v>
      </c>
      <c r="O314" s="318">
        <v>0.6875</v>
      </c>
      <c r="P314" s="318">
        <v>0.4375</v>
      </c>
      <c r="Q314" s="321" t="s">
        <v>439</v>
      </c>
      <c r="R314" s="321"/>
      <c r="S314" s="321"/>
      <c r="T314" s="363">
        <f>VLOOKUP(Table2[[#This Row],[Course Title]],'TSD-Data'!$A$1:$E$80,4,FALSE)</f>
        <v>1000</v>
      </c>
      <c r="U314" s="363">
        <f>VLOOKUP(Table2[[#This Row],[Course Title]],'TSD-Data'!$A$1:$F$80,6,FALSE)</f>
        <v>1</v>
      </c>
      <c r="V314" s="323">
        <f>VLOOKUP(Table2[[#This Row],[Course Title]],'TSD-Data'!$A$1:$F$80,5,FALSE)</f>
        <v>0.1</v>
      </c>
      <c r="W314" s="323"/>
      <c r="X314" s="316">
        <f>Table2[[#This Row],[Quotas]]-Table2[[#This Row],[Open Quotas]]</f>
        <v>1</v>
      </c>
      <c r="Y314" s="316">
        <v>0</v>
      </c>
      <c r="Z314" s="323"/>
      <c r="AA314" s="323"/>
      <c r="AB314" s="363"/>
      <c r="AC314" s="363"/>
      <c r="AD314" s="316"/>
      <c r="AE314" s="316"/>
      <c r="AF314" s="323">
        <f ca="1">Table2[[#This Row],[End Date]]+2-TODAY()</f>
        <v>101</v>
      </c>
      <c r="AG314" s="363">
        <f>IF(ISBLANK(Table2[[#This Row],[Roster Received by]]),1,0)</f>
        <v>1</v>
      </c>
      <c r="AH314" s="363">
        <f ca="1">IF(Table2[[#This Row],[Start Date]]&gt;TODAY(),1,)</f>
        <v>1</v>
      </c>
      <c r="AI314" s="363">
        <f>IF(ISBLANK(Table2[[#This Row],[Primary Instructor]]),0,1)</f>
        <v>1</v>
      </c>
      <c r="AJ314" s="363">
        <f>IF(ISBLANK(Table2[[#This Row],[Instructor 2]]),0,1)</f>
        <v>0</v>
      </c>
      <c r="AK314" s="363">
        <f>Table2[[#This Row],[Course Length (Hours)]]/(SUM(Table2[[#This Row],[1]:[2]]))</f>
        <v>1</v>
      </c>
      <c r="AL314" s="638">
        <v>999</v>
      </c>
      <c r="AM314" s="363">
        <v>2</v>
      </c>
      <c r="AN314" s="363" t="str">
        <f>VLOOKUP(Table2[[#This Row],[Course Title]],'TSD-Data'!$A$1:$G$80,7,FALSE)</f>
        <v>N8</v>
      </c>
    </row>
    <row r="315" spans="2:40" s="428" customFormat="1" ht="15" customHeight="1" x14ac:dyDescent="0.25">
      <c r="B315" s="315"/>
      <c r="C315" s="364" t="s">
        <v>399</v>
      </c>
      <c r="D315" s="363" t="str">
        <f>VLOOKUP(Table2[[#This Row],[Course Title]],'TSD-Data'!$A$1:$E$80,2,FALSE)</f>
        <v>A-493-3015</v>
      </c>
      <c r="E315" s="363" t="str">
        <f>VLOOKUP(Table2[[#This Row],[Course Title]],'TSD-Data'!$A$1:$E$80,3,FALSE)</f>
        <v>31YJ</v>
      </c>
      <c r="F315" s="364" t="s">
        <v>25</v>
      </c>
      <c r="G315" s="344">
        <v>46106</v>
      </c>
      <c r="H315" s="344">
        <v>46106</v>
      </c>
      <c r="I315" s="317" t="s">
        <v>163</v>
      </c>
      <c r="J315" s="318"/>
      <c r="K315" s="318">
        <v>0.79166666666666663</v>
      </c>
      <c r="L315" s="345">
        <v>0.66666666666666663</v>
      </c>
      <c r="M315" s="318">
        <v>8.3333333333333329E-2</v>
      </c>
      <c r="N315" s="318">
        <v>6.9444444444444447E-4</v>
      </c>
      <c r="O315" s="318">
        <v>0.58333333333333337</v>
      </c>
      <c r="P315" s="318">
        <v>0.33333333333333331</v>
      </c>
      <c r="Q315" s="321" t="s">
        <v>439</v>
      </c>
      <c r="R315" s="321"/>
      <c r="S315" s="321"/>
      <c r="T315" s="363">
        <f>VLOOKUP(Table2[[#This Row],[Course Title]],'TSD-Data'!$A$1:$E$80,4,FALSE)</f>
        <v>1000</v>
      </c>
      <c r="U315" s="363">
        <f>VLOOKUP(Table2[[#This Row],[Course Title]],'TSD-Data'!$A$1:$F$80,6,FALSE)</f>
        <v>1</v>
      </c>
      <c r="V315" s="323">
        <f>VLOOKUP(Table2[[#This Row],[Course Title]],'TSD-Data'!$A$1:$F$80,5,FALSE)</f>
        <v>0.1</v>
      </c>
      <c r="W315" s="323"/>
      <c r="X315" s="316">
        <f>Table2[[#This Row],[Quotas]]-Table2[[#This Row],[Open Quotas]]</f>
        <v>1</v>
      </c>
      <c r="Y315" s="316">
        <v>0</v>
      </c>
      <c r="Z315" s="323"/>
      <c r="AA315" s="323"/>
      <c r="AB315" s="363"/>
      <c r="AC315" s="363"/>
      <c r="AD315" s="316"/>
      <c r="AE315" s="316"/>
      <c r="AF315" s="323">
        <f ca="1">Table2[[#This Row],[End Date]]+2-TODAY()</f>
        <v>101</v>
      </c>
      <c r="AG315" s="363">
        <f>IF(ISBLANK(Table2[[#This Row],[Roster Received by]]),1,0)</f>
        <v>1</v>
      </c>
      <c r="AH315" s="363">
        <f ca="1">IF(Table2[[#This Row],[Start Date]]&gt;TODAY(),1,)</f>
        <v>1</v>
      </c>
      <c r="AI315" s="363">
        <f>IF(ISBLANK(Table2[[#This Row],[Primary Instructor]]),0,1)</f>
        <v>1</v>
      </c>
      <c r="AJ315" s="363">
        <f>IF(ISBLANK(Table2[[#This Row],[Instructor 2]]),0,1)</f>
        <v>0</v>
      </c>
      <c r="AK315" s="363">
        <f>Table2[[#This Row],[Course Length (Hours)]]/(SUM(Table2[[#This Row],[1]:[2]]))</f>
        <v>1</v>
      </c>
      <c r="AL315" s="638">
        <v>999</v>
      </c>
      <c r="AM315" s="363">
        <v>2</v>
      </c>
      <c r="AN315" s="363" t="str">
        <f>VLOOKUP(Table2[[#This Row],[Course Title]],'TSD-Data'!$A$1:$G$80,7,FALSE)</f>
        <v>N8</v>
      </c>
    </row>
    <row r="316" spans="2:40" s="428" customFormat="1" ht="15" customHeight="1" x14ac:dyDescent="0.25">
      <c r="B316" s="315"/>
      <c r="C316" s="364" t="s">
        <v>400</v>
      </c>
      <c r="D316" s="363" t="str">
        <f>VLOOKUP(Table2[[#This Row],[Course Title]],'TSD-Data'!$A$1:$E$80,2,FALSE)</f>
        <v>A-493-3016</v>
      </c>
      <c r="E316" s="363" t="str">
        <f>VLOOKUP(Table2[[#This Row],[Course Title]],'TSD-Data'!$A$1:$E$80,3,FALSE)</f>
        <v>31Yk</v>
      </c>
      <c r="F316" s="364" t="s">
        <v>25</v>
      </c>
      <c r="G316" s="344">
        <v>46106</v>
      </c>
      <c r="H316" s="344">
        <v>46106</v>
      </c>
      <c r="I316" s="317" t="s">
        <v>163</v>
      </c>
      <c r="J316" s="318"/>
      <c r="K316" s="318">
        <v>0.97916666666666663</v>
      </c>
      <c r="L316" s="345">
        <v>0.85416666666666663</v>
      </c>
      <c r="M316" s="318">
        <v>0.27083333333333331</v>
      </c>
      <c r="N316" s="318">
        <v>0.1875</v>
      </c>
      <c r="O316" s="318">
        <v>0.77083333333333337</v>
      </c>
      <c r="P316" s="318">
        <v>0.52083333333333337</v>
      </c>
      <c r="Q316" s="321" t="s">
        <v>439</v>
      </c>
      <c r="R316" s="321"/>
      <c r="S316" s="321"/>
      <c r="T316" s="363">
        <f>VLOOKUP(Table2[[#This Row],[Course Title]],'TSD-Data'!$A$1:$E$80,4,FALSE)</f>
        <v>1000</v>
      </c>
      <c r="U316" s="363">
        <f>VLOOKUP(Table2[[#This Row],[Course Title]],'TSD-Data'!$A$1:$F$80,6,FALSE)</f>
        <v>1</v>
      </c>
      <c r="V316" s="323">
        <f>VLOOKUP(Table2[[#This Row],[Course Title]],'TSD-Data'!$A$1:$F$80,5,FALSE)</f>
        <v>0.1</v>
      </c>
      <c r="W316" s="323"/>
      <c r="X316" s="316">
        <f>Table2[[#This Row],[Quotas]]-Table2[[#This Row],[Open Quotas]]</f>
        <v>1</v>
      </c>
      <c r="Y316" s="316">
        <v>0</v>
      </c>
      <c r="Z316" s="323"/>
      <c r="AA316" s="323"/>
      <c r="AB316" s="363"/>
      <c r="AC316" s="363"/>
      <c r="AD316" s="316"/>
      <c r="AE316" s="316"/>
      <c r="AF316" s="323">
        <f ca="1">Table2[[#This Row],[End Date]]+2-TODAY()</f>
        <v>101</v>
      </c>
      <c r="AG316" s="363">
        <f>IF(ISBLANK(Table2[[#This Row],[Roster Received by]]),1,0)</f>
        <v>1</v>
      </c>
      <c r="AH316" s="363">
        <f ca="1">IF(Table2[[#This Row],[Start Date]]&gt;TODAY(),1,)</f>
        <v>1</v>
      </c>
      <c r="AI316" s="363">
        <f>IF(ISBLANK(Table2[[#This Row],[Primary Instructor]]),0,1)</f>
        <v>1</v>
      </c>
      <c r="AJ316" s="363">
        <f>IF(ISBLANK(Table2[[#This Row],[Instructor 2]]),0,1)</f>
        <v>0</v>
      </c>
      <c r="AK316" s="363">
        <f>Table2[[#This Row],[Course Length (Hours)]]/(SUM(Table2[[#This Row],[1]:[2]]))</f>
        <v>1</v>
      </c>
      <c r="AL316" s="638">
        <v>999</v>
      </c>
      <c r="AM316" s="363">
        <v>2</v>
      </c>
      <c r="AN316" s="363" t="str">
        <f>VLOOKUP(Table2[[#This Row],[Course Title]],'TSD-Data'!$A$1:$G$80,7,FALSE)</f>
        <v>N8</v>
      </c>
    </row>
    <row r="317" spans="2:40" s="428" customFormat="1" ht="15" customHeight="1" x14ac:dyDescent="0.25">
      <c r="B317" s="315"/>
      <c r="C317" s="94" t="s">
        <v>80</v>
      </c>
      <c r="D317" s="70" t="str">
        <f>VLOOKUP(Table2[[#This Row],[Course Title]],'TSD-Data'!$A$1:$E$80,2,FALSE)</f>
        <v>A-493-0083</v>
      </c>
      <c r="E317" s="70" t="str">
        <f>VLOOKUP(Table2[[#This Row],[Course Title]],'TSD-Data'!$A$1:$E$80,3,FALSE)</f>
        <v>339E</v>
      </c>
      <c r="F317" s="94" t="s">
        <v>162</v>
      </c>
      <c r="G317" s="72">
        <v>46107</v>
      </c>
      <c r="H317" s="72">
        <v>46107</v>
      </c>
      <c r="I317" s="341" t="s">
        <v>163</v>
      </c>
      <c r="J317" s="318">
        <v>0.33333333333333331</v>
      </c>
      <c r="K317" s="318"/>
      <c r="L317" s="317"/>
      <c r="M317" s="317"/>
      <c r="N317" s="317"/>
      <c r="O317" s="317"/>
      <c r="P317" s="317"/>
      <c r="Q317" s="321" t="s">
        <v>168</v>
      </c>
      <c r="R317" s="321"/>
      <c r="S317" s="321"/>
      <c r="T317" s="316">
        <f>VLOOKUP(Table2[[#This Row],[Course Title]],'TSD-Data'!$A$1:$E$80,4,FALSE)</f>
        <v>30</v>
      </c>
      <c r="U317" s="316">
        <f>VLOOKUP(Table2[[#This Row],[Course Title]],'TSD-Data'!$A$1:$F$80,6,FALSE)</f>
        <v>8</v>
      </c>
      <c r="V317" s="323">
        <f>VLOOKUP(Table2[[#This Row],[Course Title]],'TSD-Data'!$A$1:$F$80,5,FALSE)</f>
        <v>1</v>
      </c>
      <c r="W317" s="323">
        <v>14</v>
      </c>
      <c r="X317" s="316">
        <f>Table2[[#This Row],[Quotas]]-Table2[[#This Row],[Open Quotas]]</f>
        <v>0</v>
      </c>
      <c r="Y317" s="316"/>
      <c r="Z317" s="323"/>
      <c r="AA317" s="323"/>
      <c r="AB317" s="363"/>
      <c r="AC317" s="363"/>
      <c r="AD317" s="316"/>
      <c r="AE317" s="316"/>
      <c r="AF317" s="323">
        <f ca="1">Table2[[#This Row],[End Date]]+2-TODAY()</f>
        <v>102</v>
      </c>
      <c r="AG317" s="316">
        <f>IF(ISBLANK(Table2[[#This Row],[Roster Received by]]),1,0)</f>
        <v>1</v>
      </c>
      <c r="AH317" s="316">
        <f ca="1">IF(Table2[[#This Row],[Start Date]]&gt;TODAY(),1,)</f>
        <v>1</v>
      </c>
      <c r="AI317" s="316">
        <f>IF(ISBLANK(Table2[[#This Row],[Primary Instructor]]),0,1)</f>
        <v>1</v>
      </c>
      <c r="AJ317" s="316">
        <f>IF(ISBLANK(Table2[[#This Row],[Instructor 2]]),0,1)</f>
        <v>0</v>
      </c>
      <c r="AK317" s="316">
        <f>Table2[[#This Row],[Course Length (Hours)]]/(SUM(Table2[[#This Row],[1]:[2]]))</f>
        <v>8</v>
      </c>
      <c r="AL317" s="638">
        <v>30</v>
      </c>
      <c r="AM317" s="433">
        <v>2</v>
      </c>
      <c r="AN317" s="363" t="str">
        <f>VLOOKUP(Table2[[#This Row],[Course Title]],'TSD-Data'!$A$1:$G$80,7,FALSE)</f>
        <v>N4</v>
      </c>
    </row>
    <row r="318" spans="2:40" s="428" customFormat="1" ht="15" customHeight="1" x14ac:dyDescent="0.25">
      <c r="B318" s="364" t="s">
        <v>462</v>
      </c>
      <c r="C318" s="94" t="s">
        <v>110</v>
      </c>
      <c r="D318" s="70" t="str">
        <f>VLOOKUP(Table2[[#This Row],[Course Title]],'TSD-Data'!$A$1:$E$80,2,FALSE)</f>
        <v>A-493-2501</v>
      </c>
      <c r="E318" s="70" t="str">
        <f>VLOOKUP(Table2[[#This Row],[Course Title]],'TSD-Data'!$A$1:$E$80,3,FALSE)</f>
        <v>05ZE</v>
      </c>
      <c r="F318" s="94" t="s">
        <v>290</v>
      </c>
      <c r="G318" s="72">
        <v>46107</v>
      </c>
      <c r="H318" s="72">
        <v>46107</v>
      </c>
      <c r="I318" s="341" t="s">
        <v>163</v>
      </c>
      <c r="J318" s="318">
        <v>0.33333333333333331</v>
      </c>
      <c r="K318" s="318"/>
      <c r="L318" s="317"/>
      <c r="M318" s="317"/>
      <c r="N318" s="317"/>
      <c r="O318" s="317"/>
      <c r="P318" s="317"/>
      <c r="Q318" s="321" t="s">
        <v>168</v>
      </c>
      <c r="R318" s="321"/>
      <c r="S318" s="321"/>
      <c r="T318" s="316">
        <f>VLOOKUP(Table2[[#This Row],[Course Title]],'TSD-Data'!$A$1:$E$80,4,FALSE)</f>
        <v>30</v>
      </c>
      <c r="U318" s="316">
        <f>VLOOKUP(Table2[[#This Row],[Course Title]],'TSD-Data'!$A$1:$F$80,6,FALSE)</f>
        <v>8</v>
      </c>
      <c r="V318" s="323">
        <f>VLOOKUP(Table2[[#This Row],[Course Title]],'TSD-Data'!$A$1:$F$80,5,FALSE)</f>
        <v>1</v>
      </c>
      <c r="W318" s="323">
        <v>40</v>
      </c>
      <c r="X318" s="316">
        <f>Table2[[#This Row],[Quotas]]-Table2[[#This Row],[Open Quotas]]</f>
        <v>0</v>
      </c>
      <c r="Y318" s="316"/>
      <c r="Z318" s="323"/>
      <c r="AA318" s="323"/>
      <c r="AB318" s="363"/>
      <c r="AC318" s="363"/>
      <c r="AD318" s="316"/>
      <c r="AE318" s="316"/>
      <c r="AF318" s="323">
        <f ca="1">Table2[[#This Row],[End Date]]+2-TODAY()</f>
        <v>102</v>
      </c>
      <c r="AG318" s="316">
        <f>IF(ISBLANK(Table2[[#This Row],[Roster Received by]]),1,0)</f>
        <v>1</v>
      </c>
      <c r="AH318" s="316">
        <f ca="1">IF(Table2[[#This Row],[Start Date]]&gt;TODAY(),1,)</f>
        <v>1</v>
      </c>
      <c r="AI318" s="316">
        <f>IF(ISBLANK(Table2[[#This Row],[Primary Instructor]]),0,1)</f>
        <v>1</v>
      </c>
      <c r="AJ318" s="316">
        <f>IF(ISBLANK(Table2[[#This Row],[Instructor 2]]),0,1)</f>
        <v>0</v>
      </c>
      <c r="AK318" s="316">
        <f>Table2[[#This Row],[Course Length (Hours)]]/(SUM(Table2[[#This Row],[1]:[2]]))</f>
        <v>8</v>
      </c>
      <c r="AL318" s="638">
        <v>30</v>
      </c>
      <c r="AM318" s="433">
        <v>2</v>
      </c>
      <c r="AN318" s="363" t="str">
        <f>VLOOKUP(Table2[[#This Row],[Course Title]],'TSD-Data'!$A$1:$G$80,7,FALSE)</f>
        <v>N4</v>
      </c>
    </row>
    <row r="319" spans="2:40" s="428" customFormat="1" x14ac:dyDescent="0.25">
      <c r="B319" s="315"/>
      <c r="C319" s="364" t="s">
        <v>391</v>
      </c>
      <c r="D319" s="363" t="str">
        <f>VLOOKUP(Table2[[#This Row],[Course Title]],'TSD-Data'!$A$1:$E$80,2,FALSE)</f>
        <v>A-493-3005</v>
      </c>
      <c r="E319" s="363" t="str">
        <f>VLOOKUP(Table2[[#This Row],[Course Title]],'TSD-Data'!$A$1:$E$80,3,FALSE)</f>
        <v>31V7</v>
      </c>
      <c r="F319" s="364" t="s">
        <v>25</v>
      </c>
      <c r="G319" s="344">
        <v>46107</v>
      </c>
      <c r="H319" s="344">
        <v>46107</v>
      </c>
      <c r="I319" s="317" t="s">
        <v>163</v>
      </c>
      <c r="J319" s="318"/>
      <c r="K319" s="318">
        <v>0.94791666666666663</v>
      </c>
      <c r="L319" s="345">
        <v>0.82291666666666663</v>
      </c>
      <c r="M319" s="318">
        <v>0.23958333333333334</v>
      </c>
      <c r="N319" s="318">
        <v>0.15625</v>
      </c>
      <c r="O319" s="318">
        <v>0.73958333333333337</v>
      </c>
      <c r="P319" s="318">
        <v>0.48958333333333331</v>
      </c>
      <c r="Q319" s="321" t="s">
        <v>439</v>
      </c>
      <c r="R319" s="321"/>
      <c r="S319" s="321"/>
      <c r="T319" s="363">
        <f>VLOOKUP(Table2[[#This Row],[Course Title]],'TSD-Data'!$A$1:$E$80,4,FALSE)</f>
        <v>1000</v>
      </c>
      <c r="U319" s="363">
        <f>VLOOKUP(Table2[[#This Row],[Course Title]],'TSD-Data'!$A$1:$F$80,6,FALSE)</f>
        <v>2</v>
      </c>
      <c r="V319" s="323">
        <f>VLOOKUP(Table2[[#This Row],[Course Title]],'TSD-Data'!$A$1:$F$80,5,FALSE)</f>
        <v>0.25</v>
      </c>
      <c r="W319" s="323"/>
      <c r="X319" s="316">
        <f>Table2[[#This Row],[Quotas]]-Table2[[#This Row],[Open Quotas]]</f>
        <v>1</v>
      </c>
      <c r="Y319" s="316">
        <v>0</v>
      </c>
      <c r="Z319" s="323"/>
      <c r="AA319" s="323"/>
      <c r="AB319" s="363"/>
      <c r="AC319" s="363"/>
      <c r="AD319" s="316"/>
      <c r="AE319" s="316"/>
      <c r="AF319" s="323">
        <f ca="1">Table2[[#This Row],[End Date]]+2-TODAY()</f>
        <v>102</v>
      </c>
      <c r="AG319" s="363">
        <f>IF(ISBLANK(Table2[[#This Row],[Roster Received by]]),1,0)</f>
        <v>1</v>
      </c>
      <c r="AH319" s="363">
        <f ca="1">IF(Table2[[#This Row],[Start Date]]&gt;TODAY(),1,)</f>
        <v>1</v>
      </c>
      <c r="AI319" s="363">
        <f>IF(ISBLANK(Table2[[#This Row],[Primary Instructor]]),0,1)</f>
        <v>1</v>
      </c>
      <c r="AJ319" s="363">
        <f>IF(ISBLANK(Table2[[#This Row],[Instructor 2]]),0,1)</f>
        <v>0</v>
      </c>
      <c r="AK319" s="363">
        <f>Table2[[#This Row],[Course Length (Hours)]]/(SUM(Table2[[#This Row],[1]:[2]]))</f>
        <v>2</v>
      </c>
      <c r="AL319" s="638">
        <v>999</v>
      </c>
      <c r="AM319" s="363">
        <v>2</v>
      </c>
      <c r="AN319" s="363" t="str">
        <f>VLOOKUP(Table2[[#This Row],[Course Title]],'TSD-Data'!$A$1:$G$80,7,FALSE)</f>
        <v>N8</v>
      </c>
    </row>
    <row r="320" spans="2:40" s="428" customFormat="1" ht="15" customHeight="1" x14ac:dyDescent="0.25">
      <c r="B320" s="315"/>
      <c r="C320" s="364" t="s">
        <v>398</v>
      </c>
      <c r="D320" s="363" t="str">
        <f>VLOOKUP(Table2[[#This Row],[Course Title]],'TSD-Data'!$A$1:$E$80,2,FALSE)</f>
        <v>A-493-3014</v>
      </c>
      <c r="E320" s="363" t="str">
        <f>VLOOKUP(Table2[[#This Row],[Course Title]],'TSD-Data'!$A$1:$E$80,3,FALSE)</f>
        <v>31Yh</v>
      </c>
      <c r="F320" s="364" t="s">
        <v>25</v>
      </c>
      <c r="G320" s="344">
        <v>46107</v>
      </c>
      <c r="H320" s="344">
        <v>46107</v>
      </c>
      <c r="I320" s="317" t="s">
        <v>163</v>
      </c>
      <c r="J320" s="318"/>
      <c r="K320" s="318">
        <v>6.25E-2</v>
      </c>
      <c r="L320" s="345">
        <v>0.9375</v>
      </c>
      <c r="M320" s="318">
        <v>0.35416666666666669</v>
      </c>
      <c r="N320" s="318">
        <v>0.27083333333333331</v>
      </c>
      <c r="O320" s="318">
        <v>0.85416666666666663</v>
      </c>
      <c r="P320" s="318">
        <v>0.60416666666666663</v>
      </c>
      <c r="Q320" s="321" t="s">
        <v>439</v>
      </c>
      <c r="R320" s="321"/>
      <c r="S320" s="321"/>
      <c r="T320" s="363">
        <f>VLOOKUP(Table2[[#This Row],[Course Title]],'TSD-Data'!$A$1:$E$80,4,FALSE)</f>
        <v>1000</v>
      </c>
      <c r="U320" s="363">
        <f>VLOOKUP(Table2[[#This Row],[Course Title]],'TSD-Data'!$A$1:$F$80,6,FALSE)</f>
        <v>0.75</v>
      </c>
      <c r="V320" s="323">
        <f>VLOOKUP(Table2[[#This Row],[Course Title]],'TSD-Data'!$A$1:$F$80,5,FALSE)</f>
        <v>0.1</v>
      </c>
      <c r="W320" s="323"/>
      <c r="X320" s="316">
        <f>Table2[[#This Row],[Quotas]]-Table2[[#This Row],[Open Quotas]]</f>
        <v>1</v>
      </c>
      <c r="Y320" s="316">
        <v>0</v>
      </c>
      <c r="Z320" s="323"/>
      <c r="AA320" s="323"/>
      <c r="AB320" s="363"/>
      <c r="AC320" s="363"/>
      <c r="AD320" s="316"/>
      <c r="AE320" s="316"/>
      <c r="AF320" s="323">
        <f ca="1">Table2[[#This Row],[End Date]]+2-TODAY()</f>
        <v>102</v>
      </c>
      <c r="AG320" s="363">
        <f>IF(ISBLANK(Table2[[#This Row],[Roster Received by]]),1,0)</f>
        <v>1</v>
      </c>
      <c r="AH320" s="363">
        <f ca="1">IF(Table2[[#This Row],[Start Date]]&gt;TODAY(),1,)</f>
        <v>1</v>
      </c>
      <c r="AI320" s="363">
        <f>IF(ISBLANK(Table2[[#This Row],[Primary Instructor]]),0,1)</f>
        <v>1</v>
      </c>
      <c r="AJ320" s="363">
        <f>IF(ISBLANK(Table2[[#This Row],[Instructor 2]]),0,1)</f>
        <v>0</v>
      </c>
      <c r="AK320" s="363">
        <f>Table2[[#This Row],[Course Length (Hours)]]/(SUM(Table2[[#This Row],[1]:[2]]))</f>
        <v>0.75</v>
      </c>
      <c r="AL320" s="638">
        <v>999</v>
      </c>
      <c r="AM320" s="363">
        <v>2</v>
      </c>
      <c r="AN320" s="363" t="str">
        <f>VLOOKUP(Table2[[#This Row],[Course Title]],'TSD-Data'!$A$1:$G$80,7,FALSE)</f>
        <v>N8</v>
      </c>
    </row>
    <row r="321" spans="2:40" s="428" customFormat="1" ht="15" customHeight="1" x14ac:dyDescent="0.25">
      <c r="B321" s="315"/>
      <c r="C321" s="364" t="s">
        <v>402</v>
      </c>
      <c r="D321" s="363" t="str">
        <f>VLOOKUP(Table2[[#This Row],[Course Title]],'TSD-Data'!$A$1:$E$80,2,FALSE)</f>
        <v>A-493-3008</v>
      </c>
      <c r="E321" s="363" t="str">
        <f>VLOOKUP(Table2[[#This Row],[Course Title]],'TSD-Data'!$A$1:$E$80,3,FALSE)</f>
        <v>31VA</v>
      </c>
      <c r="F321" s="364" t="s">
        <v>25</v>
      </c>
      <c r="G321" s="344">
        <v>46107</v>
      </c>
      <c r="H321" s="344">
        <v>46107</v>
      </c>
      <c r="I321" s="317" t="s">
        <v>163</v>
      </c>
      <c r="J321" s="318"/>
      <c r="K321" s="318">
        <v>0.83333333333333337</v>
      </c>
      <c r="L321" s="345">
        <v>0.70833333333333337</v>
      </c>
      <c r="M321" s="318">
        <v>0.125</v>
      </c>
      <c r="N321" s="318">
        <v>4.1666666666666664E-2</v>
      </c>
      <c r="O321" s="318">
        <v>0.625</v>
      </c>
      <c r="P321" s="318">
        <v>0.375</v>
      </c>
      <c r="Q321" s="321" t="s">
        <v>439</v>
      </c>
      <c r="R321" s="321"/>
      <c r="S321" s="321"/>
      <c r="T321" s="363">
        <f>VLOOKUP(Table2[[#This Row],[Course Title]],'TSD-Data'!$A$1:$E$80,4,FALSE)</f>
        <v>1000</v>
      </c>
      <c r="U321" s="363">
        <f>VLOOKUP(Table2[[#This Row],[Course Title]],'TSD-Data'!$A$1:$F$80,6,FALSE)</f>
        <v>1</v>
      </c>
      <c r="V321" s="323">
        <f>VLOOKUP(Table2[[#This Row],[Course Title]],'TSD-Data'!$A$1:$F$80,5,FALSE)</f>
        <v>0.1</v>
      </c>
      <c r="W321" s="323"/>
      <c r="X321" s="316">
        <f>Table2[[#This Row],[Quotas]]-Table2[[#This Row],[Open Quotas]]</f>
        <v>1</v>
      </c>
      <c r="Y321" s="316">
        <v>0</v>
      </c>
      <c r="Z321" s="323"/>
      <c r="AA321" s="323"/>
      <c r="AB321" s="363"/>
      <c r="AC321" s="363"/>
      <c r="AD321" s="316"/>
      <c r="AE321" s="316"/>
      <c r="AF321" s="323">
        <f ca="1">Table2[[#This Row],[End Date]]+2-TODAY()</f>
        <v>102</v>
      </c>
      <c r="AG321" s="363">
        <f>IF(ISBLANK(Table2[[#This Row],[Roster Received by]]),1,0)</f>
        <v>1</v>
      </c>
      <c r="AH321" s="363">
        <f ca="1">IF(Table2[[#This Row],[Start Date]]&gt;TODAY(),1,)</f>
        <v>1</v>
      </c>
      <c r="AI321" s="363">
        <f>IF(ISBLANK(Table2[[#This Row],[Primary Instructor]]),0,1)</f>
        <v>1</v>
      </c>
      <c r="AJ321" s="363">
        <f>IF(ISBLANK(Table2[[#This Row],[Instructor 2]]),0,1)</f>
        <v>0</v>
      </c>
      <c r="AK321" s="363">
        <f>Table2[[#This Row],[Course Length (Hours)]]/(SUM(Table2[[#This Row],[1]:[2]]))</f>
        <v>1</v>
      </c>
      <c r="AL321" s="638">
        <v>999</v>
      </c>
      <c r="AM321" s="363">
        <v>2</v>
      </c>
      <c r="AN321" s="363" t="str">
        <f>VLOOKUP(Table2[[#This Row],[Course Title]],'TSD-Data'!$A$1:$G$80,7,FALSE)</f>
        <v>N8</v>
      </c>
    </row>
    <row r="322" spans="2:40" s="428" customFormat="1" ht="15" customHeight="1" x14ac:dyDescent="0.25">
      <c r="B322" s="315"/>
      <c r="C322" s="364" t="s">
        <v>405</v>
      </c>
      <c r="D322" s="363" t="str">
        <f>VLOOKUP(Table2[[#This Row],[Course Title]],'TSD-Data'!$A$1:$E$80,2,FALSE)</f>
        <v>A-493-3012</v>
      </c>
      <c r="E322" s="363" t="str">
        <f>VLOOKUP(Table2[[#This Row],[Course Title]],'TSD-Data'!$A$1:$E$80,3,FALSE)</f>
        <v>31YF</v>
      </c>
      <c r="F322" s="364" t="s">
        <v>25</v>
      </c>
      <c r="G322" s="344">
        <v>46107</v>
      </c>
      <c r="H322" s="344">
        <v>46107</v>
      </c>
      <c r="I322" s="317" t="s">
        <v>163</v>
      </c>
      <c r="J322" s="318"/>
      <c r="K322" s="318">
        <v>0.79166666666666663</v>
      </c>
      <c r="L322" s="345">
        <v>0.66666666666666663</v>
      </c>
      <c r="M322" s="318">
        <v>8.3333333333333329E-2</v>
      </c>
      <c r="N322" s="318">
        <v>6.9444444444444447E-4</v>
      </c>
      <c r="O322" s="318">
        <v>0.58333333333333337</v>
      </c>
      <c r="P322" s="318">
        <v>0.33333333333333331</v>
      </c>
      <c r="Q322" s="321" t="s">
        <v>439</v>
      </c>
      <c r="R322" s="321"/>
      <c r="S322" s="321"/>
      <c r="T322" s="363">
        <f>VLOOKUP(Table2[[#This Row],[Course Title]],'TSD-Data'!$A$1:$E$80,4,FALSE)</f>
        <v>1000</v>
      </c>
      <c r="U322" s="363">
        <f>VLOOKUP(Table2[[#This Row],[Course Title]],'TSD-Data'!$A$1:$F$80,6,FALSE)</f>
        <v>1</v>
      </c>
      <c r="V322" s="323">
        <f>VLOOKUP(Table2[[#This Row],[Course Title]],'TSD-Data'!$A$1:$F$80,5,FALSE)</f>
        <v>0.1</v>
      </c>
      <c r="W322" s="323"/>
      <c r="X322" s="316">
        <f>Table2[[#This Row],[Quotas]]-Table2[[#This Row],[Open Quotas]]</f>
        <v>1</v>
      </c>
      <c r="Y322" s="316">
        <v>0</v>
      </c>
      <c r="Z322" s="323"/>
      <c r="AA322" s="323"/>
      <c r="AB322" s="363"/>
      <c r="AC322" s="363"/>
      <c r="AD322" s="316"/>
      <c r="AE322" s="316"/>
      <c r="AF322" s="323">
        <f ca="1">Table2[[#This Row],[End Date]]+2-TODAY()</f>
        <v>102</v>
      </c>
      <c r="AG322" s="363">
        <f>IF(ISBLANK(Table2[[#This Row],[Roster Received by]]),1,0)</f>
        <v>1</v>
      </c>
      <c r="AH322" s="363">
        <f ca="1">IF(Table2[[#This Row],[Start Date]]&gt;TODAY(),1,)</f>
        <v>1</v>
      </c>
      <c r="AI322" s="363">
        <f>IF(ISBLANK(Table2[[#This Row],[Primary Instructor]]),0,1)</f>
        <v>1</v>
      </c>
      <c r="AJ322" s="363">
        <f>IF(ISBLANK(Table2[[#This Row],[Instructor 2]]),0,1)</f>
        <v>0</v>
      </c>
      <c r="AK322" s="363">
        <f>Table2[[#This Row],[Course Length (Hours)]]/(SUM(Table2[[#This Row],[1]:[2]]))</f>
        <v>1</v>
      </c>
      <c r="AL322" s="638">
        <v>999</v>
      </c>
      <c r="AM322" s="363">
        <v>2</v>
      </c>
      <c r="AN322" s="363" t="str">
        <f>VLOOKUP(Table2[[#This Row],[Course Title]],'TSD-Data'!$A$1:$G$80,7,FALSE)</f>
        <v>N8</v>
      </c>
    </row>
    <row r="323" spans="2:40" s="428" customFormat="1" x14ac:dyDescent="0.25">
      <c r="B323" s="315"/>
      <c r="C323" s="364" t="s">
        <v>406</v>
      </c>
      <c r="D323" s="363" t="str">
        <f>VLOOKUP(Table2[[#This Row],[Course Title]],'TSD-Data'!$A$1:$E$80,2,FALSE)</f>
        <v>A-493-3009</v>
      </c>
      <c r="E323" s="363" t="str">
        <f>VLOOKUP(Table2[[#This Row],[Course Title]],'TSD-Data'!$A$1:$E$80,3,FALSE)</f>
        <v>31VB</v>
      </c>
      <c r="F323" s="364" t="s">
        <v>25</v>
      </c>
      <c r="G323" s="344">
        <v>46107</v>
      </c>
      <c r="H323" s="344">
        <v>46107</v>
      </c>
      <c r="I323" s="317" t="s">
        <v>163</v>
      </c>
      <c r="J323" s="318"/>
      <c r="K323" s="318">
        <v>0.89583333333333337</v>
      </c>
      <c r="L323" s="345">
        <v>0.77083333333333337</v>
      </c>
      <c r="M323" s="318">
        <v>0.1875</v>
      </c>
      <c r="N323" s="318">
        <v>0.10416666666666667</v>
      </c>
      <c r="O323" s="318">
        <v>0.6875</v>
      </c>
      <c r="P323" s="318">
        <v>0.4375</v>
      </c>
      <c r="Q323" s="321" t="s">
        <v>439</v>
      </c>
      <c r="R323" s="321"/>
      <c r="S323" s="321"/>
      <c r="T323" s="363">
        <f>VLOOKUP(Table2[[#This Row],[Course Title]],'TSD-Data'!$A$1:$E$80,4,FALSE)</f>
        <v>1000</v>
      </c>
      <c r="U323" s="363">
        <f>VLOOKUP(Table2[[#This Row],[Course Title]],'TSD-Data'!$A$1:$F$80,6,FALSE)</f>
        <v>1</v>
      </c>
      <c r="V323" s="323">
        <f>VLOOKUP(Table2[[#This Row],[Course Title]],'TSD-Data'!$A$1:$F$80,5,FALSE)</f>
        <v>0.1</v>
      </c>
      <c r="W323" s="323"/>
      <c r="X323" s="316">
        <f>Table2[[#This Row],[Quotas]]-Table2[[#This Row],[Open Quotas]]</f>
        <v>1</v>
      </c>
      <c r="Y323" s="316">
        <v>0</v>
      </c>
      <c r="Z323" s="323"/>
      <c r="AA323" s="323"/>
      <c r="AB323" s="363"/>
      <c r="AC323" s="363"/>
      <c r="AD323" s="316"/>
      <c r="AE323" s="316"/>
      <c r="AF323" s="323">
        <f ca="1">Table2[[#This Row],[End Date]]+2-TODAY()</f>
        <v>102</v>
      </c>
      <c r="AG323" s="363">
        <f>IF(ISBLANK(Table2[[#This Row],[Roster Received by]]),1,0)</f>
        <v>1</v>
      </c>
      <c r="AH323" s="363">
        <f ca="1">IF(Table2[[#This Row],[Start Date]]&gt;TODAY(),1,)</f>
        <v>1</v>
      </c>
      <c r="AI323" s="363">
        <f>IF(ISBLANK(Table2[[#This Row],[Primary Instructor]]),0,1)</f>
        <v>1</v>
      </c>
      <c r="AJ323" s="363">
        <f>IF(ISBLANK(Table2[[#This Row],[Instructor 2]]),0,1)</f>
        <v>0</v>
      </c>
      <c r="AK323" s="363">
        <f>Table2[[#This Row],[Course Length (Hours)]]/(SUM(Table2[[#This Row],[1]:[2]]))</f>
        <v>1</v>
      </c>
      <c r="AL323" s="638">
        <v>999</v>
      </c>
      <c r="AM323" s="363">
        <v>2</v>
      </c>
      <c r="AN323" s="363" t="str">
        <f>VLOOKUP(Table2[[#This Row],[Course Title]],'TSD-Data'!$A$1:$G$80,7,FALSE)</f>
        <v>N8</v>
      </c>
    </row>
    <row r="324" spans="2:40" s="428" customFormat="1" x14ac:dyDescent="0.25">
      <c r="B324" s="315"/>
      <c r="C324" s="364" t="s">
        <v>396</v>
      </c>
      <c r="D324" s="363" t="str">
        <f>VLOOKUP(Table2[[#This Row],[Course Title]],'TSD-Data'!$A$1:$E$80,2,FALSE)</f>
        <v>A-493-3017</v>
      </c>
      <c r="E324" s="363" t="str">
        <f>VLOOKUP(Table2[[#This Row],[Course Title]],'TSD-Data'!$A$1:$E$80,3,FALSE)</f>
        <v>31YL</v>
      </c>
      <c r="F324" s="364" t="s">
        <v>25</v>
      </c>
      <c r="G324" s="344">
        <v>46108</v>
      </c>
      <c r="H324" s="344">
        <v>46108</v>
      </c>
      <c r="I324" s="317" t="s">
        <v>163</v>
      </c>
      <c r="J324" s="318"/>
      <c r="K324" s="318">
        <v>2.0833333333333332E-2</v>
      </c>
      <c r="L324" s="345">
        <v>0.89583333333333337</v>
      </c>
      <c r="M324" s="318">
        <v>0.3125</v>
      </c>
      <c r="N324" s="318">
        <v>0.22916666666666666</v>
      </c>
      <c r="O324" s="318">
        <v>0.8125</v>
      </c>
      <c r="P324" s="318">
        <v>0.5625</v>
      </c>
      <c r="Q324" s="321" t="s">
        <v>439</v>
      </c>
      <c r="R324" s="321"/>
      <c r="S324" s="321"/>
      <c r="T324" s="363">
        <f>VLOOKUP(Table2[[#This Row],[Course Title]],'TSD-Data'!$A$1:$E$80,4,FALSE)</f>
        <v>1000</v>
      </c>
      <c r="U324" s="363">
        <f>VLOOKUP(Table2[[#This Row],[Course Title]],'TSD-Data'!$A$1:$F$80,6,FALSE)</f>
        <v>2.5</v>
      </c>
      <c r="V324" s="323">
        <f>VLOOKUP(Table2[[#This Row],[Course Title]],'TSD-Data'!$A$1:$F$80,5,FALSE)</f>
        <v>0.3</v>
      </c>
      <c r="W324" s="323"/>
      <c r="X324" s="316">
        <f>Table2[[#This Row],[Quotas]]-Table2[[#This Row],[Open Quotas]]</f>
        <v>1</v>
      </c>
      <c r="Y324" s="316">
        <v>0</v>
      </c>
      <c r="Z324" s="323"/>
      <c r="AA324" s="323"/>
      <c r="AB324" s="363"/>
      <c r="AC324" s="363"/>
      <c r="AD324" s="316"/>
      <c r="AE324" s="316"/>
      <c r="AF324" s="323">
        <f ca="1">Table2[[#This Row],[End Date]]+2-TODAY()</f>
        <v>103</v>
      </c>
      <c r="AG324" s="363">
        <f>IF(ISBLANK(Table2[[#This Row],[Roster Received by]]),1,0)</f>
        <v>1</v>
      </c>
      <c r="AH324" s="363">
        <f ca="1">IF(Table2[[#This Row],[Start Date]]&gt;TODAY(),1,)</f>
        <v>1</v>
      </c>
      <c r="AI324" s="363">
        <f>IF(ISBLANK(Table2[[#This Row],[Primary Instructor]]),0,1)</f>
        <v>1</v>
      </c>
      <c r="AJ324" s="363">
        <f>IF(ISBLANK(Table2[[#This Row],[Instructor 2]]),0,1)</f>
        <v>0</v>
      </c>
      <c r="AK324" s="363">
        <f>Table2[[#This Row],[Course Length (Hours)]]/(SUM(Table2[[#This Row],[1]:[2]]))</f>
        <v>2.5</v>
      </c>
      <c r="AL324" s="638">
        <v>999</v>
      </c>
      <c r="AM324" s="363">
        <v>2</v>
      </c>
      <c r="AN324" s="363" t="str">
        <f>VLOOKUP(Table2[[#This Row],[Course Title]],'TSD-Data'!$A$1:$G$80,7,FALSE)</f>
        <v>N8</v>
      </c>
    </row>
    <row r="325" spans="2:40" s="428" customFormat="1" x14ac:dyDescent="0.25">
      <c r="B325" s="315"/>
      <c r="C325" s="364" t="s">
        <v>48</v>
      </c>
      <c r="D325" s="316" t="str">
        <f>VLOOKUP(Table2[[#This Row],[Course Title]],'TSD-Data'!$A$1:$E$80,2,FALSE)</f>
        <v>A-493-0103</v>
      </c>
      <c r="E325" s="316" t="str">
        <f>VLOOKUP(Table2[[#This Row],[Course Title]],'TSD-Data'!$A$1:$E$80,3,FALSE)</f>
        <v>12JY</v>
      </c>
      <c r="F325" s="315" t="s">
        <v>264</v>
      </c>
      <c r="G325" s="344">
        <v>46111</v>
      </c>
      <c r="H325" s="344">
        <v>46115</v>
      </c>
      <c r="I325" s="317" t="s">
        <v>163</v>
      </c>
      <c r="J325" s="318">
        <v>0.33333333333333331</v>
      </c>
      <c r="K325" s="345"/>
      <c r="L325" s="344"/>
      <c r="M325" s="344"/>
      <c r="N325" s="344"/>
      <c r="O325" s="344"/>
      <c r="P325" s="344"/>
      <c r="Q325" s="321" t="s">
        <v>275</v>
      </c>
      <c r="R325" s="321"/>
      <c r="S325" s="321"/>
      <c r="T325" s="316">
        <f>VLOOKUP(Table2[[#This Row],[Course Title]],'TSD-Data'!$A$1:$E$80,4,FALSE)</f>
        <v>25</v>
      </c>
      <c r="U325" s="316">
        <f>VLOOKUP(Table2[[#This Row],[Course Title]],'TSD-Data'!$A$1:$F$80,6,FALSE)</f>
        <v>40</v>
      </c>
      <c r="V325" s="323">
        <f>VLOOKUP(Table2[[#This Row],[Course Title]],'TSD-Data'!$A$1:$F$80,5,FALSE)</f>
        <v>5</v>
      </c>
      <c r="W325" s="323">
        <v>516</v>
      </c>
      <c r="X325" s="316">
        <f>Table2[[#This Row],[Quotas]]-Table2[[#This Row],[Open Quotas]]</f>
        <v>4</v>
      </c>
      <c r="Y325" s="316">
        <v>0</v>
      </c>
      <c r="Z325" s="323"/>
      <c r="AA325" s="323"/>
      <c r="AB325" s="316"/>
      <c r="AC325" s="316"/>
      <c r="AD325" s="316"/>
      <c r="AE325" s="316"/>
      <c r="AF325" s="323">
        <f ca="1">Table2[[#This Row],[End Date]]+2-TODAY()</f>
        <v>110</v>
      </c>
      <c r="AG325" s="316">
        <f>IF(ISBLANK(Table2[[#This Row],[Roster Received by]]),1,0)</f>
        <v>1</v>
      </c>
      <c r="AH325" s="316">
        <f ca="1">IF(Table2[[#This Row],[Start Date]]&gt;TODAY(),1,)</f>
        <v>1</v>
      </c>
      <c r="AI325" s="316">
        <f>IF(ISBLANK(Table2[[#This Row],[Primary Instructor]]),0,1)</f>
        <v>1</v>
      </c>
      <c r="AJ325" s="316">
        <f>IF(ISBLANK(Table2[[#This Row],[Instructor 2]]),0,1)</f>
        <v>0</v>
      </c>
      <c r="AK325" s="316">
        <f>Table2[[#This Row],[Course Length (Hours)]]/(SUM(Table2[[#This Row],[1]:[2]]))</f>
        <v>40</v>
      </c>
      <c r="AL325" s="124">
        <v>21</v>
      </c>
      <c r="AM325" s="433">
        <v>2</v>
      </c>
      <c r="AN325" s="363" t="str">
        <f>VLOOKUP(Table2[[#This Row],[Course Title]],'TSD-Data'!$A$1:$G$80,7,FALSE)</f>
        <v>N5</v>
      </c>
    </row>
    <row r="326" spans="2:40" s="428" customFormat="1" ht="15" customHeight="1" x14ac:dyDescent="0.25">
      <c r="B326" s="437" t="s">
        <v>466</v>
      </c>
      <c r="C326" s="3" t="s">
        <v>61</v>
      </c>
      <c r="D326" s="70" t="str">
        <f>VLOOKUP(Table2[[#This Row],[Course Title]],'TSD-Data'!$A$1:$E$80,2,FALSE)</f>
        <v>A-493-0012</v>
      </c>
      <c r="E326" s="70">
        <f>VLOOKUP(Table2[[#This Row],[Course Title]],'TSD-Data'!$A$1:$E$80,3,FALSE)</f>
        <v>3682</v>
      </c>
      <c r="F326" s="3" t="s">
        <v>291</v>
      </c>
      <c r="G326" s="72">
        <v>46111</v>
      </c>
      <c r="H326" s="72">
        <v>46115</v>
      </c>
      <c r="I326" s="341" t="s">
        <v>163</v>
      </c>
      <c r="J326" s="318">
        <v>0.33333333333333331</v>
      </c>
      <c r="K326" s="318"/>
      <c r="L326" s="344"/>
      <c r="M326" s="317"/>
      <c r="N326" s="317"/>
      <c r="O326" s="317"/>
      <c r="P326" s="317"/>
      <c r="Q326" s="321" t="s">
        <v>453</v>
      </c>
      <c r="R326" s="321"/>
      <c r="S326" s="321"/>
      <c r="T326" s="316">
        <f>VLOOKUP(Table2[[#This Row],[Course Title]],'TSD-Data'!$A$1:$E$80,4,FALSE)</f>
        <v>40</v>
      </c>
      <c r="U326" s="316">
        <f>VLOOKUP(Table2[[#This Row],[Course Title]],'TSD-Data'!$A$1:$F$80,6,FALSE)</f>
        <v>40</v>
      </c>
      <c r="V326" s="323">
        <f>VLOOKUP(Table2[[#This Row],[Course Title]],'TSD-Data'!$A$1:$F$80,5,FALSE)</f>
        <v>5</v>
      </c>
      <c r="W326" s="316">
        <v>30</v>
      </c>
      <c r="X326" s="316">
        <f>Table2[[#This Row],[Quotas]]-Table2[[#This Row],[Open Quotas]]</f>
        <v>0</v>
      </c>
      <c r="Y326" s="316"/>
      <c r="Z326" s="323"/>
      <c r="AA326" s="323"/>
      <c r="AB326" s="316"/>
      <c r="AC326" s="316"/>
      <c r="AD326" s="316"/>
      <c r="AE326" s="316"/>
      <c r="AF326" s="323">
        <f ca="1">Table2[[#This Row],[End Date]]+2-TODAY()</f>
        <v>110</v>
      </c>
      <c r="AG326" s="316">
        <f>IF(ISBLANK(Table2[[#This Row],[Roster Received by]]),1,0)</f>
        <v>1</v>
      </c>
      <c r="AH326" s="316">
        <f ca="1">IF(Table2[[#This Row],[Start Date]]&gt;TODAY(),1,)</f>
        <v>1</v>
      </c>
      <c r="AI326" s="316">
        <f>IF(ISBLANK(Table2[[#This Row],[Primary Instructor]]),0,1)</f>
        <v>1</v>
      </c>
      <c r="AJ326" s="316">
        <f>IF(ISBLANK(Table2[[#This Row],[Instructor 2]]),0,1)</f>
        <v>0</v>
      </c>
      <c r="AK326" s="316">
        <f>Table2[[#This Row],[Course Length (Hours)]]/(SUM(Table2[[#This Row],[1]:[2]]))</f>
        <v>40</v>
      </c>
      <c r="AL326" s="124">
        <v>40</v>
      </c>
      <c r="AM326" s="433">
        <v>2</v>
      </c>
      <c r="AN326" s="363" t="str">
        <f>VLOOKUP(Table2[[#This Row],[Course Title]],'TSD-Data'!$A$1:$G$80,7,FALSE)</f>
        <v>N4</v>
      </c>
    </row>
    <row r="327" spans="2:40" s="428" customFormat="1" x14ac:dyDescent="0.25">
      <c r="B327" s="438" t="s">
        <v>467</v>
      </c>
      <c r="C327" s="342" t="s">
        <v>61</v>
      </c>
      <c r="D327" s="316" t="str">
        <f>VLOOKUP(Table2[[#This Row],[Course Title]],'TSD-Data'!$A$1:$E$80,2,FALSE)</f>
        <v>A-493-0012</v>
      </c>
      <c r="E327" s="316">
        <f>VLOOKUP(Table2[[#This Row],[Course Title]],'TSD-Data'!$A$1:$E$80,3,FALSE)</f>
        <v>3682</v>
      </c>
      <c r="F327" s="342" t="s">
        <v>288</v>
      </c>
      <c r="G327" s="317">
        <v>46111</v>
      </c>
      <c r="H327" s="317">
        <v>46115</v>
      </c>
      <c r="I327" s="341" t="s">
        <v>163</v>
      </c>
      <c r="J327" s="318">
        <v>0.33333333333333331</v>
      </c>
      <c r="K327" s="345"/>
      <c r="L327" s="344"/>
      <c r="M327" s="344"/>
      <c r="N327" s="344"/>
      <c r="O327" s="344"/>
      <c r="P327" s="344"/>
      <c r="Q327" s="321" t="s">
        <v>438</v>
      </c>
      <c r="R327" s="321"/>
      <c r="S327" s="321"/>
      <c r="T327" s="316">
        <f>VLOOKUP(Table2[[#This Row],[Course Title]],'TSD-Data'!$A$1:$E$80,4,FALSE)</f>
        <v>40</v>
      </c>
      <c r="U327" s="316">
        <f>VLOOKUP(Table2[[#This Row],[Course Title]],'TSD-Data'!$A$1:$F$80,6,FALSE)</f>
        <v>40</v>
      </c>
      <c r="V327" s="323">
        <f>VLOOKUP(Table2[[#This Row],[Course Title]],'TSD-Data'!$A$1:$F$80,5,FALSE)</f>
        <v>5</v>
      </c>
      <c r="W327" s="316">
        <v>20</v>
      </c>
      <c r="X327" s="316">
        <f>Table2[[#This Row],[Quotas]]-Table2[[#This Row],[Open Quotas]]</f>
        <v>0</v>
      </c>
      <c r="Y327" s="316"/>
      <c r="Z327" s="323"/>
      <c r="AA327" s="323"/>
      <c r="AB327" s="316"/>
      <c r="AC327" s="316"/>
      <c r="AD327" s="316"/>
      <c r="AE327" s="316"/>
      <c r="AF327" s="323">
        <f ca="1">Table2[[#This Row],[End Date]]+2-TODAY()</f>
        <v>110</v>
      </c>
      <c r="AG327" s="316">
        <f>IF(ISBLANK(Table2[[#This Row],[Roster Received by]]),1,0)</f>
        <v>1</v>
      </c>
      <c r="AH327" s="316">
        <f ca="1">IF(Table2[[#This Row],[Start Date]]&gt;TODAY(),1,)</f>
        <v>1</v>
      </c>
      <c r="AI327" s="316">
        <f>IF(ISBLANK(Table2[[#This Row],[Primary Instructor]]),0,1)</f>
        <v>1</v>
      </c>
      <c r="AJ327" s="316">
        <f>IF(ISBLANK(Table2[[#This Row],[Instructor 2]]),0,1)</f>
        <v>0</v>
      </c>
      <c r="AK327" s="316">
        <f>Table2[[#This Row],[Course Length (Hours)]]/(SUM(Table2[[#This Row],[1]:[2]]))</f>
        <v>40</v>
      </c>
      <c r="AL327" s="124">
        <v>40</v>
      </c>
      <c r="AM327" s="433">
        <v>2</v>
      </c>
      <c r="AN327" s="363" t="str">
        <f>VLOOKUP(Table2[[#This Row],[Course Title]],'TSD-Data'!$A$1:$G$80,7,FALSE)</f>
        <v>N4</v>
      </c>
    </row>
    <row r="328" spans="2:40" s="428" customFormat="1" ht="15" customHeight="1" x14ac:dyDescent="0.25">
      <c r="B328" s="315" t="s">
        <v>468</v>
      </c>
      <c r="C328" s="364" t="s">
        <v>389</v>
      </c>
      <c r="D328" s="316" t="str">
        <f>VLOOKUP(Table2[[#This Row],[Course Title]],'TSD-Data'!$A$1:$E$80,2,FALSE)</f>
        <v>A-493-0078</v>
      </c>
      <c r="E328" s="316" t="str">
        <f>VLOOKUP(Table2[[#This Row],[Course Title]],'TSD-Data'!$A$1:$E$80,3,FALSE)</f>
        <v>32FJ</v>
      </c>
      <c r="F328" s="364" t="s">
        <v>229</v>
      </c>
      <c r="G328" s="344">
        <v>46111</v>
      </c>
      <c r="H328" s="344">
        <v>46115</v>
      </c>
      <c r="I328" s="317" t="s">
        <v>163</v>
      </c>
      <c r="J328" s="318">
        <v>0.33333333333333331</v>
      </c>
      <c r="K328" s="345"/>
      <c r="L328" s="344"/>
      <c r="M328" s="344"/>
      <c r="N328" s="344"/>
      <c r="O328" s="344"/>
      <c r="P328" s="344"/>
      <c r="Q328" s="321" t="s">
        <v>172</v>
      </c>
      <c r="R328" s="321"/>
      <c r="S328" s="321"/>
      <c r="T328" s="316">
        <f>VLOOKUP(Table2[[#This Row],[Course Title]],'TSD-Data'!$A$1:$E$80,4,FALSE)</f>
        <v>30</v>
      </c>
      <c r="U328" s="316">
        <f>VLOOKUP(Table2[[#This Row],[Course Title]],'TSD-Data'!$A$1:$F$80,6,FALSE)</f>
        <v>32</v>
      </c>
      <c r="V328" s="323">
        <f>VLOOKUP(Table2[[#This Row],[Course Title]],'TSD-Data'!$A$1:$F$80,5,FALSE)</f>
        <v>4</v>
      </c>
      <c r="W328" s="323">
        <v>0</v>
      </c>
      <c r="X328" s="316">
        <f>Table2[[#This Row],[Quotas]]-Table2[[#This Row],[Open Quotas]]</f>
        <v>30</v>
      </c>
      <c r="Y328" s="316">
        <v>0</v>
      </c>
      <c r="Z328" s="323"/>
      <c r="AA328" s="323"/>
      <c r="AB328" s="316"/>
      <c r="AC328" s="316"/>
      <c r="AD328" s="316"/>
      <c r="AE328" s="316"/>
      <c r="AF328" s="323">
        <f ca="1">Table2[[#This Row],[End Date]]+2-TODAY()</f>
        <v>110</v>
      </c>
      <c r="AG328" s="316">
        <f>IF(ISBLANK(Table2[[#This Row],[Roster Received by]]),1,0)</f>
        <v>1</v>
      </c>
      <c r="AH328" s="316">
        <f ca="1">IF(Table2[[#This Row],[Start Date]]&gt;TODAY(),1,)</f>
        <v>1</v>
      </c>
      <c r="AI328" s="316">
        <f>IF(ISBLANK(Table2[[#This Row],[Primary Instructor]]),0,1)</f>
        <v>1</v>
      </c>
      <c r="AJ328" s="316">
        <f>IF(ISBLANK(Table2[[#This Row],[Instructor 2]]),0,1)</f>
        <v>0</v>
      </c>
      <c r="AK328" s="316">
        <f>Table2[[#This Row],[Course Length (Hours)]]/(SUM(Table2[[#This Row],[1]:[2]]))</f>
        <v>32</v>
      </c>
      <c r="AL328" s="124">
        <v>0</v>
      </c>
      <c r="AM328" s="433">
        <v>2</v>
      </c>
      <c r="AN328" s="363" t="str">
        <f>VLOOKUP(Table2[[#This Row],[Course Title]],'TSD-Data'!$A$1:$G$80,7,FALSE)</f>
        <v>N5</v>
      </c>
    </row>
    <row r="329" spans="2:40" s="428" customFormat="1" ht="15" customHeight="1" x14ac:dyDescent="0.25">
      <c r="B329" s="315"/>
      <c r="C329" s="439" t="s">
        <v>94</v>
      </c>
      <c r="D329" s="316" t="str">
        <f>VLOOKUP(Table2[[#This Row],[Course Title]],'TSD-Data'!$A$1:$E$80,2,FALSE)</f>
        <v>A-493-0331</v>
      </c>
      <c r="E329" s="316" t="str">
        <f>VLOOKUP(Table2[[#This Row],[Course Title]],'TSD-Data'!$A$1:$E$80,3,FALSE)</f>
        <v>10UG</v>
      </c>
      <c r="F329" s="364" t="s">
        <v>25</v>
      </c>
      <c r="G329" s="344">
        <v>46112</v>
      </c>
      <c r="H329" s="344">
        <v>46114</v>
      </c>
      <c r="I329" s="317" t="s">
        <v>163</v>
      </c>
      <c r="J329" s="318"/>
      <c r="K329" s="318">
        <v>0.5</v>
      </c>
      <c r="L329" s="431">
        <v>0.375</v>
      </c>
      <c r="M329" s="431">
        <v>0.79166666666666663</v>
      </c>
      <c r="N329" s="431">
        <v>0.75</v>
      </c>
      <c r="O329" s="431">
        <v>0.25</v>
      </c>
      <c r="P329" s="431">
        <v>4.1666666666666664E-2</v>
      </c>
      <c r="Q329" s="321" t="s">
        <v>436</v>
      </c>
      <c r="R329" s="321"/>
      <c r="S329" s="321"/>
      <c r="T329" s="316">
        <f>VLOOKUP(Table2[[#This Row],[Course Title]],'TSD-Data'!$A$1:$E$80,4,FALSE)</f>
        <v>45</v>
      </c>
      <c r="U329" s="316">
        <f>VLOOKUP(Table2[[#This Row],[Course Title]],'TSD-Data'!$A$1:$F$80,6,FALSE)</f>
        <v>24</v>
      </c>
      <c r="V329" s="323">
        <f>VLOOKUP(Table2[[#This Row],[Course Title]],'TSD-Data'!$A$1:$F$80,5,FALSE)</f>
        <v>3</v>
      </c>
      <c r="W329" s="323">
        <v>844</v>
      </c>
      <c r="X329" s="316">
        <f>Table2[[#This Row],[Quotas]]-Table2[[#This Row],[Open Quotas]]</f>
        <v>1</v>
      </c>
      <c r="Y329" s="316">
        <v>0</v>
      </c>
      <c r="Z329" s="323"/>
      <c r="AA329" s="323"/>
      <c r="AB329" s="316"/>
      <c r="AC329" s="316"/>
      <c r="AD329" s="316"/>
      <c r="AE329" s="316"/>
      <c r="AF329" s="323">
        <f ca="1">Table2[[#This Row],[End Date]]+2-TODAY()</f>
        <v>109</v>
      </c>
      <c r="AG329" s="316">
        <f>IF(ISBLANK(Table2[[#This Row],[Roster Received by]]),1,0)</f>
        <v>1</v>
      </c>
      <c r="AH329" s="316">
        <f ca="1">IF(Table2[[#This Row],[Start Date]]&gt;TODAY(),1,)</f>
        <v>1</v>
      </c>
      <c r="AI329" s="316">
        <f>IF(ISBLANK(Table2[[#This Row],[Primary Instructor]]),0,1)</f>
        <v>1</v>
      </c>
      <c r="AJ329" s="316">
        <f>IF(ISBLANK(Table2[[#This Row],[Instructor 2]]),0,1)</f>
        <v>0</v>
      </c>
      <c r="AK329" s="316">
        <f>Table2[[#This Row],[Course Length (Hours)]]/(SUM(Table2[[#This Row],[1]:[2]]))</f>
        <v>24</v>
      </c>
      <c r="AL329" s="124">
        <v>44</v>
      </c>
      <c r="AM329" s="433">
        <v>2</v>
      </c>
      <c r="AN329" s="363" t="str">
        <f>VLOOKUP(Table2[[#This Row],[Course Title]],'TSD-Data'!$A$1:$G$80,7,FALSE)</f>
        <v>N3</v>
      </c>
    </row>
    <row r="330" spans="2:40" s="428" customFormat="1" ht="15" customHeight="1" x14ac:dyDescent="0.25">
      <c r="B330" s="315"/>
      <c r="C330" s="364" t="s">
        <v>65</v>
      </c>
      <c r="D330" s="316" t="str">
        <f>VLOOKUP(Table2[[#This Row],[Course Title]],'TSD-Data'!$A$1:$E$80,2,FALSE)</f>
        <v>A-493-0099</v>
      </c>
      <c r="E330" s="316" t="str">
        <f>VLOOKUP(Table2[[#This Row],[Course Title]],'TSD-Data'!$A$1:$E$80,3,FALSE)</f>
        <v>12JW</v>
      </c>
      <c r="F330" s="315" t="s">
        <v>25</v>
      </c>
      <c r="G330" s="344">
        <v>46113</v>
      </c>
      <c r="H330" s="344">
        <v>46115</v>
      </c>
      <c r="I330" s="317" t="s">
        <v>163</v>
      </c>
      <c r="J330" s="318"/>
      <c r="K330" s="318">
        <v>0.33333333333333331</v>
      </c>
      <c r="L330" s="345">
        <v>0.20833333333333334</v>
      </c>
      <c r="M330" s="345">
        <v>0.625</v>
      </c>
      <c r="N330" s="345">
        <v>0.54166666666666663</v>
      </c>
      <c r="O330" s="345">
        <v>8.3333333333333329E-2</v>
      </c>
      <c r="P330" s="345">
        <v>0.875</v>
      </c>
      <c r="Q330" s="321" t="s">
        <v>273</v>
      </c>
      <c r="R330" s="321"/>
      <c r="S330" s="321"/>
      <c r="T330" s="316">
        <f>VLOOKUP(Table2[[#This Row],[Course Title]],'TSD-Data'!$A$1:$E$80,4,FALSE)</f>
        <v>45</v>
      </c>
      <c r="U330" s="316">
        <f>VLOOKUP(Table2[[#This Row],[Course Title]],'TSD-Data'!$A$1:$F$80,6,FALSE)</f>
        <v>24</v>
      </c>
      <c r="V330" s="323">
        <f>VLOOKUP(Table2[[#This Row],[Course Title]],'TSD-Data'!$A$1:$F$80,5,FALSE)</f>
        <v>3</v>
      </c>
      <c r="W330" s="323">
        <v>406</v>
      </c>
      <c r="X330" s="316"/>
      <c r="Y330" s="316"/>
      <c r="Z330" s="323"/>
      <c r="AA330" s="323"/>
      <c r="AB330" s="316"/>
      <c r="AC330" s="316"/>
      <c r="AD330" s="316"/>
      <c r="AE330" s="316"/>
      <c r="AF330" s="323">
        <f ca="1">Table2[[#This Row],[End Date]]+2-TODAY()</f>
        <v>110</v>
      </c>
      <c r="AG330" s="316">
        <f>IF(ISBLANK(Table2[[#This Row],[Roster Received by]]),1,0)</f>
        <v>1</v>
      </c>
      <c r="AH330" s="316">
        <f ca="1">IF(Table2[[#This Row],[Start Date]]&gt;TODAY(),1,)</f>
        <v>1</v>
      </c>
      <c r="AI330" s="316">
        <f>IF(ISBLANK(Table2[[#This Row],[Primary Instructor]]),0,1)</f>
        <v>1</v>
      </c>
      <c r="AJ330" s="316">
        <f>IF(ISBLANK(Table2[[#This Row],[Instructor 2]]),0,1)</f>
        <v>0</v>
      </c>
      <c r="AK330" s="316">
        <f>Table2[[#This Row],[Course Length (Hours)]]/(SUM(Table2[[#This Row],[1]:[2]]))</f>
        <v>24</v>
      </c>
      <c r="AL330" s="124"/>
      <c r="AM330" s="316">
        <v>3</v>
      </c>
      <c r="AN330" s="363" t="str">
        <f>VLOOKUP(Table2[[#This Row],[Course Title]],'TSD-Data'!$A$1:$G$80,7,FALSE)</f>
        <v>N5</v>
      </c>
    </row>
    <row r="331" spans="2:40" s="428" customFormat="1" x14ac:dyDescent="0.25">
      <c r="B331" s="315"/>
      <c r="C331" s="364" t="s">
        <v>48</v>
      </c>
      <c r="D331" s="316" t="str">
        <f>VLOOKUP(Table2[[#This Row],[Course Title]],'TSD-Data'!$A$1:$E$80,2,FALSE)</f>
        <v>A-493-0103</v>
      </c>
      <c r="E331" s="316" t="str">
        <f>VLOOKUP(Table2[[#This Row],[Course Title]],'TSD-Data'!$A$1:$E$80,3,FALSE)</f>
        <v>12JY</v>
      </c>
      <c r="F331" s="315" t="s">
        <v>258</v>
      </c>
      <c r="G331" s="344">
        <v>46118</v>
      </c>
      <c r="H331" s="344">
        <v>46122</v>
      </c>
      <c r="I331" s="317" t="s">
        <v>163</v>
      </c>
      <c r="J331" s="318">
        <v>0.33333333333333331</v>
      </c>
      <c r="K331" s="318"/>
      <c r="L331" s="344"/>
      <c r="M331" s="317"/>
      <c r="N331" s="317"/>
      <c r="O331" s="317"/>
      <c r="P331" s="317"/>
      <c r="Q331" s="321" t="s">
        <v>275</v>
      </c>
      <c r="R331" s="321"/>
      <c r="S331" s="321"/>
      <c r="T331" s="316">
        <f>VLOOKUP(Table2[[#This Row],[Course Title]],'TSD-Data'!$A$1:$E$80,4,FALSE)</f>
        <v>25</v>
      </c>
      <c r="U331" s="316">
        <f>VLOOKUP(Table2[[#This Row],[Course Title]],'TSD-Data'!$A$1:$F$80,6,FALSE)</f>
        <v>40</v>
      </c>
      <c r="V331" s="323">
        <f>VLOOKUP(Table2[[#This Row],[Course Title]],'TSD-Data'!$A$1:$F$80,5,FALSE)</f>
        <v>5</v>
      </c>
      <c r="W331" s="323">
        <v>116</v>
      </c>
      <c r="X331" s="316"/>
      <c r="Y331" s="316"/>
      <c r="Z331" s="323"/>
      <c r="AA331" s="323"/>
      <c r="AB331" s="316"/>
      <c r="AC331" s="316"/>
      <c r="AD331" s="316"/>
      <c r="AE331" s="316"/>
      <c r="AF331" s="323">
        <f ca="1">Table2[[#This Row],[End Date]]+2-TODAY()</f>
        <v>117</v>
      </c>
      <c r="AG331" s="316">
        <f>IF(ISBLANK(Table2[[#This Row],[Roster Received by]]),1,0)</f>
        <v>1</v>
      </c>
      <c r="AH331" s="316">
        <f ca="1">IF(Table2[[#This Row],[Start Date]]&gt;TODAY(),1,)</f>
        <v>1</v>
      </c>
      <c r="AI331" s="316">
        <f>IF(ISBLANK(Table2[[#This Row],[Primary Instructor]]),0,1)</f>
        <v>1</v>
      </c>
      <c r="AJ331" s="316">
        <f>IF(ISBLANK(Table2[[#This Row],[Instructor 2]]),0,1)</f>
        <v>0</v>
      </c>
      <c r="AK331" s="316">
        <f>Table2[[#This Row],[Course Length (Hours)]]/(SUM(Table2[[#This Row],[1]:[2]]))</f>
        <v>40</v>
      </c>
      <c r="AL331" s="124"/>
      <c r="AM331" s="316">
        <v>3</v>
      </c>
      <c r="AN331" s="363" t="str">
        <f>VLOOKUP(Table2[[#This Row],[Course Title]],'TSD-Data'!$A$1:$G$80,7,FALSE)</f>
        <v>N5</v>
      </c>
    </row>
    <row r="332" spans="2:40" s="428" customFormat="1" x14ac:dyDescent="0.25">
      <c r="B332" s="315"/>
      <c r="C332" s="364" t="s">
        <v>48</v>
      </c>
      <c r="D332" s="363" t="str">
        <f>VLOOKUP(Table2[[#This Row],[Course Title]],'TSD-Data'!$A$1:$E$80,2,FALSE)</f>
        <v>A-493-0103</v>
      </c>
      <c r="E332" s="363" t="str">
        <f>VLOOKUP(Table2[[#This Row],[Course Title]],'TSD-Data'!$A$1:$E$80,3,FALSE)</f>
        <v>12JY</v>
      </c>
      <c r="F332" s="443" t="s">
        <v>279</v>
      </c>
      <c r="G332" s="344">
        <v>46118</v>
      </c>
      <c r="H332" s="344">
        <v>46122</v>
      </c>
      <c r="I332" s="317" t="s">
        <v>163</v>
      </c>
      <c r="J332" s="318">
        <v>0.33333333333333331</v>
      </c>
      <c r="K332" s="318"/>
      <c r="L332" s="344"/>
      <c r="M332" s="317"/>
      <c r="N332" s="317"/>
      <c r="O332" s="317"/>
      <c r="P332" s="317"/>
      <c r="Q332" s="321" t="s">
        <v>275</v>
      </c>
      <c r="R332" s="321"/>
      <c r="S332" s="321"/>
      <c r="T332" s="316">
        <f>VLOOKUP(Table2[[#This Row],[Course Title]],'TSD-Data'!$A$1:$E$80,4,FALSE)</f>
        <v>25</v>
      </c>
      <c r="U332" s="363">
        <f>VLOOKUP(Table2[[#This Row],[Course Title]],'TSD-Data'!$A$1:$F$80,6,FALSE)</f>
        <v>40</v>
      </c>
      <c r="V332" s="323">
        <f>VLOOKUP(Table2[[#This Row],[Course Title]],'TSD-Data'!$A$1:$F$80,5,FALSE)</f>
        <v>5</v>
      </c>
      <c r="W332" s="323">
        <v>225</v>
      </c>
      <c r="X332" s="316"/>
      <c r="Y332" s="316"/>
      <c r="Z332" s="323"/>
      <c r="AA332" s="323"/>
      <c r="AB332" s="363"/>
      <c r="AC332" s="363"/>
      <c r="AD332" s="316"/>
      <c r="AE332" s="316"/>
      <c r="AF332" s="323">
        <f ca="1">Table2[[#This Row],[End Date]]+2-TODAY()</f>
        <v>117</v>
      </c>
      <c r="AG332" s="316">
        <f>IF(ISBLANK(Table2[[#This Row],[Roster Received by]]),1,0)</f>
        <v>1</v>
      </c>
      <c r="AH332" s="316">
        <f ca="1">IF(Table2[[#This Row],[Start Date]]&gt;TODAY(),1,)</f>
        <v>1</v>
      </c>
      <c r="AI332" s="316">
        <f>IF(ISBLANK(Table2[[#This Row],[Primary Instructor]]),0,1)</f>
        <v>1</v>
      </c>
      <c r="AJ332" s="316">
        <f>IF(ISBLANK(Table2[[#This Row],[Instructor 2]]),0,1)</f>
        <v>0</v>
      </c>
      <c r="AK332" s="316">
        <f>Table2[[#This Row],[Course Length (Hours)]]/(SUM(Table2[[#This Row],[1]:[2]]))</f>
        <v>40</v>
      </c>
      <c r="AL332" s="638"/>
      <c r="AM332" s="316">
        <v>3</v>
      </c>
      <c r="AN332" s="363" t="str">
        <f>VLOOKUP(Table2[[#This Row],[Course Title]],'TSD-Data'!$A$1:$G$80,7,FALSE)</f>
        <v>N5</v>
      </c>
    </row>
    <row r="333" spans="2:40" s="428" customFormat="1" x14ac:dyDescent="0.25">
      <c r="B333" s="315"/>
      <c r="C333" s="364" t="s">
        <v>44</v>
      </c>
      <c r="D333" s="316" t="str">
        <f>VLOOKUP(Table2[[#This Row],[Course Title]],'TSD-Data'!$A$1:$E$80,2,FALSE)</f>
        <v>A-493-0665</v>
      </c>
      <c r="E333" s="316" t="str">
        <f>VLOOKUP(Table2[[#This Row],[Course Title]],'TSD-Data'!$A$1:$E$80,3,FALSE)</f>
        <v>10KW</v>
      </c>
      <c r="F333" s="364" t="s">
        <v>25</v>
      </c>
      <c r="G333" s="344">
        <v>46118</v>
      </c>
      <c r="H333" s="344">
        <v>46120</v>
      </c>
      <c r="I333" s="317" t="s">
        <v>163</v>
      </c>
      <c r="J333" s="318"/>
      <c r="K333" s="318">
        <v>0.5</v>
      </c>
      <c r="L333" s="429">
        <v>0.375</v>
      </c>
      <c r="M333" s="431">
        <v>0.79166666666666663</v>
      </c>
      <c r="N333" s="431">
        <v>0.75</v>
      </c>
      <c r="O333" s="431">
        <v>0.25</v>
      </c>
      <c r="P333" s="431">
        <v>4.1666666666666664E-2</v>
      </c>
      <c r="Q333" s="321" t="s">
        <v>444</v>
      </c>
      <c r="R333" s="321"/>
      <c r="S333" s="321"/>
      <c r="T333" s="316">
        <f>VLOOKUP(Table2[[#This Row],[Course Title]],'TSD-Data'!$A$1:$E$80,4,FALSE)</f>
        <v>45</v>
      </c>
      <c r="U333" s="316">
        <f>VLOOKUP(Table2[[#This Row],[Course Title]],'TSD-Data'!$A$1:$F$80,6,FALSE)</f>
        <v>24</v>
      </c>
      <c r="V333" s="323">
        <f>VLOOKUP(Table2[[#This Row],[Course Title]],'TSD-Data'!$A$1:$F$80,5,FALSE)</f>
        <v>3</v>
      </c>
      <c r="W333" s="323">
        <v>337</v>
      </c>
      <c r="X333" s="316"/>
      <c r="Y333" s="316"/>
      <c r="Z333" s="323"/>
      <c r="AA333" s="323"/>
      <c r="AB333" s="316"/>
      <c r="AC333" s="316"/>
      <c r="AD333" s="316"/>
      <c r="AE333" s="316"/>
      <c r="AF333" s="323">
        <f ca="1">Table2[[#This Row],[End Date]]+2-TODAY()</f>
        <v>115</v>
      </c>
      <c r="AG333" s="316">
        <f>IF(ISBLANK(Table2[[#This Row],[Roster Received by]]),1,0)</f>
        <v>1</v>
      </c>
      <c r="AH333" s="316">
        <f ca="1">IF(Table2[[#This Row],[Start Date]]&gt;TODAY(),1,)</f>
        <v>1</v>
      </c>
      <c r="AI333" s="316">
        <f>IF(ISBLANK(Table2[[#This Row],[Primary Instructor]]),0,1)</f>
        <v>1</v>
      </c>
      <c r="AJ333" s="316">
        <f>IF(ISBLANK(Table2[[#This Row],[Instructor 2]]),0,1)</f>
        <v>0</v>
      </c>
      <c r="AK333" s="316">
        <f>Table2[[#This Row],[Course Length (Hours)]]/(SUM(Table2[[#This Row],[1]:[2]]))</f>
        <v>24</v>
      </c>
      <c r="AL333" s="124"/>
      <c r="AM333" s="316">
        <v>3</v>
      </c>
      <c r="AN333" s="363" t="str">
        <f>VLOOKUP(Table2[[#This Row],[Course Title]],'TSD-Data'!$A$1:$G$80,7,FALSE)</f>
        <v>N8</v>
      </c>
    </row>
    <row r="334" spans="2:40" s="428" customFormat="1" x14ac:dyDescent="0.25">
      <c r="B334" s="438" t="s">
        <v>323</v>
      </c>
      <c r="C334" s="343" t="s">
        <v>61</v>
      </c>
      <c r="D334" s="316" t="str">
        <f>VLOOKUP(Table2[[#This Row],[Course Title]],'TSD-Data'!$A$1:$E$80,2,FALSE)</f>
        <v>A-493-0012</v>
      </c>
      <c r="E334" s="316">
        <f>VLOOKUP(Table2[[#This Row],[Course Title]],'TSD-Data'!$A$1:$E$80,3,FALSE)</f>
        <v>3682</v>
      </c>
      <c r="F334" s="342" t="s">
        <v>274</v>
      </c>
      <c r="G334" s="344">
        <v>46118</v>
      </c>
      <c r="H334" s="344">
        <v>46122</v>
      </c>
      <c r="I334" s="317" t="s">
        <v>163</v>
      </c>
      <c r="J334" s="318">
        <v>0.33333333333333331</v>
      </c>
      <c r="K334" s="345"/>
      <c r="L334" s="344"/>
      <c r="M334" s="344"/>
      <c r="N334" s="344"/>
      <c r="O334" s="344"/>
      <c r="P334" s="344"/>
      <c r="Q334" s="321" t="s">
        <v>453</v>
      </c>
      <c r="R334" s="321"/>
      <c r="S334" s="321"/>
      <c r="T334" s="316">
        <f>VLOOKUP(Table2[[#This Row],[Course Title]],'TSD-Data'!$A$1:$E$80,4,FALSE)</f>
        <v>40</v>
      </c>
      <c r="U334" s="316">
        <f>VLOOKUP(Table2[[#This Row],[Course Title]],'TSD-Data'!$A$1:$F$80,6,FALSE)</f>
        <v>40</v>
      </c>
      <c r="V334" s="323">
        <f>VLOOKUP(Table2[[#This Row],[Course Title]],'TSD-Data'!$A$1:$F$80,5,FALSE)</f>
        <v>5</v>
      </c>
      <c r="W334" s="316">
        <v>13</v>
      </c>
      <c r="X334" s="316"/>
      <c r="Y334" s="316"/>
      <c r="Z334" s="323"/>
      <c r="AA334" s="323"/>
      <c r="AB334" s="316"/>
      <c r="AC334" s="316"/>
      <c r="AD334" s="316"/>
      <c r="AE334" s="316"/>
      <c r="AF334" s="323">
        <f ca="1">Table2[[#This Row],[End Date]]+2-TODAY()</f>
        <v>117</v>
      </c>
      <c r="AG334" s="316">
        <f>IF(ISBLANK(Table2[[#This Row],[Roster Received by]]),1,0)</f>
        <v>1</v>
      </c>
      <c r="AH334" s="316">
        <f ca="1">IF(Table2[[#This Row],[Start Date]]&gt;TODAY(),1,)</f>
        <v>1</v>
      </c>
      <c r="AI334" s="316">
        <f>IF(ISBLANK(Table2[[#This Row],[Primary Instructor]]),0,1)</f>
        <v>1</v>
      </c>
      <c r="AJ334" s="316">
        <f>IF(ISBLANK(Table2[[#This Row],[Instructor 2]]),0,1)</f>
        <v>0</v>
      </c>
      <c r="AK334" s="316">
        <f>Table2[[#This Row],[Course Length (Hours)]]/(SUM(Table2[[#This Row],[1]:[2]]))</f>
        <v>40</v>
      </c>
      <c r="AL334" s="124"/>
      <c r="AM334" s="316">
        <v>3</v>
      </c>
      <c r="AN334" s="363" t="str">
        <f>VLOOKUP(Table2[[#This Row],[Course Title]],'TSD-Data'!$A$1:$G$80,7,FALSE)</f>
        <v>N4</v>
      </c>
    </row>
    <row r="335" spans="2:40" s="428" customFormat="1" x14ac:dyDescent="0.25">
      <c r="B335" s="315"/>
      <c r="C335" s="364" t="s">
        <v>113</v>
      </c>
      <c r="D335" s="316" t="str">
        <f>VLOOKUP(Table2[[#This Row],[Course Title]],'TSD-Data'!$A$1:$E$80,2,FALSE)</f>
        <v>A-570-0100</v>
      </c>
      <c r="E335" s="316" t="str">
        <f>VLOOKUP(Table2[[#This Row],[Course Title]],'TSD-Data'!$A$1:$E$80,3,FALSE)</f>
        <v>18B7</v>
      </c>
      <c r="F335" s="315" t="s">
        <v>25</v>
      </c>
      <c r="G335" s="344">
        <v>46118</v>
      </c>
      <c r="H335" s="344">
        <v>46119</v>
      </c>
      <c r="I335" s="317" t="s">
        <v>163</v>
      </c>
      <c r="J335" s="318"/>
      <c r="K335" s="345">
        <v>0.33333333333333331</v>
      </c>
      <c r="L335" s="345">
        <v>0.20833333333333334</v>
      </c>
      <c r="M335" s="345">
        <v>0.625</v>
      </c>
      <c r="N335" s="345">
        <v>0.54166666666666663</v>
      </c>
      <c r="O335" s="345">
        <v>8.3333333333333329E-2</v>
      </c>
      <c r="P335" s="345">
        <v>0.875</v>
      </c>
      <c r="Q335" s="321" t="s">
        <v>431</v>
      </c>
      <c r="R335" s="321"/>
      <c r="S335" s="321"/>
      <c r="T335" s="316">
        <f>VLOOKUP(Table2[[#This Row],[Course Title]],'TSD-Data'!$A$1:$E$80,4,FALSE)</f>
        <v>45</v>
      </c>
      <c r="U335" s="316">
        <f>VLOOKUP(Table2[[#This Row],[Course Title]],'TSD-Data'!$A$1:$F$80,6,FALSE)</f>
        <v>16</v>
      </c>
      <c r="V335" s="323">
        <f>VLOOKUP(Table2[[#This Row],[Course Title]],'TSD-Data'!$A$1:$F$80,5,FALSE)</f>
        <v>2</v>
      </c>
      <c r="W335" s="323">
        <v>326</v>
      </c>
      <c r="X335" s="316"/>
      <c r="Y335" s="316"/>
      <c r="Z335" s="323"/>
      <c r="AA335" s="323"/>
      <c r="AB335" s="316"/>
      <c r="AC335" s="316"/>
      <c r="AD335" s="316"/>
      <c r="AE335" s="316"/>
      <c r="AF335" s="323">
        <f ca="1">Table2[[#This Row],[End Date]]+2-TODAY()</f>
        <v>114</v>
      </c>
      <c r="AG335" s="316">
        <f>IF(ISBLANK(Table2[[#This Row],[Roster Received by]]),1,0)</f>
        <v>1</v>
      </c>
      <c r="AH335" s="316">
        <f ca="1">IF(Table2[[#This Row],[Start Date]]&gt;TODAY(),1,)</f>
        <v>1</v>
      </c>
      <c r="AI335" s="316">
        <f>IF(ISBLANK(Table2[[#This Row],[Primary Instructor]]),0,1)</f>
        <v>1</v>
      </c>
      <c r="AJ335" s="316">
        <f>IF(ISBLANK(Table2[[#This Row],[Instructor 2]]),0,1)</f>
        <v>0</v>
      </c>
      <c r="AK335" s="316">
        <f>Table2[[#This Row],[Course Length (Hours)]]/(SUM(Table2[[#This Row],[1]:[2]]))</f>
        <v>16</v>
      </c>
      <c r="AL335" s="124"/>
      <c r="AM335" s="316">
        <v>3</v>
      </c>
      <c r="AN335" s="363" t="str">
        <f>VLOOKUP(Table2[[#This Row],[Course Title]],'TSD-Data'!$A$1:$G$80,7,FALSE)</f>
        <v>N8</v>
      </c>
    </row>
    <row r="336" spans="2:40" s="428" customFormat="1" x14ac:dyDescent="0.25">
      <c r="B336" s="315" t="s">
        <v>469</v>
      </c>
      <c r="C336" s="364" t="s">
        <v>116</v>
      </c>
      <c r="D336" s="316" t="str">
        <f>VLOOKUP(Table2[[#This Row],[Course Title]],'TSD-Data'!$A$1:$E$80,2,FALSE)</f>
        <v>A-493-0072</v>
      </c>
      <c r="E336" s="316" t="str">
        <f>VLOOKUP(Table2[[#This Row],[Course Title]],'TSD-Data'!$A$1:$E$80,3,FALSE)</f>
        <v>713U</v>
      </c>
      <c r="F336" s="364" t="s">
        <v>340</v>
      </c>
      <c r="G336" s="344">
        <v>46118</v>
      </c>
      <c r="H336" s="344">
        <v>46122</v>
      </c>
      <c r="I336" s="317" t="s">
        <v>163</v>
      </c>
      <c r="J336" s="318">
        <v>0.33333333333333331</v>
      </c>
      <c r="K336" s="345"/>
      <c r="L336" s="344"/>
      <c r="M336" s="344"/>
      <c r="N336" s="344"/>
      <c r="O336" s="344"/>
      <c r="P336" s="344"/>
      <c r="Q336" s="321" t="s">
        <v>445</v>
      </c>
      <c r="R336" s="321"/>
      <c r="S336" s="321" t="s">
        <v>454</v>
      </c>
      <c r="T336" s="316">
        <f>VLOOKUP(Table2[[#This Row],[Course Title]],'TSD-Data'!$A$1:$E$80,4,FALSE)</f>
        <v>30</v>
      </c>
      <c r="U336" s="316">
        <f>VLOOKUP(Table2[[#This Row],[Course Title]],'TSD-Data'!$A$1:$F$80,6,FALSE)</f>
        <v>40</v>
      </c>
      <c r="V336" s="323">
        <f>VLOOKUP(Table2[[#This Row],[Course Title]],'TSD-Data'!$A$1:$F$80,5,FALSE)</f>
        <v>5</v>
      </c>
      <c r="W336" s="323">
        <v>36</v>
      </c>
      <c r="X336" s="316"/>
      <c r="Y336" s="316"/>
      <c r="Z336" s="323"/>
      <c r="AA336" s="323"/>
      <c r="AB336" s="316"/>
      <c r="AC336" s="316"/>
      <c r="AD336" s="316"/>
      <c r="AE336" s="316"/>
      <c r="AF336" s="323">
        <f ca="1">Table2[[#This Row],[End Date]]+2-TODAY()</f>
        <v>117</v>
      </c>
      <c r="AG336" s="316">
        <f>IF(ISBLANK(Table2[[#This Row],[Roster Received by]]),1,0)</f>
        <v>1</v>
      </c>
      <c r="AH336" s="316">
        <f ca="1">IF(Table2[[#This Row],[Start Date]]&gt;TODAY(),1,)</f>
        <v>1</v>
      </c>
      <c r="AI336" s="316">
        <f>IF(ISBLANK(Table2[[#This Row],[Primary Instructor]]),0,1)</f>
        <v>1</v>
      </c>
      <c r="AJ336" s="316">
        <f>IF(ISBLANK(Table2[[#This Row],[Instructor 2]]),0,1)</f>
        <v>0</v>
      </c>
      <c r="AK336" s="316">
        <f>Table2[[#This Row],[Course Length (Hours)]]/(SUM(Table2[[#This Row],[1]:[2]]))</f>
        <v>40</v>
      </c>
      <c r="AL336" s="124"/>
      <c r="AM336" s="316">
        <v>3</v>
      </c>
      <c r="AN336" s="363" t="str">
        <f>VLOOKUP(Table2[[#This Row],[Course Title]],'TSD-Data'!$A$1:$G$80,7,FALSE)</f>
        <v>N3</v>
      </c>
    </row>
    <row r="337" spans="2:40" s="428" customFormat="1" ht="15" customHeight="1" x14ac:dyDescent="0.25">
      <c r="B337" s="315"/>
      <c r="C337" s="364" t="s">
        <v>116</v>
      </c>
      <c r="D337" s="316" t="str">
        <f>VLOOKUP(Table2[[#This Row],[Course Title]],'TSD-Data'!$A$1:$E$80,2,FALSE)</f>
        <v>A-493-0072</v>
      </c>
      <c r="E337" s="316" t="str">
        <f>VLOOKUP(Table2[[#This Row],[Course Title]],'TSD-Data'!$A$1:$E$80,3,FALSE)</f>
        <v>713U</v>
      </c>
      <c r="F337" s="364" t="s">
        <v>229</v>
      </c>
      <c r="G337" s="344">
        <v>46118</v>
      </c>
      <c r="H337" s="344">
        <v>46122</v>
      </c>
      <c r="I337" s="317" t="s">
        <v>163</v>
      </c>
      <c r="J337" s="318">
        <v>0.33333333333333331</v>
      </c>
      <c r="K337" s="318"/>
      <c r="L337" s="317"/>
      <c r="M337" s="317"/>
      <c r="N337" s="317"/>
      <c r="O337" s="317"/>
      <c r="P337" s="317"/>
      <c r="Q337" s="321" t="s">
        <v>285</v>
      </c>
      <c r="R337" s="321" t="s">
        <v>273</v>
      </c>
      <c r="S337" s="321"/>
      <c r="T337" s="316">
        <f>VLOOKUP(Table2[[#This Row],[Course Title]],'TSD-Data'!$A$1:$E$80,4,FALSE)</f>
        <v>30</v>
      </c>
      <c r="U337" s="316">
        <f>VLOOKUP(Table2[[#This Row],[Course Title]],'TSD-Data'!$A$1:$F$80,6,FALSE)</f>
        <v>40</v>
      </c>
      <c r="V337" s="323">
        <f>VLOOKUP(Table2[[#This Row],[Course Title]],'TSD-Data'!$A$1:$F$80,5,FALSE)</f>
        <v>5</v>
      </c>
      <c r="W337" s="323">
        <v>178</v>
      </c>
      <c r="X337" s="316"/>
      <c r="Y337" s="316"/>
      <c r="Z337" s="323"/>
      <c r="AA337" s="323"/>
      <c r="AB337" s="316"/>
      <c r="AC337" s="316"/>
      <c r="AD337" s="316"/>
      <c r="AE337" s="316"/>
      <c r="AF337" s="323">
        <f ca="1">Table2[[#This Row],[End Date]]+2-TODAY()</f>
        <v>117</v>
      </c>
      <c r="AG337" s="316">
        <f>IF(ISBLANK(Table2[[#This Row],[Roster Received by]]),1,0)</f>
        <v>1</v>
      </c>
      <c r="AH337" s="316">
        <f ca="1">IF(Table2[[#This Row],[Start Date]]&gt;TODAY(),1,)</f>
        <v>1</v>
      </c>
      <c r="AI337" s="316">
        <f>IF(ISBLANK(Table2[[#This Row],[Primary Instructor]]),0,1)</f>
        <v>1</v>
      </c>
      <c r="AJ337" s="316">
        <f>IF(ISBLANK(Table2[[#This Row],[Instructor 2]]),0,1)</f>
        <v>1</v>
      </c>
      <c r="AK337" s="316">
        <f>Table2[[#This Row],[Course Length (Hours)]]/(SUM(Table2[[#This Row],[1]:[2]]))</f>
        <v>20</v>
      </c>
      <c r="AL337" s="124"/>
      <c r="AM337" s="316">
        <v>3</v>
      </c>
      <c r="AN337" s="363" t="str">
        <f>VLOOKUP(Table2[[#This Row],[Course Title]],'TSD-Data'!$A$1:$G$80,7,FALSE)</f>
        <v>N3</v>
      </c>
    </row>
    <row r="338" spans="2:40" s="428" customFormat="1" x14ac:dyDescent="0.25">
      <c r="B338" s="315"/>
      <c r="C338" s="364" t="s">
        <v>119</v>
      </c>
      <c r="D338" s="363" t="str">
        <f>VLOOKUP(Table2[[#This Row],[Course Title]],'TSD-Data'!$A$1:$E$80,2,FALSE)</f>
        <v>A-493-2098</v>
      </c>
      <c r="E338" s="363" t="str">
        <f>VLOOKUP(Table2[[#This Row],[Course Title]],'TSD-Data'!$A$1:$E$80,3,FALSE)</f>
        <v>09WW</v>
      </c>
      <c r="F338" s="364" t="s">
        <v>25</v>
      </c>
      <c r="G338" s="344">
        <v>46118</v>
      </c>
      <c r="H338" s="344">
        <v>46120</v>
      </c>
      <c r="I338" s="317" t="s">
        <v>163</v>
      </c>
      <c r="J338" s="318"/>
      <c r="K338" s="345">
        <v>0.5</v>
      </c>
      <c r="L338" s="429">
        <v>0.375</v>
      </c>
      <c r="M338" s="429">
        <v>0.79166666666666663</v>
      </c>
      <c r="N338" s="429">
        <v>0.75</v>
      </c>
      <c r="O338" s="429">
        <v>0.25</v>
      </c>
      <c r="P338" s="429">
        <v>4.1666666666666664E-2</v>
      </c>
      <c r="Q338" s="321" t="s">
        <v>164</v>
      </c>
      <c r="R338" s="321"/>
      <c r="S338" s="321"/>
      <c r="T338" s="316">
        <f>VLOOKUP(Table2[[#This Row],[Course Title]],'TSD-Data'!$A$1:$E$80,4,FALSE)</f>
        <v>100</v>
      </c>
      <c r="U338" s="363">
        <f>VLOOKUP(Table2[[#This Row],[Course Title]],'TSD-Data'!$A$1:$F$80,6,FALSE)</f>
        <v>16</v>
      </c>
      <c r="V338" s="323">
        <f>VLOOKUP(Table2[[#This Row],[Course Title]],'TSD-Data'!$A$1:$F$80,5,FALSE)</f>
        <v>3</v>
      </c>
      <c r="W338" s="323"/>
      <c r="X338" s="316"/>
      <c r="Y338" s="316"/>
      <c r="Z338" s="323"/>
      <c r="AA338" s="323"/>
      <c r="AB338" s="363"/>
      <c r="AC338" s="363"/>
      <c r="AD338" s="316"/>
      <c r="AE338" s="316"/>
      <c r="AF338" s="323">
        <f ca="1">Table2[[#This Row],[End Date]]+2-TODAY()</f>
        <v>115</v>
      </c>
      <c r="AG338" s="316">
        <f>IF(ISBLANK(Table2[[#This Row],[Roster Received by]]),1,0)</f>
        <v>1</v>
      </c>
      <c r="AH338" s="316">
        <f ca="1">IF(Table2[[#This Row],[Start Date]]&gt;TODAY(),1,)</f>
        <v>1</v>
      </c>
      <c r="AI338" s="316">
        <f>IF(ISBLANK(Table2[[#This Row],[Primary Instructor]]),0,1)</f>
        <v>1</v>
      </c>
      <c r="AJ338" s="316">
        <f>IF(ISBLANK(Table2[[#This Row],[Instructor 2]]),0,1)</f>
        <v>0</v>
      </c>
      <c r="AK338" s="316">
        <f>Table2[[#This Row],[Course Length (Hours)]]/(SUM(Table2[[#This Row],[1]:[2]]))</f>
        <v>16</v>
      </c>
      <c r="AL338" s="638"/>
      <c r="AM338" s="316">
        <v>3</v>
      </c>
      <c r="AN338" s="363" t="str">
        <f>VLOOKUP(Table2[[#This Row],[Course Title]],'TSD-Data'!$A$1:$G$80,7,FALSE)</f>
        <v>N8</v>
      </c>
    </row>
    <row r="339" spans="2:40" s="428" customFormat="1" x14ac:dyDescent="0.25">
      <c r="B339" s="315"/>
      <c r="C339" s="315" t="s">
        <v>125</v>
      </c>
      <c r="D339" s="316" t="str">
        <f>VLOOKUP(Table2[[#This Row],[Course Title]],'TSD-Data'!$A$1:$E$80,2,FALSE)</f>
        <v>A-493-2017</v>
      </c>
      <c r="E339" s="316" t="str">
        <f>VLOOKUP(Table2[[#This Row],[Course Title]],'TSD-Data'!$A$1:$E$80,3,FALSE)</f>
        <v>12x3</v>
      </c>
      <c r="F339" s="364" t="s">
        <v>173</v>
      </c>
      <c r="G339" s="344">
        <v>46118</v>
      </c>
      <c r="H339" s="344">
        <v>46122</v>
      </c>
      <c r="I339" s="341" t="s">
        <v>163</v>
      </c>
      <c r="J339" s="318">
        <v>0.33333333333333331</v>
      </c>
      <c r="K339" s="318"/>
      <c r="L339" s="344"/>
      <c r="M339" s="317"/>
      <c r="N339" s="317"/>
      <c r="O339" s="317"/>
      <c r="P339" s="317"/>
      <c r="Q339" s="321" t="s">
        <v>168</v>
      </c>
      <c r="R339" s="321"/>
      <c r="S339" s="321"/>
      <c r="T339" s="316">
        <f>VLOOKUP(Table2[[#This Row],[Course Title]],'TSD-Data'!$A$1:$E$80,4,FALSE)</f>
        <v>25</v>
      </c>
      <c r="U339" s="316">
        <f>VLOOKUP(Table2[[#This Row],[Course Title]],'TSD-Data'!$A$1:$F$80,6,FALSE)</f>
        <v>40</v>
      </c>
      <c r="V339" s="323">
        <f>VLOOKUP(Table2[[#This Row],[Course Title]],'TSD-Data'!$A$1:$F$80,5,FALSE)</f>
        <v>5</v>
      </c>
      <c r="W339" s="323">
        <v>40</v>
      </c>
      <c r="X339" s="316"/>
      <c r="Y339" s="316"/>
      <c r="Z339" s="323"/>
      <c r="AA339" s="323"/>
      <c r="AB339" s="363"/>
      <c r="AC339" s="363"/>
      <c r="AD339" s="316"/>
      <c r="AE339" s="316"/>
      <c r="AF339" s="323">
        <f ca="1">Table2[[#This Row],[End Date]]+2-TODAY()</f>
        <v>117</v>
      </c>
      <c r="AG339" s="316">
        <f>IF(ISBLANK(Table2[[#This Row],[Roster Received by]]),1,0)</f>
        <v>1</v>
      </c>
      <c r="AH339" s="316">
        <f ca="1">IF(Table2[[#This Row],[Start Date]]&gt;TODAY(),1,)</f>
        <v>1</v>
      </c>
      <c r="AI339" s="316">
        <f>IF(ISBLANK(Table2[[#This Row],[Primary Instructor]]),0,1)</f>
        <v>1</v>
      </c>
      <c r="AJ339" s="316">
        <f>IF(ISBLANK(Table2[[#This Row],[Instructor 2]]),0,1)</f>
        <v>0</v>
      </c>
      <c r="AK339" s="316">
        <f>Table2[[#This Row],[Course Length (Hours)]]/(SUM(Table2[[#This Row],[1]:[2]]))</f>
        <v>40</v>
      </c>
      <c r="AL339" s="638"/>
      <c r="AM339" s="316">
        <v>3</v>
      </c>
      <c r="AN339" s="363" t="str">
        <f>VLOOKUP(Table2[[#This Row],[Course Title]],'TSD-Data'!$A$1:$G$80,7,FALSE)</f>
        <v>N4</v>
      </c>
    </row>
    <row r="340" spans="2:40" s="428" customFormat="1" x14ac:dyDescent="0.25">
      <c r="B340" s="315"/>
      <c r="C340" s="364" t="s">
        <v>77</v>
      </c>
      <c r="D340" s="316" t="str">
        <f>VLOOKUP(Table2[[#This Row],[Course Title]],'TSD-Data'!$A$1:$E$80,2,FALSE)</f>
        <v>A-493-0077</v>
      </c>
      <c r="E340" s="316" t="str">
        <f>VLOOKUP(Table2[[#This Row],[Course Title]],'TSD-Data'!$A$1:$E$80,3,FALSE)</f>
        <v>0381</v>
      </c>
      <c r="F340" s="364" t="s">
        <v>171</v>
      </c>
      <c r="G340" s="344">
        <v>46119</v>
      </c>
      <c r="H340" s="344">
        <v>46121</v>
      </c>
      <c r="I340" s="341" t="s">
        <v>163</v>
      </c>
      <c r="J340" s="318">
        <v>0.33333333333333331</v>
      </c>
      <c r="K340" s="318"/>
      <c r="L340" s="344"/>
      <c r="M340" s="317"/>
      <c r="N340" s="317"/>
      <c r="O340" s="317"/>
      <c r="P340" s="317"/>
      <c r="Q340" s="321" t="s">
        <v>168</v>
      </c>
      <c r="R340" s="321"/>
      <c r="S340" s="321"/>
      <c r="T340" s="316">
        <f>VLOOKUP(Table2[[#This Row],[Course Title]],'TSD-Data'!$A$1:$E$80,4,FALSE)</f>
        <v>25</v>
      </c>
      <c r="U340" s="316">
        <f>VLOOKUP(Table2[[#This Row],[Course Title]],'TSD-Data'!$A$1:$F$80,6,FALSE)</f>
        <v>24</v>
      </c>
      <c r="V340" s="323">
        <f>VLOOKUP(Table2[[#This Row],[Course Title]],'TSD-Data'!$A$1:$F$80,5,FALSE)</f>
        <v>3</v>
      </c>
      <c r="W340" s="323">
        <v>42</v>
      </c>
      <c r="X340" s="316"/>
      <c r="Y340" s="316"/>
      <c r="Z340" s="323"/>
      <c r="AA340" s="323"/>
      <c r="AB340" s="363"/>
      <c r="AC340" s="363"/>
      <c r="AD340" s="316"/>
      <c r="AE340" s="316"/>
      <c r="AF340" s="323">
        <f ca="1">Table2[[#This Row],[End Date]]+2-TODAY()</f>
        <v>116</v>
      </c>
      <c r="AG340" s="316">
        <f>IF(ISBLANK(Table2[[#This Row],[Roster Received by]]),1,0)</f>
        <v>1</v>
      </c>
      <c r="AH340" s="316">
        <f ca="1">IF(Table2[[#This Row],[Start Date]]&gt;TODAY(),1,)</f>
        <v>1</v>
      </c>
      <c r="AI340" s="316">
        <f>IF(ISBLANK(Table2[[#This Row],[Primary Instructor]]),0,1)</f>
        <v>1</v>
      </c>
      <c r="AJ340" s="316">
        <f>IF(ISBLANK(Table2[[#This Row],[Instructor 2]]),0,1)</f>
        <v>0</v>
      </c>
      <c r="AK340" s="316">
        <f>Table2[[#This Row],[Course Length (Hours)]]/(SUM(Table2[[#This Row],[1]:[2]]))</f>
        <v>24</v>
      </c>
      <c r="AL340" s="638"/>
      <c r="AM340" s="316">
        <v>3</v>
      </c>
      <c r="AN340" s="363" t="str">
        <f>VLOOKUP(Table2[[#This Row],[Course Title]],'TSD-Data'!$A$1:$G$80,7,FALSE)</f>
        <v>N4</v>
      </c>
    </row>
    <row r="341" spans="2:40" s="428" customFormat="1" x14ac:dyDescent="0.25">
      <c r="B341" s="315"/>
      <c r="C341" s="364" t="s">
        <v>77</v>
      </c>
      <c r="D341" s="316" t="str">
        <f>VLOOKUP(Table2[[#This Row],[Course Title]],'TSD-Data'!$A$1:$E$80,2,FALSE)</f>
        <v>A-493-0077</v>
      </c>
      <c r="E341" s="316" t="str">
        <f>VLOOKUP(Table2[[#This Row],[Course Title]],'TSD-Data'!$A$1:$E$80,3,FALSE)</f>
        <v>0381</v>
      </c>
      <c r="F341" s="315" t="s">
        <v>470</v>
      </c>
      <c r="G341" s="344">
        <v>46119</v>
      </c>
      <c r="H341" s="344">
        <v>46121</v>
      </c>
      <c r="I341" s="341" t="s">
        <v>163</v>
      </c>
      <c r="J341" s="318">
        <v>0.33333333333333331</v>
      </c>
      <c r="K341" s="318"/>
      <c r="L341" s="344"/>
      <c r="M341" s="344"/>
      <c r="N341" s="344"/>
      <c r="O341" s="344"/>
      <c r="P341" s="344"/>
      <c r="Q341" s="321" t="s">
        <v>168</v>
      </c>
      <c r="R341" s="321"/>
      <c r="S341" s="321"/>
      <c r="T341" s="316">
        <f>VLOOKUP(Table2[[#This Row],[Course Title]],'TSD-Data'!$A$1:$E$80,4,FALSE)</f>
        <v>25</v>
      </c>
      <c r="U341" s="316">
        <f>VLOOKUP(Table2[[#This Row],[Course Title]],'TSD-Data'!$A$1:$F$80,6,FALSE)</f>
        <v>24</v>
      </c>
      <c r="V341" s="323">
        <f>VLOOKUP(Table2[[#This Row],[Course Title]],'TSD-Data'!$A$1:$F$80,5,FALSE)</f>
        <v>3</v>
      </c>
      <c r="W341" s="323">
        <v>37</v>
      </c>
      <c r="X341" s="316"/>
      <c r="Y341" s="316"/>
      <c r="Z341" s="323"/>
      <c r="AA341" s="323"/>
      <c r="AB341" s="363"/>
      <c r="AC341" s="363"/>
      <c r="AD341" s="316"/>
      <c r="AE341" s="316"/>
      <c r="AF341" s="323">
        <f ca="1">Table2[[#This Row],[End Date]]+2-TODAY()</f>
        <v>116</v>
      </c>
      <c r="AG341" s="316">
        <f>IF(ISBLANK(Table2[[#This Row],[Roster Received by]]),1,0)</f>
        <v>1</v>
      </c>
      <c r="AH341" s="316">
        <f ca="1">IF(Table2[[#This Row],[Start Date]]&gt;TODAY(),1,)</f>
        <v>1</v>
      </c>
      <c r="AI341" s="316">
        <f>IF(ISBLANK(Table2[[#This Row],[Primary Instructor]]),0,1)</f>
        <v>1</v>
      </c>
      <c r="AJ341" s="316">
        <f>IF(ISBLANK(Table2[[#This Row],[Instructor 2]]),0,1)</f>
        <v>0</v>
      </c>
      <c r="AK341" s="316">
        <f>Table2[[#This Row],[Course Length (Hours)]]/(SUM(Table2[[#This Row],[1]:[2]]))</f>
        <v>24</v>
      </c>
      <c r="AL341" s="638"/>
      <c r="AM341" s="316">
        <v>3</v>
      </c>
      <c r="AN341" s="363" t="str">
        <f>VLOOKUP(Table2[[#This Row],[Course Title]],'TSD-Data'!$A$1:$G$80,7,FALSE)</f>
        <v>N4</v>
      </c>
    </row>
    <row r="342" spans="2:40" s="428" customFormat="1" x14ac:dyDescent="0.25">
      <c r="B342" s="315"/>
      <c r="C342" s="364" t="s">
        <v>80</v>
      </c>
      <c r="D342" s="316" t="str">
        <f>VLOOKUP(Table2[[#This Row],[Course Title]],'TSD-Data'!$A$1:$E$80,2,FALSE)</f>
        <v>A-493-0083</v>
      </c>
      <c r="E342" s="316" t="str">
        <f>VLOOKUP(Table2[[#This Row],[Course Title]],'TSD-Data'!$A$1:$E$80,3,FALSE)</f>
        <v>339E</v>
      </c>
      <c r="F342" s="364" t="s">
        <v>171</v>
      </c>
      <c r="G342" s="344">
        <v>46122</v>
      </c>
      <c r="H342" s="344">
        <v>46122</v>
      </c>
      <c r="I342" s="341" t="s">
        <v>163</v>
      </c>
      <c r="J342" s="318">
        <v>0.33333333333333331</v>
      </c>
      <c r="K342" s="318"/>
      <c r="L342" s="317"/>
      <c r="M342" s="317"/>
      <c r="N342" s="317"/>
      <c r="O342" s="317"/>
      <c r="P342" s="317"/>
      <c r="Q342" s="321" t="s">
        <v>168</v>
      </c>
      <c r="R342" s="321"/>
      <c r="S342" s="321"/>
      <c r="T342" s="316">
        <f>VLOOKUP(Table2[[#This Row],[Course Title]],'TSD-Data'!$A$1:$E$80,4,FALSE)</f>
        <v>30</v>
      </c>
      <c r="U342" s="316">
        <f>VLOOKUP(Table2[[#This Row],[Course Title]],'TSD-Data'!$A$1:$F$80,6,FALSE)</f>
        <v>8</v>
      </c>
      <c r="V342" s="323">
        <f>VLOOKUP(Table2[[#This Row],[Course Title]],'TSD-Data'!$A$1:$F$80,5,FALSE)</f>
        <v>1</v>
      </c>
      <c r="W342" s="323">
        <v>30</v>
      </c>
      <c r="X342" s="316"/>
      <c r="Y342" s="316"/>
      <c r="Z342" s="323"/>
      <c r="AA342" s="323"/>
      <c r="AB342" s="363"/>
      <c r="AC342" s="363"/>
      <c r="AD342" s="316"/>
      <c r="AE342" s="316"/>
      <c r="AF342" s="323">
        <f ca="1">Table2[[#This Row],[End Date]]+2-TODAY()</f>
        <v>117</v>
      </c>
      <c r="AG342" s="316">
        <f>IF(ISBLANK(Table2[[#This Row],[Roster Received by]]),1,0)</f>
        <v>1</v>
      </c>
      <c r="AH342" s="316">
        <f ca="1">IF(Table2[[#This Row],[Start Date]]&gt;TODAY(),1,)</f>
        <v>1</v>
      </c>
      <c r="AI342" s="316">
        <f>IF(ISBLANK(Table2[[#This Row],[Primary Instructor]]),0,1)</f>
        <v>1</v>
      </c>
      <c r="AJ342" s="316">
        <f>IF(ISBLANK(Table2[[#This Row],[Instructor 2]]),0,1)</f>
        <v>0</v>
      </c>
      <c r="AK342" s="316">
        <f>Table2[[#This Row],[Course Length (Hours)]]/(SUM(Table2[[#This Row],[1]:[2]]))</f>
        <v>8</v>
      </c>
      <c r="AL342" s="638"/>
      <c r="AM342" s="316">
        <v>3</v>
      </c>
      <c r="AN342" s="363" t="str">
        <f>VLOOKUP(Table2[[#This Row],[Course Title]],'TSD-Data'!$A$1:$G$80,7,FALSE)</f>
        <v>N4</v>
      </c>
    </row>
    <row r="343" spans="2:40" s="428" customFormat="1" x14ac:dyDescent="0.25">
      <c r="B343" s="315"/>
      <c r="C343" s="364" t="s">
        <v>80</v>
      </c>
      <c r="D343" s="316" t="str">
        <f>VLOOKUP(Table2[[#This Row],[Course Title]],'TSD-Data'!$A$1:$E$80,2,FALSE)</f>
        <v>A-493-0083</v>
      </c>
      <c r="E343" s="316" t="str">
        <f>VLOOKUP(Table2[[#This Row],[Course Title]],'TSD-Data'!$A$1:$E$80,3,FALSE)</f>
        <v>339E</v>
      </c>
      <c r="F343" s="315" t="s">
        <v>470</v>
      </c>
      <c r="G343" s="344">
        <v>46122</v>
      </c>
      <c r="H343" s="344">
        <v>46122</v>
      </c>
      <c r="I343" s="341" t="s">
        <v>163</v>
      </c>
      <c r="J343" s="318">
        <v>0.33333333333333331</v>
      </c>
      <c r="K343" s="318"/>
      <c r="L343" s="317"/>
      <c r="M343" s="317"/>
      <c r="N343" s="317"/>
      <c r="O343" s="317"/>
      <c r="P343" s="317"/>
      <c r="Q343" s="321" t="s">
        <v>168</v>
      </c>
      <c r="R343" s="321"/>
      <c r="S343" s="321"/>
      <c r="T343" s="316">
        <f>VLOOKUP(Table2[[#This Row],[Course Title]],'TSD-Data'!$A$1:$E$80,4,FALSE)</f>
        <v>30</v>
      </c>
      <c r="U343" s="316">
        <f>VLOOKUP(Table2[[#This Row],[Course Title]],'TSD-Data'!$A$1:$F$80,6,FALSE)</f>
        <v>8</v>
      </c>
      <c r="V343" s="323">
        <f>VLOOKUP(Table2[[#This Row],[Course Title]],'TSD-Data'!$A$1:$F$80,5,FALSE)</f>
        <v>1</v>
      </c>
      <c r="W343" s="323">
        <v>35</v>
      </c>
      <c r="X343" s="316"/>
      <c r="Y343" s="316"/>
      <c r="Z343" s="323"/>
      <c r="AA343" s="323"/>
      <c r="AB343" s="363"/>
      <c r="AC343" s="363"/>
      <c r="AD343" s="316"/>
      <c r="AE343" s="316"/>
      <c r="AF343" s="323">
        <f ca="1">Table2[[#This Row],[End Date]]+2-TODAY()</f>
        <v>117</v>
      </c>
      <c r="AG343" s="316">
        <f>IF(ISBLANK(Table2[[#This Row],[Roster Received by]]),1,0)</f>
        <v>1</v>
      </c>
      <c r="AH343" s="316">
        <f ca="1">IF(Table2[[#This Row],[Start Date]]&gt;TODAY(),1,)</f>
        <v>1</v>
      </c>
      <c r="AI343" s="316">
        <f>IF(ISBLANK(Table2[[#This Row],[Primary Instructor]]),0,1)</f>
        <v>1</v>
      </c>
      <c r="AJ343" s="316">
        <f>IF(ISBLANK(Table2[[#This Row],[Instructor 2]]),0,1)</f>
        <v>0</v>
      </c>
      <c r="AK343" s="316">
        <f>Table2[[#This Row],[Course Length (Hours)]]/(SUM(Table2[[#This Row],[1]:[2]]))</f>
        <v>8</v>
      </c>
      <c r="AL343" s="638"/>
      <c r="AM343" s="316">
        <v>3</v>
      </c>
      <c r="AN343" s="363" t="str">
        <f>VLOOKUP(Table2[[#This Row],[Course Title]],'TSD-Data'!$A$1:$G$80,7,FALSE)</f>
        <v>N4</v>
      </c>
    </row>
    <row r="344" spans="2:40" s="428" customFormat="1" x14ac:dyDescent="0.25">
      <c r="B344" s="315"/>
      <c r="C344" s="364" t="s">
        <v>48</v>
      </c>
      <c r="D344" s="316" t="str">
        <f>VLOOKUP(Table2[[#This Row],[Course Title]],'TSD-Data'!$A$1:$E$80,2,FALSE)</f>
        <v>A-493-0103</v>
      </c>
      <c r="E344" s="316" t="str">
        <f>VLOOKUP(Table2[[#This Row],[Course Title]],'TSD-Data'!$A$1:$E$80,3,FALSE)</f>
        <v>12JY</v>
      </c>
      <c r="F344" s="315" t="s">
        <v>258</v>
      </c>
      <c r="G344" s="344">
        <v>46125</v>
      </c>
      <c r="H344" s="344">
        <v>46129</v>
      </c>
      <c r="I344" s="317" t="s">
        <v>163</v>
      </c>
      <c r="J344" s="318">
        <v>0.33333333333333331</v>
      </c>
      <c r="K344" s="318"/>
      <c r="L344" s="344"/>
      <c r="M344" s="344"/>
      <c r="N344" s="344"/>
      <c r="O344" s="344"/>
      <c r="P344" s="344"/>
      <c r="Q344" s="321" t="s">
        <v>275</v>
      </c>
      <c r="R344" s="321"/>
      <c r="S344" s="321"/>
      <c r="T344" s="316">
        <f>VLOOKUP(Table2[[#This Row],[Course Title]],'TSD-Data'!$A$1:$E$80,4,FALSE)</f>
        <v>25</v>
      </c>
      <c r="U344" s="316">
        <f>VLOOKUP(Table2[[#This Row],[Course Title]],'TSD-Data'!$A$1:$F$80,6,FALSE)</f>
        <v>40</v>
      </c>
      <c r="V344" s="323">
        <f>VLOOKUP(Table2[[#This Row],[Course Title]],'TSD-Data'!$A$1:$F$80,5,FALSE)</f>
        <v>5</v>
      </c>
      <c r="W344" s="323">
        <v>116</v>
      </c>
      <c r="X344" s="316"/>
      <c r="Y344" s="316"/>
      <c r="Z344" s="323"/>
      <c r="AA344" s="323"/>
      <c r="AB344" s="316"/>
      <c r="AC344" s="316"/>
      <c r="AD344" s="316"/>
      <c r="AE344" s="316"/>
      <c r="AF344" s="323">
        <f ca="1">Table2[[#This Row],[End Date]]+2-TODAY()</f>
        <v>124</v>
      </c>
      <c r="AG344" s="316">
        <f>IF(ISBLANK(Table2[[#This Row],[Roster Received by]]),1,0)</f>
        <v>1</v>
      </c>
      <c r="AH344" s="316">
        <f ca="1">IF(Table2[[#This Row],[Start Date]]&gt;TODAY(),1,)</f>
        <v>1</v>
      </c>
      <c r="AI344" s="316">
        <f>IF(ISBLANK(Table2[[#This Row],[Primary Instructor]]),0,1)</f>
        <v>1</v>
      </c>
      <c r="AJ344" s="316">
        <f>IF(ISBLANK(Table2[[#This Row],[Instructor 2]]),0,1)</f>
        <v>0</v>
      </c>
      <c r="AK344" s="316">
        <f>Table2[[#This Row],[Course Length (Hours)]]/(SUM(Table2[[#This Row],[1]:[2]]))</f>
        <v>40</v>
      </c>
      <c r="AL344" s="124"/>
      <c r="AM344" s="316">
        <v>3</v>
      </c>
      <c r="AN344" s="363" t="str">
        <f>VLOOKUP(Table2[[#This Row],[Course Title]],'TSD-Data'!$A$1:$G$80,7,FALSE)</f>
        <v>N5</v>
      </c>
    </row>
    <row r="345" spans="2:40" s="428" customFormat="1" x14ac:dyDescent="0.25">
      <c r="B345" s="315"/>
      <c r="C345" s="364" t="s">
        <v>48</v>
      </c>
      <c r="D345" s="316" t="str">
        <f>VLOOKUP(Table2[[#This Row],[Course Title]],'TSD-Data'!$A$1:$E$80,2,FALSE)</f>
        <v>A-493-0103</v>
      </c>
      <c r="E345" s="316" t="str">
        <f>VLOOKUP(Table2[[#This Row],[Course Title]],'TSD-Data'!$A$1:$E$80,3,FALSE)</f>
        <v>12JY</v>
      </c>
      <c r="F345" s="315" t="s">
        <v>263</v>
      </c>
      <c r="G345" s="344">
        <v>46125</v>
      </c>
      <c r="H345" s="344">
        <v>46129</v>
      </c>
      <c r="I345" s="317" t="s">
        <v>163</v>
      </c>
      <c r="J345" s="318">
        <v>0.33333333333333331</v>
      </c>
      <c r="K345" s="318"/>
      <c r="L345" s="344"/>
      <c r="M345" s="344"/>
      <c r="N345" s="344"/>
      <c r="O345" s="344"/>
      <c r="P345" s="344"/>
      <c r="Q345" s="321" t="s">
        <v>275</v>
      </c>
      <c r="R345" s="321"/>
      <c r="S345" s="321"/>
      <c r="T345" s="316">
        <f>VLOOKUP(Table2[[#This Row],[Course Title]],'TSD-Data'!$A$1:$E$80,4,FALSE)</f>
        <v>25</v>
      </c>
      <c r="U345" s="316">
        <f>VLOOKUP(Table2[[#This Row],[Course Title]],'TSD-Data'!$A$1:$F$80,6,FALSE)</f>
        <v>40</v>
      </c>
      <c r="V345" s="323">
        <f>VLOOKUP(Table2[[#This Row],[Course Title]],'TSD-Data'!$A$1:$F$80,5,FALSE)</f>
        <v>5</v>
      </c>
      <c r="W345" s="323">
        <v>84</v>
      </c>
      <c r="X345" s="316"/>
      <c r="Y345" s="316"/>
      <c r="Z345" s="323"/>
      <c r="AA345" s="323"/>
      <c r="AB345" s="316"/>
      <c r="AC345" s="316"/>
      <c r="AD345" s="316"/>
      <c r="AE345" s="316"/>
      <c r="AF345" s="323">
        <f ca="1">Table2[[#This Row],[End Date]]+2-TODAY()</f>
        <v>124</v>
      </c>
      <c r="AG345" s="316">
        <f>IF(ISBLANK(Table2[[#This Row],[Roster Received by]]),1,0)</f>
        <v>1</v>
      </c>
      <c r="AH345" s="316">
        <f ca="1">IF(Table2[[#This Row],[Start Date]]&gt;TODAY(),1,)</f>
        <v>1</v>
      </c>
      <c r="AI345" s="316">
        <f>IF(ISBLANK(Table2[[#This Row],[Primary Instructor]]),0,1)</f>
        <v>1</v>
      </c>
      <c r="AJ345" s="316">
        <f>IF(ISBLANK(Table2[[#This Row],[Instructor 2]]),0,1)</f>
        <v>0</v>
      </c>
      <c r="AK345" s="316">
        <f>Table2[[#This Row],[Course Length (Hours)]]/(SUM(Table2[[#This Row],[1]:[2]]))</f>
        <v>40</v>
      </c>
      <c r="AL345" s="124"/>
      <c r="AM345" s="316">
        <v>3</v>
      </c>
      <c r="AN345" s="363" t="str">
        <f>VLOOKUP(Table2[[#This Row],[Course Title]],'TSD-Data'!$A$1:$G$80,7,FALSE)</f>
        <v>N5</v>
      </c>
    </row>
    <row r="346" spans="2:40" s="428" customFormat="1" x14ac:dyDescent="0.25">
      <c r="B346" s="315" t="s">
        <v>471</v>
      </c>
      <c r="C346" s="439" t="s">
        <v>227</v>
      </c>
      <c r="D346" s="316" t="str">
        <f>VLOOKUP(Table2[[#This Row],[Course Title]],'TSD-Data'!$A$1:$E$80,2,FALSE)</f>
        <v>Function</v>
      </c>
      <c r="E346" s="316" t="str">
        <f>VLOOKUP(Table2[[#This Row],[Course Title]],'TSD-Data'!$A$1:$E$80,3,FALSE)</f>
        <v>Function</v>
      </c>
      <c r="F346" s="315" t="s">
        <v>173</v>
      </c>
      <c r="G346" s="344">
        <v>46125</v>
      </c>
      <c r="H346" s="344">
        <v>46125</v>
      </c>
      <c r="I346" s="317" t="s">
        <v>433</v>
      </c>
      <c r="J346" s="318"/>
      <c r="K346" s="345"/>
      <c r="L346" s="345"/>
      <c r="M346" s="345"/>
      <c r="N346" s="345"/>
      <c r="O346" s="345"/>
      <c r="P346" s="345"/>
      <c r="Q346" s="321" t="s">
        <v>434</v>
      </c>
      <c r="R346" s="321"/>
      <c r="S346" s="445"/>
      <c r="T346" s="316">
        <f>VLOOKUP(Table2[[#This Row],[Course Title]],'TSD-Data'!$A$1:$E$80,4,FALSE)</f>
        <v>0</v>
      </c>
      <c r="U346" s="316">
        <f>VLOOKUP(Table2[[#This Row],[Course Title]],'TSD-Data'!$A$1:$F$80,6,FALSE)</f>
        <v>0</v>
      </c>
      <c r="V346" s="323">
        <f>VLOOKUP(Table2[[#This Row],[Course Title]],'TSD-Data'!$A$1:$F$80,5,FALSE)</f>
        <v>0</v>
      </c>
      <c r="W346" s="323">
        <v>0</v>
      </c>
      <c r="X346" s="316">
        <f>Table2[[#This Row],[Quotas]]-Table2[[#This Row],[Open Quotas]]</f>
        <v>0</v>
      </c>
      <c r="Y346" s="316">
        <v>0</v>
      </c>
      <c r="Z346" s="316">
        <v>0</v>
      </c>
      <c r="AA346" s="316">
        <v>0</v>
      </c>
      <c r="AB346" s="316">
        <v>0</v>
      </c>
      <c r="AC346" s="316">
        <v>0</v>
      </c>
      <c r="AD346" s="316">
        <v>0</v>
      </c>
      <c r="AE346" s="316" t="s">
        <v>435</v>
      </c>
      <c r="AF346" s="323">
        <f ca="1">Table2[[#This Row],[End Date]]+2-TODAY()</f>
        <v>120</v>
      </c>
      <c r="AG346" s="316">
        <f>IF(ISBLANK(Table2[[#This Row],[Roster Received by]]),1,0)</f>
        <v>0</v>
      </c>
      <c r="AH346" s="316">
        <f ca="1">IF(Table2[[#This Row],[Start Date]]&gt;TODAY(),1,)</f>
        <v>1</v>
      </c>
      <c r="AI346" s="316">
        <f>IF(ISBLANK(Table2[[#This Row],[Primary Instructor]]),0,1)</f>
        <v>1</v>
      </c>
      <c r="AJ346" s="316">
        <f>IF(ISBLANK(Table2[[#This Row],[Instructor 2]]),0,1)</f>
        <v>0</v>
      </c>
      <c r="AK346" s="316">
        <f>Table2[[#This Row],[Course Length (Hours)]]/(SUM(Table2[[#This Row],[1]:[2]]))</f>
        <v>0</v>
      </c>
      <c r="AL346" s="124"/>
      <c r="AM346" s="316">
        <v>3</v>
      </c>
      <c r="AN346" s="363" t="str">
        <f>VLOOKUP(Table2[[#This Row],[Course Title]],'TSD-Data'!$A$1:$G$80,7,FALSE)</f>
        <v>TSD</v>
      </c>
    </row>
    <row r="347" spans="2:40" s="428" customFormat="1" x14ac:dyDescent="0.25">
      <c r="B347" s="315"/>
      <c r="C347" s="364" t="s">
        <v>55</v>
      </c>
      <c r="D347" s="316" t="str">
        <f>VLOOKUP(Table2[[#This Row],[Course Title]],'TSD-Data'!$A$1:$E$80,2,FALSE)</f>
        <v>A-493-0021</v>
      </c>
      <c r="E347" s="316" t="str">
        <f>VLOOKUP(Table2[[#This Row],[Course Title]],'TSD-Data'!$A$1:$E$80,3,FALSE)</f>
        <v>18BN</v>
      </c>
      <c r="F347" s="315" t="s">
        <v>229</v>
      </c>
      <c r="G347" s="344">
        <v>46125</v>
      </c>
      <c r="H347" s="344">
        <v>46129</v>
      </c>
      <c r="I347" s="317" t="s">
        <v>163</v>
      </c>
      <c r="J347" s="318">
        <v>0.33333333333333331</v>
      </c>
      <c r="K347" s="318"/>
      <c r="L347" s="326"/>
      <c r="M347" s="326"/>
      <c r="N347" s="326"/>
      <c r="O347" s="326"/>
      <c r="P347" s="326"/>
      <c r="Q347" s="321" t="s">
        <v>275</v>
      </c>
      <c r="R347" s="321"/>
      <c r="S347" s="321"/>
      <c r="T347" s="316">
        <f>VLOOKUP(Table2[[#This Row],[Course Title]],'TSD-Data'!$A$1:$E$80,4,FALSE)</f>
        <v>35</v>
      </c>
      <c r="U347" s="316">
        <f>VLOOKUP(Table2[[#This Row],[Course Title]],'TSD-Data'!$A$1:$F$80,6,FALSE)</f>
        <v>30</v>
      </c>
      <c r="V347" s="323">
        <f>VLOOKUP(Table2[[#This Row],[Course Title]],'TSD-Data'!$A$1:$F$80,5,FALSE)</f>
        <v>5</v>
      </c>
      <c r="W347" s="323">
        <v>33</v>
      </c>
      <c r="X347" s="316"/>
      <c r="Y347" s="316"/>
      <c r="Z347" s="323"/>
      <c r="AA347" s="323"/>
      <c r="AB347" s="316"/>
      <c r="AC347" s="316"/>
      <c r="AD347" s="316"/>
      <c r="AE347" s="316"/>
      <c r="AF347" s="323">
        <f ca="1">Table2[[#This Row],[End Date]]+2-TODAY()</f>
        <v>124</v>
      </c>
      <c r="AG347" s="316">
        <f>IF(ISBLANK(Table2[[#This Row],[Roster Received by]]),1,0)</f>
        <v>1</v>
      </c>
      <c r="AH347" s="316">
        <f ca="1">IF(Table2[[#This Row],[Start Date]]&gt;TODAY(),1,)</f>
        <v>1</v>
      </c>
      <c r="AI347" s="316">
        <f>IF(ISBLANK(Table2[[#This Row],[Primary Instructor]]),0,1)</f>
        <v>1</v>
      </c>
      <c r="AJ347" s="316">
        <f>IF(ISBLANK(Table2[[#This Row],[Instructor 2]]),0,1)</f>
        <v>0</v>
      </c>
      <c r="AK347" s="316">
        <f>Table2[[#This Row],[Course Length (Hours)]]/(SUM(Table2[[#This Row],[1]:[2]]))</f>
        <v>30</v>
      </c>
      <c r="AL347" s="124"/>
      <c r="AM347" s="316">
        <v>3</v>
      </c>
      <c r="AN347" s="363" t="str">
        <f>VLOOKUP(Table2[[#This Row],[Course Title]],'TSD-Data'!$A$1:$G$80,7,FALSE)</f>
        <v>N5</v>
      </c>
    </row>
    <row r="348" spans="2:40" s="428" customFormat="1" x14ac:dyDescent="0.25">
      <c r="B348" s="438" t="s">
        <v>472</v>
      </c>
      <c r="C348" s="343" t="s">
        <v>61</v>
      </c>
      <c r="D348" s="316" t="str">
        <f>VLOOKUP(Table2[[#This Row],[Course Title]],'TSD-Data'!$A$1:$E$80,2,FALSE)</f>
        <v>A-493-0012</v>
      </c>
      <c r="E348" s="316">
        <f>VLOOKUP(Table2[[#This Row],[Course Title]],'TSD-Data'!$A$1:$E$80,3,FALSE)</f>
        <v>3682</v>
      </c>
      <c r="F348" s="342" t="s">
        <v>311</v>
      </c>
      <c r="G348" s="344">
        <v>46125</v>
      </c>
      <c r="H348" s="344">
        <v>46129</v>
      </c>
      <c r="I348" s="317" t="s">
        <v>163</v>
      </c>
      <c r="J348" s="318">
        <v>0.33333333333333331</v>
      </c>
      <c r="K348" s="345"/>
      <c r="L348" s="344"/>
      <c r="M348" s="344"/>
      <c r="N348" s="344"/>
      <c r="O348" s="344"/>
      <c r="P348" s="344"/>
      <c r="Q348" s="321" t="s">
        <v>453</v>
      </c>
      <c r="R348" s="321"/>
      <c r="S348" s="321"/>
      <c r="T348" s="316">
        <f>VLOOKUP(Table2[[#This Row],[Course Title]],'TSD-Data'!$A$1:$E$80,4,FALSE)</f>
        <v>40</v>
      </c>
      <c r="U348" s="316">
        <f>VLOOKUP(Table2[[#This Row],[Course Title]],'TSD-Data'!$A$1:$F$80,6,FALSE)</f>
        <v>40</v>
      </c>
      <c r="V348" s="323">
        <f>VLOOKUP(Table2[[#This Row],[Course Title]],'TSD-Data'!$A$1:$F$80,5,FALSE)</f>
        <v>5</v>
      </c>
      <c r="W348" s="316">
        <v>40</v>
      </c>
      <c r="X348" s="316"/>
      <c r="Y348" s="316"/>
      <c r="Z348" s="323"/>
      <c r="AA348" s="323"/>
      <c r="AB348" s="316"/>
      <c r="AC348" s="316"/>
      <c r="AD348" s="316"/>
      <c r="AE348" s="316"/>
      <c r="AF348" s="323">
        <f ca="1">Table2[[#This Row],[End Date]]+2-TODAY()</f>
        <v>124</v>
      </c>
      <c r="AG348" s="316">
        <f>IF(ISBLANK(Table2[[#This Row],[Roster Received by]]),1,0)</f>
        <v>1</v>
      </c>
      <c r="AH348" s="316">
        <f ca="1">IF(Table2[[#This Row],[Start Date]]&gt;TODAY(),1,)</f>
        <v>1</v>
      </c>
      <c r="AI348" s="316">
        <f>IF(ISBLANK(Table2[[#This Row],[Primary Instructor]]),0,1)</f>
        <v>1</v>
      </c>
      <c r="AJ348" s="316">
        <f>IF(ISBLANK(Table2[[#This Row],[Instructor 2]]),0,1)</f>
        <v>0</v>
      </c>
      <c r="AK348" s="316">
        <f>Table2[[#This Row],[Course Length (Hours)]]/(SUM(Table2[[#This Row],[1]:[2]]))</f>
        <v>40</v>
      </c>
      <c r="AL348" s="124"/>
      <c r="AM348" s="316">
        <v>3</v>
      </c>
      <c r="AN348" s="363" t="str">
        <f>VLOOKUP(Table2[[#This Row],[Course Title]],'TSD-Data'!$A$1:$G$80,7,FALSE)</f>
        <v>N4</v>
      </c>
    </row>
    <row r="349" spans="2:40" s="428" customFormat="1" x14ac:dyDescent="0.25">
      <c r="B349" s="438" t="s">
        <v>473</v>
      </c>
      <c r="C349" s="343" t="s">
        <v>61</v>
      </c>
      <c r="D349" s="316" t="str">
        <f>VLOOKUP(Table2[[#This Row],[Course Title]],'TSD-Data'!$A$1:$E$80,2,FALSE)</f>
        <v>A-493-0012</v>
      </c>
      <c r="E349" s="316">
        <f>VLOOKUP(Table2[[#This Row],[Course Title]],'TSD-Data'!$A$1:$E$80,3,FALSE)</f>
        <v>3682</v>
      </c>
      <c r="F349" s="342" t="s">
        <v>339</v>
      </c>
      <c r="G349" s="344">
        <v>46125</v>
      </c>
      <c r="H349" s="344">
        <v>46129</v>
      </c>
      <c r="I349" s="317" t="s">
        <v>163</v>
      </c>
      <c r="J349" s="318">
        <v>0.33333333333333331</v>
      </c>
      <c r="K349" s="345"/>
      <c r="L349" s="344"/>
      <c r="M349" s="344"/>
      <c r="N349" s="344"/>
      <c r="O349" s="344"/>
      <c r="P349" s="344"/>
      <c r="Q349" s="321" t="s">
        <v>438</v>
      </c>
      <c r="R349" s="321"/>
      <c r="S349" s="321"/>
      <c r="T349" s="316">
        <f>VLOOKUP(Table2[[#This Row],[Course Title]],'TSD-Data'!$A$1:$E$80,4,FALSE)</f>
        <v>40</v>
      </c>
      <c r="U349" s="316">
        <f>VLOOKUP(Table2[[#This Row],[Course Title]],'TSD-Data'!$A$1:$F$80,6,FALSE)</f>
        <v>40</v>
      </c>
      <c r="V349" s="323">
        <f>VLOOKUP(Table2[[#This Row],[Course Title]],'TSD-Data'!$A$1:$F$80,5,FALSE)</f>
        <v>5</v>
      </c>
      <c r="W349" s="316">
        <v>80</v>
      </c>
      <c r="X349" s="316"/>
      <c r="Y349" s="316"/>
      <c r="Z349" s="323"/>
      <c r="AA349" s="323"/>
      <c r="AB349" s="316"/>
      <c r="AC349" s="316"/>
      <c r="AD349" s="316"/>
      <c r="AE349" s="316"/>
      <c r="AF349" s="323">
        <f ca="1">Table2[[#This Row],[End Date]]+2-TODAY()</f>
        <v>124</v>
      </c>
      <c r="AG349" s="316">
        <f>IF(ISBLANK(Table2[[#This Row],[Roster Received by]]),1,0)</f>
        <v>1</v>
      </c>
      <c r="AH349" s="316">
        <f ca="1">IF(Table2[[#This Row],[Start Date]]&gt;TODAY(),1,)</f>
        <v>1</v>
      </c>
      <c r="AI349" s="316">
        <f>IF(ISBLANK(Table2[[#This Row],[Primary Instructor]]),0,1)</f>
        <v>1</v>
      </c>
      <c r="AJ349" s="316">
        <f>IF(ISBLANK(Table2[[#This Row],[Instructor 2]]),0,1)</f>
        <v>0</v>
      </c>
      <c r="AK349" s="316">
        <f>Table2[[#This Row],[Course Length (Hours)]]/(SUM(Table2[[#This Row],[1]:[2]]))</f>
        <v>40</v>
      </c>
      <c r="AL349" s="124"/>
      <c r="AM349" s="316">
        <v>3</v>
      </c>
      <c r="AN349" s="363" t="str">
        <f>VLOOKUP(Table2[[#This Row],[Course Title]],'TSD-Data'!$A$1:$G$80,7,FALSE)</f>
        <v>N4</v>
      </c>
    </row>
    <row r="350" spans="2:40" s="428" customFormat="1" x14ac:dyDescent="0.25">
      <c r="B350" s="438" t="s">
        <v>474</v>
      </c>
      <c r="C350" s="343" t="s">
        <v>61</v>
      </c>
      <c r="D350" s="316" t="str">
        <f>VLOOKUP(Table2[[#This Row],[Course Title]],'TSD-Data'!$A$1:$E$80,2,FALSE)</f>
        <v>A-493-0012</v>
      </c>
      <c r="E350" s="316">
        <f>VLOOKUP(Table2[[#This Row],[Course Title]],'TSD-Data'!$A$1:$E$80,3,FALSE)</f>
        <v>3682</v>
      </c>
      <c r="F350" s="342" t="s">
        <v>340</v>
      </c>
      <c r="G350" s="344">
        <v>46125</v>
      </c>
      <c r="H350" s="344">
        <v>46129</v>
      </c>
      <c r="I350" s="317" t="s">
        <v>163</v>
      </c>
      <c r="J350" s="318">
        <v>0.33333333333333331</v>
      </c>
      <c r="K350" s="345"/>
      <c r="L350" s="344"/>
      <c r="M350" s="344"/>
      <c r="N350" s="344"/>
      <c r="O350" s="344"/>
      <c r="P350" s="344"/>
      <c r="Q350" s="321" t="s">
        <v>447</v>
      </c>
      <c r="R350" s="321"/>
      <c r="S350" s="321"/>
      <c r="T350" s="316">
        <f>VLOOKUP(Table2[[#This Row],[Course Title]],'TSD-Data'!$A$1:$E$80,4,FALSE)</f>
        <v>40</v>
      </c>
      <c r="U350" s="316">
        <f>VLOOKUP(Table2[[#This Row],[Course Title]],'TSD-Data'!$A$1:$F$80,6,FALSE)</f>
        <v>40</v>
      </c>
      <c r="V350" s="323">
        <f>VLOOKUP(Table2[[#This Row],[Course Title]],'TSD-Data'!$A$1:$F$80,5,FALSE)</f>
        <v>5</v>
      </c>
      <c r="W350" s="316">
        <v>70</v>
      </c>
      <c r="X350" s="316"/>
      <c r="Y350" s="316"/>
      <c r="Z350" s="323"/>
      <c r="AA350" s="323"/>
      <c r="AB350" s="316"/>
      <c r="AC350" s="316"/>
      <c r="AD350" s="316"/>
      <c r="AE350" s="316"/>
      <c r="AF350" s="323">
        <f ca="1">Table2[[#This Row],[End Date]]+2-TODAY()</f>
        <v>124</v>
      </c>
      <c r="AG350" s="316">
        <f>IF(ISBLANK(Table2[[#This Row],[Roster Received by]]),1,0)</f>
        <v>1</v>
      </c>
      <c r="AH350" s="316">
        <f ca="1">IF(Table2[[#This Row],[Start Date]]&gt;TODAY(),1,)</f>
        <v>1</v>
      </c>
      <c r="AI350" s="316">
        <f>IF(ISBLANK(Table2[[#This Row],[Primary Instructor]]),0,1)</f>
        <v>1</v>
      </c>
      <c r="AJ350" s="316">
        <f>IF(ISBLANK(Table2[[#This Row],[Instructor 2]]),0,1)</f>
        <v>0</v>
      </c>
      <c r="AK350" s="316">
        <f>Table2[[#This Row],[Course Length (Hours)]]/(SUM(Table2[[#This Row],[1]:[2]]))</f>
        <v>40</v>
      </c>
      <c r="AL350" s="124"/>
      <c r="AM350" s="316">
        <v>3</v>
      </c>
      <c r="AN350" s="363" t="str">
        <f>VLOOKUP(Table2[[#This Row],[Course Title]],'TSD-Data'!$A$1:$G$80,7,FALSE)</f>
        <v>N4</v>
      </c>
    </row>
    <row r="351" spans="2:40" s="428" customFormat="1" x14ac:dyDescent="0.25">
      <c r="B351" s="315"/>
      <c r="C351" s="364" t="s">
        <v>77</v>
      </c>
      <c r="D351" s="316" t="str">
        <f>VLOOKUP(Table2[[#This Row],[Course Title]],'TSD-Data'!$A$1:$E$80,2,FALSE)</f>
        <v>A-493-0077</v>
      </c>
      <c r="E351" s="316" t="str">
        <f>VLOOKUP(Table2[[#This Row],[Course Title]],'TSD-Data'!$A$1:$E$80,3,FALSE)</f>
        <v>0381</v>
      </c>
      <c r="F351" s="364" t="s">
        <v>211</v>
      </c>
      <c r="G351" s="344">
        <v>46125</v>
      </c>
      <c r="H351" s="344">
        <v>46127</v>
      </c>
      <c r="I351" s="341" t="s">
        <v>167</v>
      </c>
      <c r="J351" s="318">
        <v>0.33333333333333331</v>
      </c>
      <c r="K351" s="318"/>
      <c r="L351" s="344"/>
      <c r="M351" s="344"/>
      <c r="N351" s="344"/>
      <c r="O351" s="344"/>
      <c r="P351" s="344"/>
      <c r="Q351" s="321" t="s">
        <v>168</v>
      </c>
      <c r="R351" s="321"/>
      <c r="S351" s="321"/>
      <c r="T351" s="316">
        <f>VLOOKUP(Table2[[#This Row],[Course Title]],'TSD-Data'!$A$1:$E$80,4,FALSE)</f>
        <v>25</v>
      </c>
      <c r="U351" s="316">
        <f>VLOOKUP(Table2[[#This Row],[Course Title]],'TSD-Data'!$A$1:$F$80,6,FALSE)</f>
        <v>24</v>
      </c>
      <c r="V351" s="323">
        <f>VLOOKUP(Table2[[#This Row],[Course Title]],'TSD-Data'!$A$1:$F$80,5,FALSE)</f>
        <v>3</v>
      </c>
      <c r="W351" s="323">
        <v>32</v>
      </c>
      <c r="X351" s="316"/>
      <c r="Y351" s="316"/>
      <c r="Z351" s="323"/>
      <c r="AA351" s="323"/>
      <c r="AB351" s="363"/>
      <c r="AC351" s="363"/>
      <c r="AD351" s="316"/>
      <c r="AE351" s="316"/>
      <c r="AF351" s="323">
        <f ca="1">Table2[[#This Row],[End Date]]+2-TODAY()</f>
        <v>122</v>
      </c>
      <c r="AG351" s="316">
        <f>IF(ISBLANK(Table2[[#This Row],[Roster Received by]]),1,0)</f>
        <v>1</v>
      </c>
      <c r="AH351" s="316">
        <f ca="1">IF(Table2[[#This Row],[Start Date]]&gt;TODAY(),1,)</f>
        <v>1</v>
      </c>
      <c r="AI351" s="316">
        <f>IF(ISBLANK(Table2[[#This Row],[Primary Instructor]]),0,1)</f>
        <v>1</v>
      </c>
      <c r="AJ351" s="316">
        <f>IF(ISBLANK(Table2[[#This Row],[Instructor 2]]),0,1)</f>
        <v>0</v>
      </c>
      <c r="AK351" s="316">
        <f>Table2[[#This Row],[Course Length (Hours)]]/(SUM(Table2[[#This Row],[1]:[2]]))</f>
        <v>24</v>
      </c>
      <c r="AL351" s="638"/>
      <c r="AM351" s="316">
        <v>3</v>
      </c>
      <c r="AN351" s="363" t="str">
        <f>VLOOKUP(Table2[[#This Row],[Course Title]],'TSD-Data'!$A$1:$G$80,7,FALSE)</f>
        <v>N4</v>
      </c>
    </row>
    <row r="352" spans="2:40" s="428" customFormat="1" x14ac:dyDescent="0.25">
      <c r="B352" s="315"/>
      <c r="C352" s="364" t="s">
        <v>77</v>
      </c>
      <c r="D352" s="316" t="str">
        <f>VLOOKUP(Table2[[#This Row],[Course Title]],'TSD-Data'!$A$1:$E$80,2,FALSE)</f>
        <v>A-493-0077</v>
      </c>
      <c r="E352" s="316" t="str">
        <f>VLOOKUP(Table2[[#This Row],[Course Title]],'TSD-Data'!$A$1:$E$80,3,FALSE)</f>
        <v>0381</v>
      </c>
      <c r="F352" s="315" t="s">
        <v>337</v>
      </c>
      <c r="G352" s="344">
        <v>46125</v>
      </c>
      <c r="H352" s="344">
        <v>46127</v>
      </c>
      <c r="I352" s="341" t="s">
        <v>163</v>
      </c>
      <c r="J352" s="318">
        <v>0.33333333333333331</v>
      </c>
      <c r="K352" s="318"/>
      <c r="L352" s="317"/>
      <c r="M352" s="317"/>
      <c r="N352" s="317"/>
      <c r="O352" s="317"/>
      <c r="P352" s="317"/>
      <c r="Q352" s="321" t="s">
        <v>168</v>
      </c>
      <c r="R352" s="321"/>
      <c r="S352" s="321"/>
      <c r="T352" s="316">
        <f>VLOOKUP(Table2[[#This Row],[Course Title]],'TSD-Data'!$A$1:$E$80,4,FALSE)</f>
        <v>25</v>
      </c>
      <c r="U352" s="316">
        <f>VLOOKUP(Table2[[#This Row],[Course Title]],'TSD-Data'!$A$1:$F$80,6,FALSE)</f>
        <v>24</v>
      </c>
      <c r="V352" s="323">
        <f>VLOOKUP(Table2[[#This Row],[Course Title]],'TSD-Data'!$A$1:$F$80,5,FALSE)</f>
        <v>3</v>
      </c>
      <c r="W352" s="323">
        <v>32</v>
      </c>
      <c r="X352" s="316"/>
      <c r="Y352" s="316"/>
      <c r="Z352" s="323"/>
      <c r="AA352" s="323"/>
      <c r="AB352" s="363"/>
      <c r="AC352" s="363"/>
      <c r="AD352" s="316"/>
      <c r="AE352" s="316"/>
      <c r="AF352" s="323">
        <f ca="1">Table2[[#This Row],[End Date]]+2-TODAY()</f>
        <v>122</v>
      </c>
      <c r="AG352" s="316">
        <f>IF(ISBLANK(Table2[[#This Row],[Roster Received by]]),1,0)</f>
        <v>1</v>
      </c>
      <c r="AH352" s="316">
        <f ca="1">IF(Table2[[#This Row],[Start Date]]&gt;TODAY(),1,)</f>
        <v>1</v>
      </c>
      <c r="AI352" s="316">
        <f>IF(ISBLANK(Table2[[#This Row],[Primary Instructor]]),0,1)</f>
        <v>1</v>
      </c>
      <c r="AJ352" s="316">
        <f>IF(ISBLANK(Table2[[#This Row],[Instructor 2]]),0,1)</f>
        <v>0</v>
      </c>
      <c r="AK352" s="316">
        <f>Table2[[#This Row],[Course Length (Hours)]]/(SUM(Table2[[#This Row],[1]:[2]]))</f>
        <v>24</v>
      </c>
      <c r="AL352" s="638"/>
      <c r="AM352" s="316">
        <v>3</v>
      </c>
      <c r="AN352" s="363" t="str">
        <f>VLOOKUP(Table2[[#This Row],[Course Title]],'TSD-Data'!$A$1:$G$80,7,FALSE)</f>
        <v>N4</v>
      </c>
    </row>
    <row r="353" spans="2:40" s="428" customFormat="1" x14ac:dyDescent="0.25">
      <c r="B353" s="315" t="s">
        <v>249</v>
      </c>
      <c r="C353" s="364" t="s">
        <v>250</v>
      </c>
      <c r="D353" s="316" t="str">
        <f>VLOOKUP(Table2[[#This Row],[Course Title]],'TSD-Data'!$A$1:$E$80,2,FALSE)</f>
        <v>PDS</v>
      </c>
      <c r="E353" s="316" t="str">
        <f>VLOOKUP(Table2[[#This Row],[Course Title]],'TSD-Data'!$A$1:$E$80,3,FALSE)</f>
        <v>PDS</v>
      </c>
      <c r="F353" s="315"/>
      <c r="G353" s="344">
        <v>46125</v>
      </c>
      <c r="H353" s="344">
        <v>46129</v>
      </c>
      <c r="I353" s="317" t="s">
        <v>163</v>
      </c>
      <c r="J353" s="318"/>
      <c r="K353" s="345"/>
      <c r="L353" s="317"/>
      <c r="M353" s="317"/>
      <c r="N353" s="317"/>
      <c r="O353" s="317"/>
      <c r="P353" s="317"/>
      <c r="Q353" s="321" t="s">
        <v>434</v>
      </c>
      <c r="R353" s="321"/>
      <c r="S353" s="321"/>
      <c r="T353" s="316">
        <f>VLOOKUP(Table2[[#This Row],[Course Title]],'TSD-Data'!$A$1:$E$80,4,FALSE)</f>
        <v>0</v>
      </c>
      <c r="U353" s="316">
        <f>VLOOKUP(Table2[[#This Row],[Course Title]],'TSD-Data'!$A$1:$F$80,6,FALSE)</f>
        <v>0</v>
      </c>
      <c r="V353" s="323">
        <f>VLOOKUP(Table2[[#This Row],[Course Title]],'TSD-Data'!$A$1:$F$80,5,FALSE)</f>
        <v>0</v>
      </c>
      <c r="W353" s="323">
        <v>0</v>
      </c>
      <c r="X353" s="316">
        <v>0</v>
      </c>
      <c r="Y353" s="316">
        <v>0</v>
      </c>
      <c r="Z353" s="316">
        <v>0</v>
      </c>
      <c r="AA353" s="316">
        <v>0</v>
      </c>
      <c r="AB353" s="316">
        <v>0</v>
      </c>
      <c r="AC353" s="316">
        <v>0</v>
      </c>
      <c r="AD353" s="316">
        <v>0</v>
      </c>
      <c r="AE353" s="316" t="s">
        <v>435</v>
      </c>
      <c r="AF353" s="323">
        <f ca="1">Table2[[#This Row],[End Date]]+2-TODAY()</f>
        <v>124</v>
      </c>
      <c r="AG353" s="316">
        <f>IF(ISBLANK(Table2[[#This Row],[Roster Received by]]),1,0)</f>
        <v>0</v>
      </c>
      <c r="AH353" s="316">
        <f ca="1">IF(Table2[[#This Row],[Start Date]]&gt;TODAY(),1,)</f>
        <v>1</v>
      </c>
      <c r="AI353" s="316">
        <f>IF(ISBLANK(Table2[[#This Row],[Primary Instructor]]),0,1)</f>
        <v>1</v>
      </c>
      <c r="AJ353" s="316">
        <f>IF(ISBLANK(Table2[[#This Row],[Instructor 2]]),0,1)</f>
        <v>0</v>
      </c>
      <c r="AK353" s="316">
        <f>Table2[[#This Row],[Course Length (Hours)]]/(SUM(Table2[[#This Row],[1]:[2]]))</f>
        <v>0</v>
      </c>
      <c r="AL353" s="124"/>
      <c r="AM353" s="316">
        <v>3</v>
      </c>
      <c r="AN353" s="363" t="str">
        <f>VLOOKUP(Table2[[#This Row],[Course Title]],'TSD-Data'!$A$1:$G$80,7,FALSE)</f>
        <v>TSD</v>
      </c>
    </row>
    <row r="354" spans="2:40" s="428" customFormat="1" x14ac:dyDescent="0.25">
      <c r="B354" s="315" t="s">
        <v>475</v>
      </c>
      <c r="C354" s="315" t="s">
        <v>94</v>
      </c>
      <c r="D354" s="363" t="str">
        <f>VLOOKUP(Table2[[#This Row],[Course Title]],'TSD-Data'!$A$1:$E$80,2,FALSE)</f>
        <v>A-493-0331</v>
      </c>
      <c r="E354" s="363" t="str">
        <f>VLOOKUP(Table2[[#This Row],[Course Title]],'TSD-Data'!$A$1:$E$80,3,FALSE)</f>
        <v>10UG</v>
      </c>
      <c r="F354" s="315" t="s">
        <v>25</v>
      </c>
      <c r="G354" s="317">
        <v>46126</v>
      </c>
      <c r="H354" s="317">
        <v>46128</v>
      </c>
      <c r="I354" s="317" t="s">
        <v>163</v>
      </c>
      <c r="J354" s="318"/>
      <c r="K354" s="318">
        <v>0.5</v>
      </c>
      <c r="L354" s="431">
        <v>0.375</v>
      </c>
      <c r="M354" s="431">
        <v>0.79166666666666663</v>
      </c>
      <c r="N354" s="431">
        <v>0.75</v>
      </c>
      <c r="O354" s="431">
        <v>0.25</v>
      </c>
      <c r="P354" s="431">
        <v>4.1666666666666664E-2</v>
      </c>
      <c r="Q354" s="321" t="s">
        <v>285</v>
      </c>
      <c r="R354" s="321"/>
      <c r="S354" s="321"/>
      <c r="T354" s="316">
        <f>VLOOKUP(Table2[[#This Row],[Course Title]],'TSD-Data'!$A$1:$E$80,4,FALSE)</f>
        <v>45</v>
      </c>
      <c r="U354" s="363">
        <f>VLOOKUP(Table2[[#This Row],[Course Title]],'TSD-Data'!$A$1:$F$80,6,FALSE)</f>
        <v>24</v>
      </c>
      <c r="V354" s="323">
        <f>VLOOKUP(Table2[[#This Row],[Course Title]],'TSD-Data'!$A$1:$F$80,5,FALSE)</f>
        <v>3</v>
      </c>
      <c r="W354" s="323"/>
      <c r="X354" s="316"/>
      <c r="Y354" s="316"/>
      <c r="Z354" s="323"/>
      <c r="AA354" s="323"/>
      <c r="AB354" s="363"/>
      <c r="AC354" s="363"/>
      <c r="AD354" s="316"/>
      <c r="AE354" s="316"/>
      <c r="AF354" s="323">
        <f ca="1">Table2[[#This Row],[End Date]]+2-TODAY()</f>
        <v>123</v>
      </c>
      <c r="AG354" s="316">
        <f>IF(ISBLANK(Table2[[#This Row],[Roster Received by]]),1,0)</f>
        <v>1</v>
      </c>
      <c r="AH354" s="316">
        <f ca="1">IF(Table2[[#This Row],[Start Date]]&gt;TODAY(),1,)</f>
        <v>1</v>
      </c>
      <c r="AI354" s="316">
        <f>IF(ISBLANK(Table2[[#This Row],[Primary Instructor]]),0,1)</f>
        <v>1</v>
      </c>
      <c r="AJ354" s="316">
        <f>IF(ISBLANK(Table2[[#This Row],[Instructor 2]]),0,1)</f>
        <v>0</v>
      </c>
      <c r="AK354" s="316">
        <f>Table2[[#This Row],[Course Length (Hours)]]/(SUM(Table2[[#This Row],[1]:[2]]))</f>
        <v>24</v>
      </c>
      <c r="AL354" s="638"/>
      <c r="AM354" s="316">
        <v>3</v>
      </c>
      <c r="AN354" s="363" t="str">
        <f>VLOOKUP(Table2[[#This Row],[Course Title]],'TSD-Data'!$A$1:$G$80,7,FALSE)</f>
        <v>N3</v>
      </c>
    </row>
    <row r="355" spans="2:40" s="428" customFormat="1" x14ac:dyDescent="0.25">
      <c r="B355" s="315"/>
      <c r="C355" s="315" t="s">
        <v>110</v>
      </c>
      <c r="D355" s="316" t="str">
        <f>VLOOKUP(Table2[[#This Row],[Course Title]],'TSD-Data'!$A$1:$E$80,2,FALSE)</f>
        <v>A-493-2501</v>
      </c>
      <c r="E355" s="316" t="str">
        <f>VLOOKUP(Table2[[#This Row],[Course Title]],'TSD-Data'!$A$1:$E$80,3,FALSE)</f>
        <v>05ZE</v>
      </c>
      <c r="F355" s="315" t="s">
        <v>476</v>
      </c>
      <c r="G355" s="344">
        <v>46126</v>
      </c>
      <c r="H355" s="344">
        <v>46126</v>
      </c>
      <c r="I355" s="341" t="s">
        <v>163</v>
      </c>
      <c r="J355" s="318">
        <v>0.33333333333333331</v>
      </c>
      <c r="K355" s="318"/>
      <c r="L355" s="344"/>
      <c r="M355" s="317"/>
      <c r="N355" s="317"/>
      <c r="O355" s="317"/>
      <c r="P355" s="317"/>
      <c r="Q355" s="321" t="s">
        <v>168</v>
      </c>
      <c r="R355" s="321"/>
      <c r="S355" s="321"/>
      <c r="T355" s="316">
        <f>VLOOKUP(Table2[[#This Row],[Course Title]],'TSD-Data'!$A$1:$E$80,4,FALSE)</f>
        <v>30</v>
      </c>
      <c r="U355" s="316">
        <f>VLOOKUP(Table2[[#This Row],[Course Title]],'TSD-Data'!$A$1:$F$80,6,FALSE)</f>
        <v>8</v>
      </c>
      <c r="V355" s="323">
        <f>VLOOKUP(Table2[[#This Row],[Course Title]],'TSD-Data'!$A$1:$F$80,5,FALSE)</f>
        <v>1</v>
      </c>
      <c r="W355" s="323">
        <v>16</v>
      </c>
      <c r="X355" s="316"/>
      <c r="Y355" s="316"/>
      <c r="Z355" s="323"/>
      <c r="AA355" s="323"/>
      <c r="AB355" s="363"/>
      <c r="AC355" s="363"/>
      <c r="AD355" s="316"/>
      <c r="AE355" s="316"/>
      <c r="AF355" s="323">
        <f ca="1">Table2[[#This Row],[End Date]]+2-TODAY()</f>
        <v>121</v>
      </c>
      <c r="AG355" s="316">
        <f>IF(ISBLANK(Table2[[#This Row],[Roster Received by]]),1,0)</f>
        <v>1</v>
      </c>
      <c r="AH355" s="316">
        <f ca="1">IF(Table2[[#This Row],[Start Date]]&gt;TODAY(),1,)</f>
        <v>1</v>
      </c>
      <c r="AI355" s="316">
        <f>IF(ISBLANK(Table2[[#This Row],[Primary Instructor]]),0,1)</f>
        <v>1</v>
      </c>
      <c r="AJ355" s="316">
        <f>IF(ISBLANK(Table2[[#This Row],[Instructor 2]]),0,1)</f>
        <v>0</v>
      </c>
      <c r="AK355" s="316">
        <f>Table2[[#This Row],[Course Length (Hours)]]/(SUM(Table2[[#This Row],[1]:[2]]))</f>
        <v>8</v>
      </c>
      <c r="AL355" s="638"/>
      <c r="AM355" s="316">
        <v>3</v>
      </c>
      <c r="AN355" s="363" t="str">
        <f>VLOOKUP(Table2[[#This Row],[Course Title]],'TSD-Data'!$A$1:$G$80,7,FALSE)</f>
        <v>N4</v>
      </c>
    </row>
    <row r="356" spans="2:40" s="459" customFormat="1" x14ac:dyDescent="0.25">
      <c r="B356" s="315"/>
      <c r="C356" s="364" t="s">
        <v>80</v>
      </c>
      <c r="D356" s="316" t="str">
        <f>VLOOKUP(Table2[[#This Row],[Course Title]],'TSD-Data'!$A$1:$E$80,2,FALSE)</f>
        <v>A-493-0083</v>
      </c>
      <c r="E356" s="316" t="str">
        <f>VLOOKUP(Table2[[#This Row],[Course Title]],'TSD-Data'!$A$1:$E$80,3,FALSE)</f>
        <v>339E</v>
      </c>
      <c r="F356" s="315" t="s">
        <v>211</v>
      </c>
      <c r="G356" s="344">
        <v>46128</v>
      </c>
      <c r="H356" s="344">
        <v>46128</v>
      </c>
      <c r="I356" s="341" t="s">
        <v>167</v>
      </c>
      <c r="J356" s="318">
        <v>0.33333333333333331</v>
      </c>
      <c r="K356" s="345"/>
      <c r="L356" s="344"/>
      <c r="M356" s="344"/>
      <c r="N356" s="344"/>
      <c r="O356" s="344"/>
      <c r="P356" s="344"/>
      <c r="Q356" s="321" t="s">
        <v>168</v>
      </c>
      <c r="R356" s="321"/>
      <c r="S356" s="321"/>
      <c r="T356" s="316">
        <f>VLOOKUP(Table2[[#This Row],[Course Title]],'TSD-Data'!$A$1:$E$80,4,FALSE)</f>
        <v>30</v>
      </c>
      <c r="U356" s="316">
        <f>VLOOKUP(Table2[[#This Row],[Course Title]],'TSD-Data'!$A$1:$F$80,6,FALSE)</f>
        <v>8</v>
      </c>
      <c r="V356" s="323">
        <f>VLOOKUP(Table2[[#This Row],[Course Title]],'TSD-Data'!$A$1:$F$80,5,FALSE)</f>
        <v>1</v>
      </c>
      <c r="W356" s="323">
        <v>22</v>
      </c>
      <c r="X356" s="316"/>
      <c r="Y356" s="316"/>
      <c r="Z356" s="323"/>
      <c r="AA356" s="323"/>
      <c r="AB356" s="363"/>
      <c r="AC356" s="363"/>
      <c r="AD356" s="316"/>
      <c r="AE356" s="316"/>
      <c r="AF356" s="323">
        <f ca="1">Table2[[#This Row],[End Date]]+2-TODAY()</f>
        <v>123</v>
      </c>
      <c r="AG356" s="316">
        <f>IF(ISBLANK(Table2[[#This Row],[Roster Received by]]),1,0)</f>
        <v>1</v>
      </c>
      <c r="AH356" s="316">
        <f ca="1">IF(Table2[[#This Row],[Start Date]]&gt;TODAY(),1,)</f>
        <v>1</v>
      </c>
      <c r="AI356" s="316">
        <f>IF(ISBLANK(Table2[[#This Row],[Primary Instructor]]),0,1)</f>
        <v>1</v>
      </c>
      <c r="AJ356" s="316">
        <f>IF(ISBLANK(Table2[[#This Row],[Instructor 2]]),0,1)</f>
        <v>0</v>
      </c>
      <c r="AK356" s="316">
        <f>Table2[[#This Row],[Course Length (Hours)]]/(SUM(Table2[[#This Row],[1]:[2]]))</f>
        <v>8</v>
      </c>
      <c r="AL356" s="638"/>
      <c r="AM356" s="316">
        <v>3</v>
      </c>
      <c r="AN356" s="363" t="str">
        <f>VLOOKUP(Table2[[#This Row],[Course Title]],'TSD-Data'!$A$1:$G$80,7,FALSE)</f>
        <v>N4</v>
      </c>
    </row>
    <row r="357" spans="2:40" s="428" customFormat="1" x14ac:dyDescent="0.25">
      <c r="B357" s="315"/>
      <c r="C357" s="364" t="s">
        <v>80</v>
      </c>
      <c r="D357" s="316" t="str">
        <f>VLOOKUP(Table2[[#This Row],[Course Title]],'TSD-Data'!$A$1:$E$80,2,FALSE)</f>
        <v>A-493-0083</v>
      </c>
      <c r="E357" s="316" t="str">
        <f>VLOOKUP(Table2[[#This Row],[Course Title]],'TSD-Data'!$A$1:$E$80,3,FALSE)</f>
        <v>339E</v>
      </c>
      <c r="F357" s="315" t="s">
        <v>337</v>
      </c>
      <c r="G357" s="344">
        <v>46128</v>
      </c>
      <c r="H357" s="344">
        <v>46128</v>
      </c>
      <c r="I357" s="341" t="s">
        <v>163</v>
      </c>
      <c r="J357" s="318">
        <v>0.33333333333333331</v>
      </c>
      <c r="K357" s="345"/>
      <c r="L357" s="344"/>
      <c r="M357" s="344"/>
      <c r="N357" s="344"/>
      <c r="O357" s="344"/>
      <c r="P357" s="344"/>
      <c r="Q357" s="321" t="s">
        <v>168</v>
      </c>
      <c r="R357" s="321"/>
      <c r="S357" s="321"/>
      <c r="T357" s="316">
        <f>VLOOKUP(Table2[[#This Row],[Course Title]],'TSD-Data'!$A$1:$E$80,4,FALSE)</f>
        <v>30</v>
      </c>
      <c r="U357" s="316">
        <f>VLOOKUP(Table2[[#This Row],[Course Title]],'TSD-Data'!$A$1:$F$80,6,FALSE)</f>
        <v>8</v>
      </c>
      <c r="V357" s="323">
        <f>VLOOKUP(Table2[[#This Row],[Course Title]],'TSD-Data'!$A$1:$F$80,5,FALSE)</f>
        <v>1</v>
      </c>
      <c r="W357" s="323">
        <v>32</v>
      </c>
      <c r="X357" s="316"/>
      <c r="Y357" s="316"/>
      <c r="Z357" s="323"/>
      <c r="AA357" s="323"/>
      <c r="AB357" s="363"/>
      <c r="AC357" s="363"/>
      <c r="AD357" s="316"/>
      <c r="AE357" s="316"/>
      <c r="AF357" s="323">
        <f ca="1">Table2[[#This Row],[End Date]]+2-TODAY()</f>
        <v>123</v>
      </c>
      <c r="AG357" s="316">
        <f>IF(ISBLANK(Table2[[#This Row],[Roster Received by]]),1,0)</f>
        <v>1</v>
      </c>
      <c r="AH357" s="316">
        <f ca="1">IF(Table2[[#This Row],[Start Date]]&gt;TODAY(),1,)</f>
        <v>1</v>
      </c>
      <c r="AI357" s="316">
        <f>IF(ISBLANK(Table2[[#This Row],[Primary Instructor]]),0,1)</f>
        <v>1</v>
      </c>
      <c r="AJ357" s="316">
        <f>IF(ISBLANK(Table2[[#This Row],[Instructor 2]]),0,1)</f>
        <v>0</v>
      </c>
      <c r="AK357" s="316">
        <f>Table2[[#This Row],[Course Length (Hours)]]/(SUM(Table2[[#This Row],[1]:[2]]))</f>
        <v>8</v>
      </c>
      <c r="AL357" s="638"/>
      <c r="AM357" s="316">
        <v>3</v>
      </c>
      <c r="AN357" s="363" t="str">
        <f>VLOOKUP(Table2[[#This Row],[Course Title]],'TSD-Data'!$A$1:$G$80,7,FALSE)</f>
        <v>N4</v>
      </c>
    </row>
    <row r="358" spans="2:40" s="428" customFormat="1" x14ac:dyDescent="0.25">
      <c r="B358" s="364"/>
      <c r="C358" s="315" t="s">
        <v>110</v>
      </c>
      <c r="D358" s="316" t="str">
        <f>VLOOKUP(Table2[[#This Row],[Course Title]],'TSD-Data'!$A$1:$E$80,2,FALSE)</f>
        <v>A-493-2501</v>
      </c>
      <c r="E358" s="316" t="str">
        <f>VLOOKUP(Table2[[#This Row],[Course Title]],'TSD-Data'!$A$1:$E$80,3,FALSE)</f>
        <v>05ZE</v>
      </c>
      <c r="F358" s="364" t="s">
        <v>298</v>
      </c>
      <c r="G358" s="344">
        <v>46129</v>
      </c>
      <c r="H358" s="344">
        <v>46129</v>
      </c>
      <c r="I358" s="341" t="s">
        <v>167</v>
      </c>
      <c r="J358" s="318">
        <v>0.33333333333333331</v>
      </c>
      <c r="K358" s="318"/>
      <c r="L358" s="344"/>
      <c r="M358" s="317"/>
      <c r="N358" s="317"/>
      <c r="O358" s="317"/>
      <c r="P358" s="317"/>
      <c r="Q358" s="321" t="s">
        <v>168</v>
      </c>
      <c r="R358" s="321"/>
      <c r="S358" s="321"/>
      <c r="T358" s="316">
        <f>VLOOKUP(Table2[[#This Row],[Course Title]],'TSD-Data'!$A$1:$E$80,4,FALSE)</f>
        <v>30</v>
      </c>
      <c r="U358" s="316">
        <f>VLOOKUP(Table2[[#This Row],[Course Title]],'TSD-Data'!$A$1:$F$80,6,FALSE)</f>
        <v>8</v>
      </c>
      <c r="V358" s="323">
        <f>VLOOKUP(Table2[[#This Row],[Course Title]],'TSD-Data'!$A$1:$F$80,5,FALSE)</f>
        <v>1</v>
      </c>
      <c r="W358" s="323">
        <v>34</v>
      </c>
      <c r="X358" s="316"/>
      <c r="Y358" s="316"/>
      <c r="Z358" s="323"/>
      <c r="AA358" s="323"/>
      <c r="AB358" s="363"/>
      <c r="AC358" s="363"/>
      <c r="AD358" s="316"/>
      <c r="AE358" s="316"/>
      <c r="AF358" s="323">
        <f ca="1">Table2[[#This Row],[End Date]]+2-TODAY()</f>
        <v>124</v>
      </c>
      <c r="AG358" s="316">
        <f>IF(ISBLANK(Table2[[#This Row],[Roster Received by]]),1,0)</f>
        <v>1</v>
      </c>
      <c r="AH358" s="316">
        <f ca="1">IF(Table2[[#This Row],[Start Date]]&gt;TODAY(),1,)</f>
        <v>1</v>
      </c>
      <c r="AI358" s="316">
        <f>IF(ISBLANK(Table2[[#This Row],[Primary Instructor]]),0,1)</f>
        <v>1</v>
      </c>
      <c r="AJ358" s="316">
        <f>IF(ISBLANK(Table2[[#This Row],[Instructor 2]]),0,1)</f>
        <v>0</v>
      </c>
      <c r="AK358" s="316">
        <f>Table2[[#This Row],[Course Length (Hours)]]/(SUM(Table2[[#This Row],[1]:[2]]))</f>
        <v>8</v>
      </c>
      <c r="AL358" s="638"/>
      <c r="AM358" s="316">
        <v>3</v>
      </c>
      <c r="AN358" s="363" t="str">
        <f>VLOOKUP(Table2[[#This Row],[Course Title]],'TSD-Data'!$A$1:$G$80,7,FALSE)</f>
        <v>N4</v>
      </c>
    </row>
    <row r="359" spans="2:40" s="428" customFormat="1" x14ac:dyDescent="0.25">
      <c r="B359" s="315"/>
      <c r="C359" s="364" t="s">
        <v>48</v>
      </c>
      <c r="D359" s="363" t="str">
        <f>VLOOKUP(Table2[[#This Row],[Course Title]],'TSD-Data'!$A$1:$E$80,2,FALSE)</f>
        <v>A-493-0103</v>
      </c>
      <c r="E359" s="363" t="str">
        <f>VLOOKUP(Table2[[#This Row],[Course Title]],'TSD-Data'!$A$1:$E$80,3,FALSE)</f>
        <v>12JY</v>
      </c>
      <c r="F359" s="364" t="s">
        <v>256</v>
      </c>
      <c r="G359" s="344">
        <v>46132</v>
      </c>
      <c r="H359" s="344">
        <v>45771</v>
      </c>
      <c r="I359" s="317" t="s">
        <v>163</v>
      </c>
      <c r="J359" s="318">
        <v>0.33333333333333331</v>
      </c>
      <c r="K359" s="345"/>
      <c r="L359" s="344"/>
      <c r="M359" s="317"/>
      <c r="N359" s="317"/>
      <c r="O359" s="317"/>
      <c r="P359" s="317"/>
      <c r="Q359" s="321" t="s">
        <v>275</v>
      </c>
      <c r="R359" s="321"/>
      <c r="S359" s="321"/>
      <c r="T359" s="316">
        <f>VLOOKUP(Table2[[#This Row],[Course Title]],'TSD-Data'!$A$1:$E$80,4,FALSE)</f>
        <v>25</v>
      </c>
      <c r="U359" s="363">
        <f>VLOOKUP(Table2[[#This Row],[Course Title]],'TSD-Data'!$A$1:$F$80,6,FALSE)</f>
        <v>40</v>
      </c>
      <c r="V359" s="323">
        <f>VLOOKUP(Table2[[#This Row],[Course Title]],'TSD-Data'!$A$1:$F$80,5,FALSE)</f>
        <v>5</v>
      </c>
      <c r="W359" s="323">
        <v>75</v>
      </c>
      <c r="X359" s="316"/>
      <c r="Y359" s="316"/>
      <c r="Z359" s="323"/>
      <c r="AA359" s="323"/>
      <c r="AB359" s="363"/>
      <c r="AC359" s="363"/>
      <c r="AD359" s="316"/>
      <c r="AE359" s="316"/>
      <c r="AF359" s="323">
        <f ca="1">Table2[[#This Row],[End Date]]+2-TODAY()</f>
        <v>-234</v>
      </c>
      <c r="AG359" s="316">
        <f>IF(ISBLANK(Table2[[#This Row],[Roster Received by]]),1,0)</f>
        <v>1</v>
      </c>
      <c r="AH359" s="316">
        <f ca="1">IF(Table2[[#This Row],[Start Date]]&gt;TODAY(),1,)</f>
        <v>1</v>
      </c>
      <c r="AI359" s="316">
        <f>IF(ISBLANK(Table2[[#This Row],[Primary Instructor]]),0,1)</f>
        <v>1</v>
      </c>
      <c r="AJ359" s="316">
        <f>IF(ISBLANK(Table2[[#This Row],[Instructor 2]]),0,1)</f>
        <v>0</v>
      </c>
      <c r="AK359" s="316">
        <f>Table2[[#This Row],[Course Length (Hours)]]/(SUM(Table2[[#This Row],[1]:[2]]))</f>
        <v>40</v>
      </c>
      <c r="AL359" s="638"/>
      <c r="AM359" s="316">
        <v>3</v>
      </c>
      <c r="AN359" s="363" t="str">
        <f>VLOOKUP(Table2[[#This Row],[Course Title]],'TSD-Data'!$A$1:$G$80,7,FALSE)</f>
        <v>N5</v>
      </c>
    </row>
    <row r="360" spans="2:40" s="428" customFormat="1" x14ac:dyDescent="0.25">
      <c r="B360" s="364"/>
      <c r="C360" s="315" t="s">
        <v>110</v>
      </c>
      <c r="D360" s="316" t="str">
        <f>VLOOKUP(Table2[[#This Row],[Course Title]],'TSD-Data'!$A$1:$E$80,2,FALSE)</f>
        <v>A-493-2501</v>
      </c>
      <c r="E360" s="316" t="str">
        <f>VLOOKUP(Table2[[#This Row],[Course Title]],'TSD-Data'!$A$1:$E$80,3,FALSE)</f>
        <v>05ZE</v>
      </c>
      <c r="F360" s="315" t="s">
        <v>264</v>
      </c>
      <c r="G360" s="344">
        <v>46132</v>
      </c>
      <c r="H360" s="344">
        <v>46132</v>
      </c>
      <c r="I360" s="341" t="s">
        <v>167</v>
      </c>
      <c r="J360" s="318">
        <v>0.33333333333333331</v>
      </c>
      <c r="K360" s="345"/>
      <c r="L360" s="344"/>
      <c r="M360" s="344"/>
      <c r="N360" s="344"/>
      <c r="O360" s="344"/>
      <c r="P360" s="344"/>
      <c r="Q360" s="321" t="s">
        <v>168</v>
      </c>
      <c r="R360" s="321"/>
      <c r="S360" s="321"/>
      <c r="T360" s="316">
        <f>VLOOKUP(Table2[[#This Row],[Course Title]],'TSD-Data'!$A$1:$E$80,4,FALSE)</f>
        <v>30</v>
      </c>
      <c r="U360" s="316">
        <f>VLOOKUP(Table2[[#This Row],[Course Title]],'TSD-Data'!$A$1:$F$80,6,FALSE)</f>
        <v>8</v>
      </c>
      <c r="V360" s="323">
        <f>VLOOKUP(Table2[[#This Row],[Course Title]],'TSD-Data'!$A$1:$F$80,5,FALSE)</f>
        <v>1</v>
      </c>
      <c r="W360" s="323">
        <v>61</v>
      </c>
      <c r="X360" s="316"/>
      <c r="Y360" s="316"/>
      <c r="Z360" s="323"/>
      <c r="AA360" s="323"/>
      <c r="AB360" s="363"/>
      <c r="AC360" s="363"/>
      <c r="AD360" s="316"/>
      <c r="AE360" s="316"/>
      <c r="AF360" s="323">
        <f ca="1">Table2[[#This Row],[End Date]]+2-TODAY()</f>
        <v>127</v>
      </c>
      <c r="AG360" s="316">
        <f>IF(ISBLANK(Table2[[#This Row],[Roster Received by]]),1,0)</f>
        <v>1</v>
      </c>
      <c r="AH360" s="316">
        <f ca="1">IF(Table2[[#This Row],[Start Date]]&gt;TODAY(),1,)</f>
        <v>1</v>
      </c>
      <c r="AI360" s="316">
        <f>IF(ISBLANK(Table2[[#This Row],[Primary Instructor]]),0,1)</f>
        <v>1</v>
      </c>
      <c r="AJ360" s="316">
        <f>IF(ISBLANK(Table2[[#This Row],[Instructor 2]]),0,1)</f>
        <v>0</v>
      </c>
      <c r="AK360" s="316">
        <f>Table2[[#This Row],[Course Length (Hours)]]/(SUM(Table2[[#This Row],[1]:[2]]))</f>
        <v>8</v>
      </c>
      <c r="AL360" s="638"/>
      <c r="AM360" s="316">
        <v>3</v>
      </c>
      <c r="AN360" s="363" t="str">
        <f>VLOOKUP(Table2[[#This Row],[Course Title]],'TSD-Data'!$A$1:$G$80,7,FALSE)</f>
        <v>N4</v>
      </c>
    </row>
    <row r="361" spans="2:40" s="428" customFormat="1" x14ac:dyDescent="0.25">
      <c r="B361" s="315" t="s">
        <v>252</v>
      </c>
      <c r="C361" s="315" t="s">
        <v>250</v>
      </c>
      <c r="D361" s="316" t="str">
        <f>VLOOKUP(Table2[[#This Row],[Course Title]],'TSD-Data'!$A$1:$E$80,2,FALSE)</f>
        <v>PDS</v>
      </c>
      <c r="E361" s="316" t="str">
        <f>VLOOKUP(Table2[[#This Row],[Course Title]],'TSD-Data'!$A$1:$E$80,3,FALSE)</f>
        <v>PDS</v>
      </c>
      <c r="F361" s="315"/>
      <c r="G361" s="344">
        <v>46132</v>
      </c>
      <c r="H361" s="344">
        <v>46136</v>
      </c>
      <c r="I361" s="317" t="s">
        <v>163</v>
      </c>
      <c r="J361" s="318"/>
      <c r="K361" s="318"/>
      <c r="L361" s="317"/>
      <c r="M361" s="317"/>
      <c r="N361" s="317"/>
      <c r="O361" s="317"/>
      <c r="P361" s="317"/>
      <c r="Q361" s="321" t="s">
        <v>434</v>
      </c>
      <c r="R361" s="321"/>
      <c r="S361" s="321"/>
      <c r="T361" s="316">
        <f>VLOOKUP(Table2[[#This Row],[Course Title]],'TSD-Data'!$A$1:$E$80,4,FALSE)</f>
        <v>0</v>
      </c>
      <c r="U361" s="316">
        <f>VLOOKUP(Table2[[#This Row],[Course Title]],'TSD-Data'!$A$1:$F$80,6,FALSE)</f>
        <v>0</v>
      </c>
      <c r="V361" s="323">
        <f>VLOOKUP(Table2[[#This Row],[Course Title]],'TSD-Data'!$A$1:$F$80,5,FALSE)</f>
        <v>0</v>
      </c>
      <c r="W361" s="323">
        <v>0</v>
      </c>
      <c r="X361" s="316">
        <v>0</v>
      </c>
      <c r="Y361" s="316">
        <v>0</v>
      </c>
      <c r="Z361" s="316">
        <v>0</v>
      </c>
      <c r="AA361" s="316">
        <v>0</v>
      </c>
      <c r="AB361" s="316">
        <v>0</v>
      </c>
      <c r="AC361" s="316">
        <v>0</v>
      </c>
      <c r="AD361" s="316">
        <v>0</v>
      </c>
      <c r="AE361" s="316" t="s">
        <v>435</v>
      </c>
      <c r="AF361" s="323">
        <f ca="1">Table2[[#This Row],[End Date]]+2-TODAY()</f>
        <v>131</v>
      </c>
      <c r="AG361" s="316">
        <f>IF(ISBLANK(Table2[[#This Row],[Roster Received by]]),1,0)</f>
        <v>0</v>
      </c>
      <c r="AH361" s="316">
        <f ca="1">IF(Table2[[#This Row],[Start Date]]&gt;TODAY(),1,)</f>
        <v>1</v>
      </c>
      <c r="AI361" s="316">
        <f>IF(ISBLANK(Table2[[#This Row],[Primary Instructor]]),0,1)</f>
        <v>1</v>
      </c>
      <c r="AJ361" s="316">
        <f>IF(ISBLANK(Table2[[#This Row],[Instructor 2]]),0,1)</f>
        <v>0</v>
      </c>
      <c r="AK361" s="316">
        <f>Table2[[#This Row],[Course Length (Hours)]]/(SUM(Table2[[#This Row],[1]:[2]]))</f>
        <v>0</v>
      </c>
      <c r="AL361" s="124"/>
      <c r="AM361" s="316">
        <v>3</v>
      </c>
      <c r="AN361" s="363" t="str">
        <f>VLOOKUP(Table2[[#This Row],[Course Title]],'TSD-Data'!$A$1:$G$80,7,FALSE)</f>
        <v>TSD</v>
      </c>
    </row>
    <row r="362" spans="2:40" s="428" customFormat="1" x14ac:dyDescent="0.25">
      <c r="B362" s="315" t="s">
        <v>477</v>
      </c>
      <c r="C362" s="315" t="s">
        <v>125</v>
      </c>
      <c r="D362" s="363" t="str">
        <f>VLOOKUP(Table2[[#This Row],[Course Title]],'TSD-Data'!$A$1:$E$80,2,FALSE)</f>
        <v>A-493-2017</v>
      </c>
      <c r="E362" s="363" t="str">
        <f>VLOOKUP(Table2[[#This Row],[Course Title]],'TSD-Data'!$A$1:$E$80,3,FALSE)</f>
        <v>12x3</v>
      </c>
      <c r="F362" s="364" t="s">
        <v>478</v>
      </c>
      <c r="G362" s="344">
        <v>46132</v>
      </c>
      <c r="H362" s="344">
        <v>46136</v>
      </c>
      <c r="I362" s="317" t="s">
        <v>479</v>
      </c>
      <c r="J362" s="318"/>
      <c r="K362" s="345"/>
      <c r="L362" s="344"/>
      <c r="M362" s="344"/>
      <c r="N362" s="344"/>
      <c r="O362" s="344"/>
      <c r="P362" s="344"/>
      <c r="Q362" s="321"/>
      <c r="R362" s="321"/>
      <c r="S362" s="321"/>
      <c r="T362" s="316">
        <f>VLOOKUP(Table2[[#This Row],[Course Title]],'TSD-Data'!$A$1:$E$80,4,FALSE)</f>
        <v>25</v>
      </c>
      <c r="U362" s="363">
        <f>VLOOKUP(Table2[[#This Row],[Course Title]],'TSD-Data'!$A$1:$F$80,6,FALSE)</f>
        <v>40</v>
      </c>
      <c r="V362" s="323">
        <f>VLOOKUP(Table2[[#This Row],[Course Title]],'TSD-Data'!$A$1:$F$80,5,FALSE)</f>
        <v>5</v>
      </c>
      <c r="W362" s="323"/>
      <c r="X362" s="316"/>
      <c r="Y362" s="316"/>
      <c r="Z362" s="323"/>
      <c r="AA362" s="323"/>
      <c r="AB362" s="363"/>
      <c r="AC362" s="363"/>
      <c r="AD362" s="316"/>
      <c r="AE362" s="316"/>
      <c r="AF362" s="323">
        <f ca="1">Table2[[#This Row],[End Date]]+2-TODAY()</f>
        <v>131</v>
      </c>
      <c r="AG362" s="316">
        <f>IF(ISBLANK(Table2[[#This Row],[Roster Received by]]),1,0)</f>
        <v>1</v>
      </c>
      <c r="AH362" s="316">
        <f ca="1">IF(Table2[[#This Row],[Start Date]]&gt;TODAY(),1,)</f>
        <v>1</v>
      </c>
      <c r="AI362" s="316">
        <f>IF(ISBLANK(Table2[[#This Row],[Primary Instructor]]),0,1)</f>
        <v>0</v>
      </c>
      <c r="AJ362" s="316">
        <f>IF(ISBLANK(Table2[[#This Row],[Instructor 2]]),0,1)</f>
        <v>0</v>
      </c>
      <c r="AK362" s="316" t="e">
        <f>Table2[[#This Row],[Course Length (Hours)]]/(SUM(Table2[[#This Row],[1]:[2]]))</f>
        <v>#DIV/0!</v>
      </c>
      <c r="AL362" s="638"/>
      <c r="AM362" s="316">
        <v>3</v>
      </c>
      <c r="AN362" s="363" t="str">
        <f>VLOOKUP(Table2[[#This Row],[Course Title]],'TSD-Data'!$A$1:$G$80,7,FALSE)</f>
        <v>N4</v>
      </c>
    </row>
    <row r="363" spans="2:40" s="428" customFormat="1" x14ac:dyDescent="0.25">
      <c r="B363" s="315" t="s">
        <v>480</v>
      </c>
      <c r="C363" s="364" t="s">
        <v>63</v>
      </c>
      <c r="D363" s="316" t="str">
        <f>VLOOKUP(Table2[[#This Row],[Course Title]],'TSD-Data'!$A$1:$E$80,2,FALSE)</f>
        <v>A-493-0013</v>
      </c>
      <c r="E363" s="316">
        <f>VLOOKUP(Table2[[#This Row],[Course Title]],'TSD-Data'!$A$1:$E$80,3,FALSE)</f>
        <v>3683</v>
      </c>
      <c r="F363" s="315" t="s">
        <v>316</v>
      </c>
      <c r="G363" s="344">
        <v>46133</v>
      </c>
      <c r="H363" s="344">
        <v>46135</v>
      </c>
      <c r="I363" s="341" t="s">
        <v>167</v>
      </c>
      <c r="J363" s="318">
        <v>0.33333333333333331</v>
      </c>
      <c r="K363" s="318"/>
      <c r="L363" s="317"/>
      <c r="M363" s="317"/>
      <c r="N363" s="317"/>
      <c r="O363" s="317"/>
      <c r="P363" s="317"/>
      <c r="Q363" s="321" t="s">
        <v>438</v>
      </c>
      <c r="R363" s="321"/>
      <c r="S363" s="321"/>
      <c r="T363" s="316">
        <f>VLOOKUP(Table2[[#This Row],[Course Title]],'TSD-Data'!$A$1:$E$80,4,FALSE)</f>
        <v>40</v>
      </c>
      <c r="U363" s="316">
        <f>VLOOKUP(Table2[[#This Row],[Course Title]],'TSD-Data'!$A$1:$F$80,6,FALSE)</f>
        <v>24</v>
      </c>
      <c r="V363" s="323">
        <f>VLOOKUP(Table2[[#This Row],[Course Title]],'TSD-Data'!$A$1:$F$80,5,FALSE)</f>
        <v>3</v>
      </c>
      <c r="W363" s="323">
        <v>28</v>
      </c>
      <c r="X363" s="316"/>
      <c r="Y363" s="316"/>
      <c r="Z363" s="323"/>
      <c r="AA363" s="323"/>
      <c r="AB363" s="363"/>
      <c r="AC363" s="363"/>
      <c r="AD363" s="316"/>
      <c r="AE363" s="316"/>
      <c r="AF363" s="323">
        <f ca="1">Table2[[#This Row],[End Date]]+2-TODAY()</f>
        <v>130</v>
      </c>
      <c r="AG363" s="316">
        <f>IF(ISBLANK(Table2[[#This Row],[Roster Received by]]),1,0)</f>
        <v>1</v>
      </c>
      <c r="AH363" s="316">
        <f ca="1">IF(Table2[[#This Row],[Start Date]]&gt;TODAY(),1,)</f>
        <v>1</v>
      </c>
      <c r="AI363" s="316">
        <f>IF(ISBLANK(Table2[[#This Row],[Primary Instructor]]),0,1)</f>
        <v>1</v>
      </c>
      <c r="AJ363" s="316">
        <f>IF(ISBLANK(Table2[[#This Row],[Instructor 2]]),0,1)</f>
        <v>0</v>
      </c>
      <c r="AK363" s="316">
        <f>Table2[[#This Row],[Course Length (Hours)]]/(SUM(Table2[[#This Row],[1]:[2]]))</f>
        <v>24</v>
      </c>
      <c r="AL363" s="638"/>
      <c r="AM363" s="316">
        <v>3</v>
      </c>
      <c r="AN363" s="363" t="str">
        <f>VLOOKUP(Table2[[#This Row],[Course Title]],'TSD-Data'!$A$1:$G$80,7,FALSE)</f>
        <v>N4</v>
      </c>
    </row>
    <row r="364" spans="2:40" s="428" customFormat="1" x14ac:dyDescent="0.25">
      <c r="B364" s="437" t="s">
        <v>321</v>
      </c>
      <c r="C364" s="343" t="s">
        <v>63</v>
      </c>
      <c r="D364" s="316" t="str">
        <f>VLOOKUP(Table2[[#This Row],[Course Title]],'TSD-Data'!$A$1:$E$80,2,FALSE)</f>
        <v>A-493-0013</v>
      </c>
      <c r="E364" s="316">
        <f>VLOOKUP(Table2[[#This Row],[Course Title]],'TSD-Data'!$A$1:$E$80,3,FALSE)</f>
        <v>3683</v>
      </c>
      <c r="F364" s="342" t="s">
        <v>211</v>
      </c>
      <c r="G364" s="341">
        <v>46134</v>
      </c>
      <c r="H364" s="341">
        <v>46136</v>
      </c>
      <c r="I364" s="341" t="s">
        <v>167</v>
      </c>
      <c r="J364" s="318">
        <v>0.33333333333333331</v>
      </c>
      <c r="K364" s="318"/>
      <c r="L364" s="344"/>
      <c r="M364" s="317"/>
      <c r="N364" s="317"/>
      <c r="O364" s="317"/>
      <c r="P364" s="317"/>
      <c r="Q364" s="321" t="s">
        <v>453</v>
      </c>
      <c r="R364" s="321"/>
      <c r="S364" s="321"/>
      <c r="T364" s="316">
        <f>VLOOKUP(Table2[[#This Row],[Course Title]],'TSD-Data'!$A$1:$E$80,4,FALSE)</f>
        <v>40</v>
      </c>
      <c r="U364" s="316">
        <f>VLOOKUP(Table2[[#This Row],[Course Title]],'TSD-Data'!$A$1:$F$80,6,FALSE)</f>
        <v>24</v>
      </c>
      <c r="V364" s="323">
        <f>VLOOKUP(Table2[[#This Row],[Course Title]],'TSD-Data'!$A$1:$F$80,5,FALSE)</f>
        <v>3</v>
      </c>
      <c r="W364" s="316">
        <v>28</v>
      </c>
      <c r="X364" s="316"/>
      <c r="Y364" s="316"/>
      <c r="Z364" s="323"/>
      <c r="AA364" s="323"/>
      <c r="AB364" s="316"/>
      <c r="AC364" s="316"/>
      <c r="AD364" s="316"/>
      <c r="AE364" s="316"/>
      <c r="AF364" s="323">
        <f ca="1">Table2[[#This Row],[End Date]]+2-TODAY()</f>
        <v>131</v>
      </c>
      <c r="AG364" s="316">
        <f>IF(ISBLANK(Table2[[#This Row],[Roster Received by]]),1,0)</f>
        <v>1</v>
      </c>
      <c r="AH364" s="316">
        <f ca="1">IF(Table2[[#This Row],[Start Date]]&gt;TODAY(),1,)</f>
        <v>1</v>
      </c>
      <c r="AI364" s="316">
        <f>IF(ISBLANK(Table2[[#This Row],[Primary Instructor]]),0,1)</f>
        <v>1</v>
      </c>
      <c r="AJ364" s="316">
        <f>IF(ISBLANK(Table2[[#This Row],[Instructor 2]]),0,1)</f>
        <v>0</v>
      </c>
      <c r="AK364" s="316">
        <f>Table2[[#This Row],[Course Length (Hours)]]/(SUM(Table2[[#This Row],[1]:[2]]))</f>
        <v>24</v>
      </c>
      <c r="AL364" s="124"/>
      <c r="AM364" s="316">
        <v>3</v>
      </c>
      <c r="AN364" s="363" t="str">
        <f>VLOOKUP(Table2[[#This Row],[Course Title]],'TSD-Data'!$A$1:$G$80,7,FALSE)</f>
        <v>N4</v>
      </c>
    </row>
    <row r="365" spans="2:40" s="428" customFormat="1" x14ac:dyDescent="0.25">
      <c r="B365" s="315"/>
      <c r="C365" s="315" t="s">
        <v>110</v>
      </c>
      <c r="D365" s="316" t="str">
        <f>VLOOKUP(Table2[[#This Row],[Course Title]],'TSD-Data'!$A$1:$E$80,2,FALSE)</f>
        <v>A-493-2501</v>
      </c>
      <c r="E365" s="316" t="str">
        <f>VLOOKUP(Table2[[#This Row],[Course Title]],'TSD-Data'!$A$1:$E$80,3,FALSE)</f>
        <v>05ZE</v>
      </c>
      <c r="F365" s="364" t="s">
        <v>294</v>
      </c>
      <c r="G365" s="344">
        <v>46134</v>
      </c>
      <c r="H365" s="344">
        <v>46134</v>
      </c>
      <c r="I365" s="341" t="s">
        <v>167</v>
      </c>
      <c r="J365" s="318">
        <v>0.33333333333333331</v>
      </c>
      <c r="K365" s="318"/>
      <c r="L365" s="344"/>
      <c r="M365" s="317"/>
      <c r="N365" s="317"/>
      <c r="O365" s="317"/>
      <c r="P365" s="317"/>
      <c r="Q365" s="321" t="s">
        <v>168</v>
      </c>
      <c r="R365" s="321"/>
      <c r="S365" s="321"/>
      <c r="T365" s="316">
        <f>VLOOKUP(Table2[[#This Row],[Course Title]],'TSD-Data'!$A$1:$E$80,4,FALSE)</f>
        <v>30</v>
      </c>
      <c r="U365" s="316">
        <f>VLOOKUP(Table2[[#This Row],[Course Title]],'TSD-Data'!$A$1:$F$80,6,FALSE)</f>
        <v>8</v>
      </c>
      <c r="V365" s="323">
        <f>VLOOKUP(Table2[[#This Row],[Course Title]],'TSD-Data'!$A$1:$F$80,5,FALSE)</f>
        <v>1</v>
      </c>
      <c r="W365" s="323">
        <v>30</v>
      </c>
      <c r="X365" s="316"/>
      <c r="Y365" s="316"/>
      <c r="Z365" s="323"/>
      <c r="AA365" s="323"/>
      <c r="AB365" s="363"/>
      <c r="AC365" s="363"/>
      <c r="AD365" s="316"/>
      <c r="AE365" s="316"/>
      <c r="AF365" s="323">
        <f ca="1">Table2[[#This Row],[End Date]]+2-TODAY()</f>
        <v>129</v>
      </c>
      <c r="AG365" s="316">
        <f>IF(ISBLANK(Table2[[#This Row],[Roster Received by]]),1,0)</f>
        <v>1</v>
      </c>
      <c r="AH365" s="316">
        <f ca="1">IF(Table2[[#This Row],[Start Date]]&gt;TODAY(),1,)</f>
        <v>1</v>
      </c>
      <c r="AI365" s="316">
        <f>IF(ISBLANK(Table2[[#This Row],[Primary Instructor]]),0,1)</f>
        <v>1</v>
      </c>
      <c r="AJ365" s="316">
        <f>IF(ISBLANK(Table2[[#This Row],[Instructor 2]]),0,1)</f>
        <v>0</v>
      </c>
      <c r="AK365" s="316">
        <f>Table2[[#This Row],[Course Length (Hours)]]/(SUM(Table2[[#This Row],[1]:[2]]))</f>
        <v>8</v>
      </c>
      <c r="AL365" s="638"/>
      <c r="AM365" s="316">
        <v>3</v>
      </c>
      <c r="AN365" s="363" t="str">
        <f>VLOOKUP(Table2[[#This Row],[Course Title]],'TSD-Data'!$A$1:$G$80,7,FALSE)</f>
        <v>N4</v>
      </c>
    </row>
    <row r="366" spans="2:40" s="428" customFormat="1" x14ac:dyDescent="0.25">
      <c r="B366" s="437" t="s">
        <v>481</v>
      </c>
      <c r="C366" s="343" t="s">
        <v>61</v>
      </c>
      <c r="D366" s="316" t="str">
        <f>VLOOKUP(Table2[[#This Row],[Course Title]],'TSD-Data'!$A$1:$E$80,2,FALSE)</f>
        <v>A-493-0012</v>
      </c>
      <c r="E366" s="316">
        <f>VLOOKUP(Table2[[#This Row],[Course Title]],'TSD-Data'!$A$1:$E$80,3,FALSE)</f>
        <v>3682</v>
      </c>
      <c r="F366" s="342" t="s">
        <v>169</v>
      </c>
      <c r="G366" s="341">
        <v>46139</v>
      </c>
      <c r="H366" s="341">
        <v>46143</v>
      </c>
      <c r="I366" s="341" t="s">
        <v>167</v>
      </c>
      <c r="J366" s="318">
        <v>0.33333333333333331</v>
      </c>
      <c r="K366" s="318"/>
      <c r="L366" s="344"/>
      <c r="M366" s="317"/>
      <c r="N366" s="317"/>
      <c r="O366" s="317"/>
      <c r="P366" s="317"/>
      <c r="Q366" s="321" t="s">
        <v>447</v>
      </c>
      <c r="R366" s="321"/>
      <c r="S366" s="321"/>
      <c r="T366" s="316">
        <f>VLOOKUP(Table2[[#This Row],[Course Title]],'TSD-Data'!$A$1:$E$80,4,FALSE)</f>
        <v>40</v>
      </c>
      <c r="U366" s="316">
        <f>VLOOKUP(Table2[[#This Row],[Course Title]],'TSD-Data'!$A$1:$F$80,6,FALSE)</f>
        <v>40</v>
      </c>
      <c r="V366" s="323">
        <f>VLOOKUP(Table2[[#This Row],[Course Title]],'TSD-Data'!$A$1:$F$80,5,FALSE)</f>
        <v>5</v>
      </c>
      <c r="W366" s="316">
        <v>30</v>
      </c>
      <c r="X366" s="316"/>
      <c r="Y366" s="316"/>
      <c r="Z366" s="323"/>
      <c r="AA366" s="323"/>
      <c r="AB366" s="316"/>
      <c r="AC366" s="316"/>
      <c r="AD366" s="316"/>
      <c r="AE366" s="316"/>
      <c r="AF366" s="323">
        <f ca="1">Table2[[#This Row],[End Date]]+2-TODAY()</f>
        <v>138</v>
      </c>
      <c r="AG366" s="316">
        <f>IF(ISBLANK(Table2[[#This Row],[Roster Received by]]),1,0)</f>
        <v>1</v>
      </c>
      <c r="AH366" s="316">
        <f ca="1">IF(Table2[[#This Row],[Start Date]]&gt;TODAY(),1,)</f>
        <v>1</v>
      </c>
      <c r="AI366" s="316">
        <f>IF(ISBLANK(Table2[[#This Row],[Primary Instructor]]),0,1)</f>
        <v>1</v>
      </c>
      <c r="AJ366" s="316">
        <f>IF(ISBLANK(Table2[[#This Row],[Instructor 2]]),0,1)</f>
        <v>0</v>
      </c>
      <c r="AK366" s="316">
        <f>Table2[[#This Row],[Course Length (Hours)]]/(SUM(Table2[[#This Row],[1]:[2]]))</f>
        <v>40</v>
      </c>
      <c r="AL366" s="124"/>
      <c r="AM366" s="316">
        <v>3</v>
      </c>
      <c r="AN366" s="363" t="str">
        <f>VLOOKUP(Table2[[#This Row],[Course Title]],'TSD-Data'!$A$1:$G$80,7,FALSE)</f>
        <v>N4</v>
      </c>
    </row>
    <row r="367" spans="2:40" s="428" customFormat="1" x14ac:dyDescent="0.25">
      <c r="B367" s="437" t="s">
        <v>482</v>
      </c>
      <c r="C367" s="343" t="s">
        <v>61</v>
      </c>
      <c r="D367" s="316" t="str">
        <f>VLOOKUP(Table2[[#This Row],[Course Title]],'TSD-Data'!$A$1:$E$80,2,FALSE)</f>
        <v>A-493-0012</v>
      </c>
      <c r="E367" s="316">
        <f>VLOOKUP(Table2[[#This Row],[Course Title]],'TSD-Data'!$A$1:$E$80,3,FALSE)</f>
        <v>3682</v>
      </c>
      <c r="F367" s="342" t="s">
        <v>170</v>
      </c>
      <c r="G367" s="341">
        <v>46139</v>
      </c>
      <c r="H367" s="341">
        <v>46143</v>
      </c>
      <c r="I367" s="341" t="s">
        <v>167</v>
      </c>
      <c r="J367" s="318">
        <v>0.33333333333333331</v>
      </c>
      <c r="K367" s="345"/>
      <c r="L367" s="344"/>
      <c r="M367" s="344"/>
      <c r="N367" s="344"/>
      <c r="O367" s="344"/>
      <c r="P367" s="344"/>
      <c r="Q367" s="321" t="s">
        <v>453</v>
      </c>
      <c r="R367" s="321"/>
      <c r="S367" s="321"/>
      <c r="T367" s="316">
        <f>VLOOKUP(Table2[[#This Row],[Course Title]],'TSD-Data'!$A$1:$E$80,4,FALSE)</f>
        <v>40</v>
      </c>
      <c r="U367" s="316">
        <f>VLOOKUP(Table2[[#This Row],[Course Title]],'TSD-Data'!$A$1:$F$80,6,FALSE)</f>
        <v>40</v>
      </c>
      <c r="V367" s="323">
        <f>VLOOKUP(Table2[[#This Row],[Course Title]],'TSD-Data'!$A$1:$F$80,5,FALSE)</f>
        <v>5</v>
      </c>
      <c r="W367" s="316">
        <v>28</v>
      </c>
      <c r="X367" s="316"/>
      <c r="Y367" s="316"/>
      <c r="Z367" s="323"/>
      <c r="AA367" s="323"/>
      <c r="AB367" s="316"/>
      <c r="AC367" s="316"/>
      <c r="AD367" s="316"/>
      <c r="AE367" s="316"/>
      <c r="AF367" s="323">
        <f ca="1">Table2[[#This Row],[End Date]]+2-TODAY()</f>
        <v>138</v>
      </c>
      <c r="AG367" s="316">
        <f>IF(ISBLANK(Table2[[#This Row],[Roster Received by]]),1,0)</f>
        <v>1</v>
      </c>
      <c r="AH367" s="316">
        <f ca="1">IF(Table2[[#This Row],[Start Date]]&gt;TODAY(),1,)</f>
        <v>1</v>
      </c>
      <c r="AI367" s="316">
        <f>IF(ISBLANK(Table2[[#This Row],[Primary Instructor]]),0,1)</f>
        <v>1</v>
      </c>
      <c r="AJ367" s="316">
        <f>IF(ISBLANK(Table2[[#This Row],[Instructor 2]]),0,1)</f>
        <v>0</v>
      </c>
      <c r="AK367" s="316">
        <f>Table2[[#This Row],[Course Length (Hours)]]/(SUM(Table2[[#This Row],[1]:[2]]))</f>
        <v>40</v>
      </c>
      <c r="AL367" s="124"/>
      <c r="AM367" s="316">
        <v>3</v>
      </c>
      <c r="AN367" s="363" t="str">
        <f>VLOOKUP(Table2[[#This Row],[Course Title]],'TSD-Data'!$A$1:$G$80,7,FALSE)</f>
        <v>N4</v>
      </c>
    </row>
    <row r="368" spans="2:40" s="428" customFormat="1" x14ac:dyDescent="0.25">
      <c r="B368" s="315"/>
      <c r="C368" s="315" t="s">
        <v>74</v>
      </c>
      <c r="D368" s="316" t="str">
        <f>VLOOKUP(Table2[[#This Row],[Course Title]],'TSD-Data'!$A$1:$E$80,2,FALSE)</f>
        <v>A-322-2604</v>
      </c>
      <c r="E368" s="316" t="str">
        <f>VLOOKUP(Table2[[#This Row],[Course Title]],'TSD-Data'!$A$1:$E$80,3,FALSE)</f>
        <v>10ZZ</v>
      </c>
      <c r="F368" s="315" t="s">
        <v>25</v>
      </c>
      <c r="G368" s="317">
        <v>46139</v>
      </c>
      <c r="H368" s="317">
        <v>46141</v>
      </c>
      <c r="I368" s="317" t="s">
        <v>163</v>
      </c>
      <c r="J368" s="318"/>
      <c r="K368" s="318">
        <v>0.33333333333333331</v>
      </c>
      <c r="L368" s="318">
        <v>0.20833333333333334</v>
      </c>
      <c r="M368" s="318">
        <v>0.625</v>
      </c>
      <c r="N368" s="318">
        <v>0.54166666666666663</v>
      </c>
      <c r="O368" s="318">
        <v>8.3333333333333329E-2</v>
      </c>
      <c r="P368" s="318">
        <v>0.875</v>
      </c>
      <c r="Q368" s="321" t="s">
        <v>431</v>
      </c>
      <c r="R368" s="321"/>
      <c r="S368" s="321"/>
      <c r="T368" s="316">
        <f>VLOOKUP(Table2[[#This Row],[Course Title]],'TSD-Data'!$A$1:$E$80,4,FALSE)</f>
        <v>45</v>
      </c>
      <c r="U368" s="316">
        <f>VLOOKUP(Table2[[#This Row],[Course Title]],'TSD-Data'!$A$1:$F$80,6,FALSE)</f>
        <v>24</v>
      </c>
      <c r="V368" s="323">
        <f>VLOOKUP(Table2[[#This Row],[Course Title]],'TSD-Data'!$A$1:$F$80,5,FALSE)</f>
        <v>3</v>
      </c>
      <c r="W368" s="323">
        <v>316</v>
      </c>
      <c r="X368" s="316"/>
      <c r="Y368" s="316"/>
      <c r="Z368" s="323"/>
      <c r="AA368" s="323"/>
      <c r="AB368" s="316"/>
      <c r="AC368" s="316"/>
      <c r="AD368" s="316"/>
      <c r="AE368" s="316"/>
      <c r="AF368" s="323">
        <f ca="1">Table2[[#This Row],[End Date]]+2-TODAY()</f>
        <v>136</v>
      </c>
      <c r="AG368" s="316">
        <f>IF(ISBLANK(Table2[[#This Row],[Roster Received by]]),1,0)</f>
        <v>1</v>
      </c>
      <c r="AH368" s="316">
        <f ca="1">IF(Table2[[#This Row],[Start Date]]&gt;TODAY(),1,)</f>
        <v>1</v>
      </c>
      <c r="AI368" s="316">
        <f>IF(ISBLANK(Table2[[#This Row],[Primary Instructor]]),0,1)</f>
        <v>1</v>
      </c>
      <c r="AJ368" s="316">
        <f>IF(ISBLANK(Table2[[#This Row],[Instructor 2]]),0,1)</f>
        <v>0</v>
      </c>
      <c r="AK368" s="316">
        <f>Table2[[#This Row],[Course Length (Hours)]]/(SUM(Table2[[#This Row],[1]:[2]]))</f>
        <v>24</v>
      </c>
      <c r="AL368" s="124"/>
      <c r="AM368" s="316">
        <v>3</v>
      </c>
      <c r="AN368" s="363" t="str">
        <f>VLOOKUP(Table2[[#This Row],[Course Title]],'TSD-Data'!$A$1:$G$80,7,FALSE)</f>
        <v>N8</v>
      </c>
    </row>
    <row r="369" spans="2:40" s="428" customFormat="1" x14ac:dyDescent="0.25">
      <c r="B369" s="315"/>
      <c r="C369" s="315" t="s">
        <v>100</v>
      </c>
      <c r="D369" s="316" t="str">
        <f>VLOOKUP(Table2[[#This Row],[Course Title]],'TSD-Data'!$A$1:$E$80,2,FALSE)</f>
        <v>A-493-0550</v>
      </c>
      <c r="E369" s="316" t="str">
        <f>VLOOKUP(Table2[[#This Row],[Course Title]],'TSD-Data'!$A$1:$E$80,3,FALSE)</f>
        <v>09K5</v>
      </c>
      <c r="F369" s="315" t="s">
        <v>25</v>
      </c>
      <c r="G369" s="317">
        <v>46139</v>
      </c>
      <c r="H369" s="317">
        <v>46142</v>
      </c>
      <c r="I369" s="317" t="s">
        <v>163</v>
      </c>
      <c r="J369" s="318"/>
      <c r="K369" s="345">
        <v>0.5</v>
      </c>
      <c r="L369" s="429">
        <v>0.375</v>
      </c>
      <c r="M369" s="429">
        <v>0.79166666666666663</v>
      </c>
      <c r="N369" s="429">
        <v>0.75</v>
      </c>
      <c r="O369" s="429">
        <v>0.25</v>
      </c>
      <c r="P369" s="429">
        <v>4.1666666666666664E-2</v>
      </c>
      <c r="Q369" s="321" t="s">
        <v>426</v>
      </c>
      <c r="R369" s="321"/>
      <c r="S369" s="321"/>
      <c r="T369" s="316">
        <f>VLOOKUP(Table2[[#This Row],[Course Title]],'TSD-Data'!$A$1:$E$80,4,FALSE)</f>
        <v>45</v>
      </c>
      <c r="U369" s="316">
        <f>VLOOKUP(Table2[[#This Row],[Course Title]],'TSD-Data'!$A$1:$F$80,6,FALSE)</f>
        <v>32</v>
      </c>
      <c r="V369" s="323">
        <f>VLOOKUP(Table2[[#This Row],[Course Title]],'TSD-Data'!$A$1:$F$80,5,FALSE)</f>
        <v>4</v>
      </c>
      <c r="W369" s="323">
        <v>864</v>
      </c>
      <c r="X369" s="316"/>
      <c r="Y369" s="316"/>
      <c r="Z369" s="323"/>
      <c r="AA369" s="323"/>
      <c r="AB369" s="316"/>
      <c r="AC369" s="316"/>
      <c r="AD369" s="316"/>
      <c r="AE369" s="316"/>
      <c r="AF369" s="323">
        <f ca="1">Table2[[#This Row],[End Date]]+2-TODAY()</f>
        <v>137</v>
      </c>
      <c r="AG369" s="316">
        <f>IF(ISBLANK(Table2[[#This Row],[Roster Received by]]),1,0)</f>
        <v>1</v>
      </c>
      <c r="AH369" s="316">
        <f ca="1">IF(Table2[[#This Row],[Start Date]]&gt;TODAY(),1,)</f>
        <v>1</v>
      </c>
      <c r="AI369" s="316">
        <f>IF(ISBLANK(Table2[[#This Row],[Primary Instructor]]),0,1)</f>
        <v>1</v>
      </c>
      <c r="AJ369" s="316">
        <f>IF(ISBLANK(Table2[[#This Row],[Instructor 2]]),0,1)</f>
        <v>0</v>
      </c>
      <c r="AK369" s="316">
        <f>Table2[[#This Row],[Course Length (Hours)]]/(SUM(Table2[[#This Row],[1]:[2]]))</f>
        <v>32</v>
      </c>
      <c r="AL369" s="124"/>
      <c r="AM369" s="316">
        <v>3</v>
      </c>
      <c r="AN369" s="363" t="str">
        <f>VLOOKUP(Table2[[#This Row],[Course Title]],'TSD-Data'!$A$1:$G$80,7,FALSE)</f>
        <v>N5</v>
      </c>
    </row>
    <row r="370" spans="2:40" s="428" customFormat="1" x14ac:dyDescent="0.25">
      <c r="B370" s="315"/>
      <c r="C370" s="364" t="s">
        <v>65</v>
      </c>
      <c r="D370" s="316" t="str">
        <f>VLOOKUP(Table2[[#This Row],[Course Title]],'TSD-Data'!$A$1:$E$80,2,FALSE)</f>
        <v>A-493-0099</v>
      </c>
      <c r="E370" s="316" t="str">
        <f>VLOOKUP(Table2[[#This Row],[Course Title]],'TSD-Data'!$A$1:$E$80,3,FALSE)</f>
        <v>12JW</v>
      </c>
      <c r="F370" s="315" t="s">
        <v>25</v>
      </c>
      <c r="G370" s="317">
        <v>46140</v>
      </c>
      <c r="H370" s="317">
        <v>46142</v>
      </c>
      <c r="I370" s="317" t="s">
        <v>163</v>
      </c>
      <c r="J370" s="318"/>
      <c r="K370" s="345">
        <v>0.33333333333333331</v>
      </c>
      <c r="L370" s="345">
        <v>0.20833333333333334</v>
      </c>
      <c r="M370" s="345">
        <v>0.625</v>
      </c>
      <c r="N370" s="345">
        <v>0.54166666666666663</v>
      </c>
      <c r="O370" s="345">
        <v>8.3333333333333329E-2</v>
      </c>
      <c r="P370" s="345">
        <v>0.875</v>
      </c>
      <c r="Q370" s="321" t="s">
        <v>273</v>
      </c>
      <c r="R370" s="321"/>
      <c r="S370" s="321"/>
      <c r="T370" s="316">
        <f>VLOOKUP(Table2[[#This Row],[Course Title]],'TSD-Data'!$A$1:$E$80,4,FALSE)</f>
        <v>45</v>
      </c>
      <c r="U370" s="316">
        <f>VLOOKUP(Table2[[#This Row],[Course Title]],'TSD-Data'!$A$1:$F$80,6,FALSE)</f>
        <v>24</v>
      </c>
      <c r="V370" s="323">
        <f>VLOOKUP(Table2[[#This Row],[Course Title]],'TSD-Data'!$A$1:$F$80,5,FALSE)</f>
        <v>3</v>
      </c>
      <c r="W370" s="323">
        <v>334</v>
      </c>
      <c r="X370" s="316"/>
      <c r="Y370" s="316"/>
      <c r="Z370" s="323"/>
      <c r="AA370" s="323"/>
      <c r="AB370" s="316"/>
      <c r="AC370" s="316"/>
      <c r="AD370" s="316"/>
      <c r="AE370" s="316"/>
      <c r="AF370" s="323">
        <f ca="1">Table2[[#This Row],[End Date]]+2-TODAY()</f>
        <v>137</v>
      </c>
      <c r="AG370" s="316">
        <f>IF(ISBLANK(Table2[[#This Row],[Roster Received by]]),1,0)</f>
        <v>1</v>
      </c>
      <c r="AH370" s="316">
        <f ca="1">IF(Table2[[#This Row],[Start Date]]&gt;TODAY(),1,)</f>
        <v>1</v>
      </c>
      <c r="AI370" s="316">
        <f>IF(ISBLANK(Table2[[#This Row],[Primary Instructor]]),0,1)</f>
        <v>1</v>
      </c>
      <c r="AJ370" s="316">
        <f>IF(ISBLANK(Table2[[#This Row],[Instructor 2]]),0,1)</f>
        <v>0</v>
      </c>
      <c r="AK370" s="316">
        <f>Table2[[#This Row],[Course Length (Hours)]]/(SUM(Table2[[#This Row],[1]:[2]]))</f>
        <v>24</v>
      </c>
      <c r="AL370" s="124"/>
      <c r="AM370" s="316">
        <v>3</v>
      </c>
      <c r="AN370" s="363" t="str">
        <f>VLOOKUP(Table2[[#This Row],[Course Title]],'TSD-Data'!$A$1:$G$80,7,FALSE)</f>
        <v>N5</v>
      </c>
    </row>
    <row r="371" spans="2:40" s="428" customFormat="1" x14ac:dyDescent="0.25">
      <c r="B371" s="315"/>
      <c r="C371" s="439" t="s">
        <v>94</v>
      </c>
      <c r="D371" s="316" t="str">
        <f>VLOOKUP(Table2[[#This Row],[Course Title]],'TSD-Data'!$A$1:$E$80,2,FALSE)</f>
        <v>A-493-0331</v>
      </c>
      <c r="E371" s="316" t="str">
        <f>VLOOKUP(Table2[[#This Row],[Course Title]],'TSD-Data'!$A$1:$E$80,3,FALSE)</f>
        <v>10UG</v>
      </c>
      <c r="F371" s="364" t="s">
        <v>25</v>
      </c>
      <c r="G371" s="344">
        <v>46140</v>
      </c>
      <c r="H371" s="344">
        <v>46142</v>
      </c>
      <c r="I371" s="317" t="s">
        <v>163</v>
      </c>
      <c r="J371" s="318"/>
      <c r="K371" s="318">
        <v>0.5</v>
      </c>
      <c r="L371" s="431">
        <v>0.375</v>
      </c>
      <c r="M371" s="431">
        <v>0.79166666666666663</v>
      </c>
      <c r="N371" s="431">
        <v>0.75</v>
      </c>
      <c r="O371" s="431">
        <v>0.25</v>
      </c>
      <c r="P371" s="431">
        <v>4.1666666666666664E-2</v>
      </c>
      <c r="Q371" s="321" t="s">
        <v>174</v>
      </c>
      <c r="R371" s="321"/>
      <c r="S371" s="321"/>
      <c r="T371" s="316">
        <f>VLOOKUP(Table2[[#This Row],[Course Title]],'TSD-Data'!$A$1:$E$80,4,FALSE)</f>
        <v>45</v>
      </c>
      <c r="U371" s="316">
        <f>VLOOKUP(Table2[[#This Row],[Course Title]],'TSD-Data'!$A$1:$F$80,6,FALSE)</f>
        <v>24</v>
      </c>
      <c r="V371" s="323">
        <f>VLOOKUP(Table2[[#This Row],[Course Title]],'TSD-Data'!$A$1:$F$80,5,FALSE)</f>
        <v>3</v>
      </c>
      <c r="W371" s="323">
        <v>844</v>
      </c>
      <c r="X371" s="316"/>
      <c r="Y371" s="316"/>
      <c r="Z371" s="323"/>
      <c r="AA371" s="323"/>
      <c r="AB371" s="316"/>
      <c r="AC371" s="316"/>
      <c r="AD371" s="316"/>
      <c r="AE371" s="316"/>
      <c r="AF371" s="323">
        <f ca="1">Table2[[#This Row],[End Date]]+2-TODAY()</f>
        <v>137</v>
      </c>
      <c r="AG371" s="316">
        <f>IF(ISBLANK(Table2[[#This Row],[Roster Received by]]),1,0)</f>
        <v>1</v>
      </c>
      <c r="AH371" s="316">
        <f ca="1">IF(Table2[[#This Row],[Start Date]]&gt;TODAY(),1,)</f>
        <v>1</v>
      </c>
      <c r="AI371" s="316">
        <f>IF(ISBLANK(Table2[[#This Row],[Primary Instructor]]),0,1)</f>
        <v>1</v>
      </c>
      <c r="AJ371" s="316">
        <f>IF(ISBLANK(Table2[[#This Row],[Instructor 2]]),0,1)</f>
        <v>0</v>
      </c>
      <c r="AK371" s="316">
        <f>Table2[[#This Row],[Course Length (Hours)]]/(SUM(Table2[[#This Row],[1]:[2]]))</f>
        <v>24</v>
      </c>
      <c r="AL371" s="124"/>
      <c r="AM371" s="316">
        <v>3</v>
      </c>
      <c r="AN371" s="363" t="str">
        <f>VLOOKUP(Table2[[#This Row],[Course Title]],'TSD-Data'!$A$1:$G$80,7,FALSE)</f>
        <v>N3</v>
      </c>
    </row>
    <row r="372" spans="2:40" s="428" customFormat="1" x14ac:dyDescent="0.25">
      <c r="B372" s="315"/>
      <c r="C372" s="364" t="s">
        <v>80</v>
      </c>
      <c r="D372" s="316" t="str">
        <f>VLOOKUP(Table2[[#This Row],[Course Title]],'TSD-Data'!$A$1:$E$80,2,FALSE)</f>
        <v>A-493-0083</v>
      </c>
      <c r="E372" s="316" t="str">
        <f>VLOOKUP(Table2[[#This Row],[Course Title]],'TSD-Data'!$A$1:$E$80,3,FALSE)</f>
        <v>339E</v>
      </c>
      <c r="F372" s="315" t="s">
        <v>25</v>
      </c>
      <c r="G372" s="317">
        <v>46142</v>
      </c>
      <c r="H372" s="317">
        <v>46142</v>
      </c>
      <c r="I372" s="341" t="s">
        <v>167</v>
      </c>
      <c r="J372" s="318">
        <v>0.33333333333333331</v>
      </c>
      <c r="K372" s="318"/>
      <c r="L372" s="317"/>
      <c r="M372" s="317"/>
      <c r="N372" s="317"/>
      <c r="O372" s="317"/>
      <c r="P372" s="317"/>
      <c r="Q372" s="321" t="s">
        <v>168</v>
      </c>
      <c r="R372" s="321"/>
      <c r="S372" s="321"/>
      <c r="T372" s="316">
        <f>VLOOKUP(Table2[[#This Row],[Course Title]],'TSD-Data'!$A$1:$E$80,4,FALSE)</f>
        <v>30</v>
      </c>
      <c r="U372" s="316">
        <f>VLOOKUP(Table2[[#This Row],[Course Title]],'TSD-Data'!$A$1:$F$80,6,FALSE)</f>
        <v>8</v>
      </c>
      <c r="V372" s="323">
        <f>VLOOKUP(Table2[[#This Row],[Course Title]],'TSD-Data'!$A$1:$F$80,5,FALSE)</f>
        <v>1</v>
      </c>
      <c r="W372" s="323">
        <v>20</v>
      </c>
      <c r="X372" s="316"/>
      <c r="Y372" s="316"/>
      <c r="Z372" s="323"/>
      <c r="AA372" s="323"/>
      <c r="AB372" s="363"/>
      <c r="AC372" s="363"/>
      <c r="AD372" s="316"/>
      <c r="AE372" s="316"/>
      <c r="AF372" s="323">
        <f ca="1">Table2[[#This Row],[End Date]]+2-TODAY()</f>
        <v>137</v>
      </c>
      <c r="AG372" s="316">
        <f>IF(ISBLANK(Table2[[#This Row],[Roster Received by]]),1,0)</f>
        <v>1</v>
      </c>
      <c r="AH372" s="316">
        <f ca="1">IF(Table2[[#This Row],[Start Date]]&gt;TODAY(),1,)</f>
        <v>1</v>
      </c>
      <c r="AI372" s="316">
        <f>IF(ISBLANK(Table2[[#This Row],[Primary Instructor]]),0,1)</f>
        <v>1</v>
      </c>
      <c r="AJ372" s="316">
        <f>IF(ISBLANK(Table2[[#This Row],[Instructor 2]]),0,1)</f>
        <v>0</v>
      </c>
      <c r="AK372" s="316">
        <f>Table2[[#This Row],[Course Length (Hours)]]/(SUM(Table2[[#This Row],[1]:[2]]))</f>
        <v>8</v>
      </c>
      <c r="AL372" s="638"/>
      <c r="AM372" s="316">
        <v>3</v>
      </c>
      <c r="AN372" s="363" t="str">
        <f>VLOOKUP(Table2[[#This Row],[Course Title]],'TSD-Data'!$A$1:$G$80,7,FALSE)</f>
        <v>N4</v>
      </c>
    </row>
    <row r="373" spans="2:40" s="428" customFormat="1" x14ac:dyDescent="0.25">
      <c r="B373" s="315"/>
      <c r="C373" s="364" t="s">
        <v>52</v>
      </c>
      <c r="D373" s="316" t="str">
        <f>VLOOKUP(Table2[[#This Row],[Course Title]],'TSD-Data'!$A$1:$E$80,2,FALSE)</f>
        <v>A-493-0030</v>
      </c>
      <c r="E373" s="316" t="str">
        <f>VLOOKUP(Table2[[#This Row],[Course Title]],'TSD-Data'!$A$1:$E$80,3,FALSE)</f>
        <v>286X</v>
      </c>
      <c r="F373" s="315" t="s">
        <v>25</v>
      </c>
      <c r="G373" s="317">
        <v>46146</v>
      </c>
      <c r="H373" s="317">
        <v>46150</v>
      </c>
      <c r="I373" s="317" t="s">
        <v>163</v>
      </c>
      <c r="J373" s="329"/>
      <c r="K373" s="345">
        <v>0.33333333333333331</v>
      </c>
      <c r="L373" s="345">
        <v>0.20833333333333334</v>
      </c>
      <c r="M373" s="318">
        <v>0.625</v>
      </c>
      <c r="N373" s="318">
        <v>0.54166666666666663</v>
      </c>
      <c r="O373" s="318">
        <v>8.3333333333333329E-2</v>
      </c>
      <c r="P373" s="318">
        <v>0.875</v>
      </c>
      <c r="Q373" s="321" t="s">
        <v>437</v>
      </c>
      <c r="R373" s="321"/>
      <c r="S373" s="321"/>
      <c r="T373" s="316">
        <f>VLOOKUP(Table2[[#This Row],[Course Title]],'TSD-Data'!$A$1:$E$80,4,FALSE)</f>
        <v>25</v>
      </c>
      <c r="U373" s="316">
        <f>VLOOKUP(Table2[[#This Row],[Course Title]],'TSD-Data'!$A$1:$F$80,6,FALSE)</f>
        <v>40</v>
      </c>
      <c r="V373" s="323">
        <f>VLOOKUP(Table2[[#This Row],[Course Title]],'TSD-Data'!$A$1:$F$80,5,FALSE)</f>
        <v>5</v>
      </c>
      <c r="W373" s="323">
        <v>0</v>
      </c>
      <c r="X373" s="316"/>
      <c r="Y373" s="316"/>
      <c r="Z373" s="323"/>
      <c r="AA373" s="323"/>
      <c r="AB373" s="316"/>
      <c r="AC373" s="316"/>
      <c r="AD373" s="316"/>
      <c r="AE373" s="316"/>
      <c r="AF373" s="323">
        <f ca="1">Table2[[#This Row],[End Date]]+2-TODAY()</f>
        <v>145</v>
      </c>
      <c r="AG373" s="316">
        <f>IF(ISBLANK(Table2[[#This Row],[Roster Received by]]),1,0)</f>
        <v>1</v>
      </c>
      <c r="AH373" s="316">
        <f ca="1">IF(Table2[[#This Row],[Start Date]]&gt;TODAY(),1,)</f>
        <v>1</v>
      </c>
      <c r="AI373" s="316">
        <f>IF(ISBLANK(Table2[[#This Row],[Primary Instructor]]),0,1)</f>
        <v>1</v>
      </c>
      <c r="AJ373" s="316">
        <f>IF(ISBLANK(Table2[[#This Row],[Instructor 2]]),0,1)</f>
        <v>0</v>
      </c>
      <c r="AK373" s="316">
        <f>Table2[[#This Row],[Course Length (Hours)]]/(SUM(Table2[[#This Row],[1]:[2]]))</f>
        <v>40</v>
      </c>
      <c r="AL373" s="124"/>
      <c r="AM373" s="316">
        <v>3</v>
      </c>
      <c r="AN373" s="363" t="str">
        <f>VLOOKUP(Table2[[#This Row],[Course Title]],'TSD-Data'!$A$1:$G$80,7,FALSE)</f>
        <v>N3</v>
      </c>
    </row>
    <row r="374" spans="2:40" s="428" customFormat="1" x14ac:dyDescent="0.25">
      <c r="B374" s="437" t="s">
        <v>483</v>
      </c>
      <c r="C374" s="343" t="s">
        <v>61</v>
      </c>
      <c r="D374" s="316" t="str">
        <f>VLOOKUP(Table2[[#This Row],[Course Title]],'TSD-Data'!$A$1:$E$80,2,FALSE)</f>
        <v>A-493-0012</v>
      </c>
      <c r="E374" s="316">
        <f>VLOOKUP(Table2[[#This Row],[Course Title]],'TSD-Data'!$A$1:$E$80,3,FALSE)</f>
        <v>3682</v>
      </c>
      <c r="F374" s="342" t="s">
        <v>305</v>
      </c>
      <c r="G374" s="416">
        <v>46146</v>
      </c>
      <c r="H374" s="416">
        <v>46150</v>
      </c>
      <c r="I374" s="341" t="s">
        <v>167</v>
      </c>
      <c r="J374" s="318">
        <v>0.33333333333333331</v>
      </c>
      <c r="K374" s="345"/>
      <c r="L374" s="344"/>
      <c r="M374" s="344"/>
      <c r="N374" s="344"/>
      <c r="O374" s="344"/>
      <c r="P374" s="344"/>
      <c r="Q374" s="321" t="s">
        <v>438</v>
      </c>
      <c r="R374" s="321"/>
      <c r="S374" s="321"/>
      <c r="T374" s="316">
        <f>VLOOKUP(Table2[[#This Row],[Course Title]],'TSD-Data'!$A$1:$E$80,4,FALSE)</f>
        <v>40</v>
      </c>
      <c r="U374" s="316">
        <f>VLOOKUP(Table2[[#This Row],[Course Title]],'TSD-Data'!$A$1:$F$80,6,FALSE)</f>
        <v>40</v>
      </c>
      <c r="V374" s="323">
        <f>VLOOKUP(Table2[[#This Row],[Course Title]],'TSD-Data'!$A$1:$F$80,5,FALSE)</f>
        <v>5</v>
      </c>
      <c r="W374" s="316">
        <v>30</v>
      </c>
      <c r="X374" s="316"/>
      <c r="Y374" s="316"/>
      <c r="Z374" s="323"/>
      <c r="AA374" s="323"/>
      <c r="AB374" s="316"/>
      <c r="AC374" s="316"/>
      <c r="AD374" s="316"/>
      <c r="AE374" s="316"/>
      <c r="AF374" s="323">
        <f ca="1">Table2[[#This Row],[End Date]]+2-TODAY()</f>
        <v>145</v>
      </c>
      <c r="AG374" s="316">
        <f>IF(ISBLANK(Table2[[#This Row],[Roster Received by]]),1,0)</f>
        <v>1</v>
      </c>
      <c r="AH374" s="316">
        <f ca="1">IF(Table2[[#This Row],[Start Date]]&gt;TODAY(),1,)</f>
        <v>1</v>
      </c>
      <c r="AI374" s="316">
        <f>IF(ISBLANK(Table2[[#This Row],[Primary Instructor]]),0,1)</f>
        <v>1</v>
      </c>
      <c r="AJ374" s="316">
        <f>IF(ISBLANK(Table2[[#This Row],[Instructor 2]]),0,1)</f>
        <v>0</v>
      </c>
      <c r="AK374" s="316">
        <f>Table2[[#This Row],[Course Length (Hours)]]/(SUM(Table2[[#This Row],[1]:[2]]))</f>
        <v>40</v>
      </c>
      <c r="AL374" s="124"/>
      <c r="AM374" s="316">
        <v>3</v>
      </c>
      <c r="AN374" s="363" t="str">
        <f>VLOOKUP(Table2[[#This Row],[Course Title]],'TSD-Data'!$A$1:$G$80,7,FALSE)</f>
        <v>N4</v>
      </c>
    </row>
    <row r="375" spans="2:40" s="428" customFormat="1" x14ac:dyDescent="0.25">
      <c r="B375" s="315" t="s">
        <v>484</v>
      </c>
      <c r="C375" s="364" t="s">
        <v>63</v>
      </c>
      <c r="D375" s="316" t="str">
        <f>VLOOKUP(Table2[[#This Row],[Course Title]],'TSD-Data'!$A$1:$E$80,2,FALSE)</f>
        <v>A-493-0013</v>
      </c>
      <c r="E375" s="316">
        <f>VLOOKUP(Table2[[#This Row],[Course Title]],'TSD-Data'!$A$1:$E$80,3,FALSE)</f>
        <v>3683</v>
      </c>
      <c r="F375" s="315" t="s">
        <v>318</v>
      </c>
      <c r="G375" s="317">
        <v>46146</v>
      </c>
      <c r="H375" s="317">
        <v>46148</v>
      </c>
      <c r="I375" s="341" t="s">
        <v>167</v>
      </c>
      <c r="J375" s="318">
        <v>0.33333333333333331</v>
      </c>
      <c r="K375" s="318"/>
      <c r="L375" s="344"/>
      <c r="M375" s="317"/>
      <c r="N375" s="317"/>
      <c r="O375" s="317"/>
      <c r="P375" s="317"/>
      <c r="Q375" s="321" t="s">
        <v>453</v>
      </c>
      <c r="R375" s="321"/>
      <c r="S375" s="321"/>
      <c r="T375" s="316">
        <f>VLOOKUP(Table2[[#This Row],[Course Title]],'TSD-Data'!$A$1:$E$80,4,FALSE)</f>
        <v>40</v>
      </c>
      <c r="U375" s="316">
        <f>VLOOKUP(Table2[[#This Row],[Course Title]],'TSD-Data'!$A$1:$F$80,6,FALSE)</f>
        <v>24</v>
      </c>
      <c r="V375" s="323">
        <f>VLOOKUP(Table2[[#This Row],[Course Title]],'TSD-Data'!$A$1:$F$80,5,FALSE)</f>
        <v>3</v>
      </c>
      <c r="W375" s="323">
        <v>30</v>
      </c>
      <c r="X375" s="316"/>
      <c r="Y375" s="316"/>
      <c r="Z375" s="323"/>
      <c r="AA375" s="323"/>
      <c r="AB375" s="363"/>
      <c r="AC375" s="363"/>
      <c r="AD375" s="316"/>
      <c r="AE375" s="316"/>
      <c r="AF375" s="323">
        <f ca="1">Table2[[#This Row],[End Date]]+2-TODAY()</f>
        <v>143</v>
      </c>
      <c r="AG375" s="316">
        <f>IF(ISBLANK(Table2[[#This Row],[Roster Received by]]),1,0)</f>
        <v>1</v>
      </c>
      <c r="AH375" s="316">
        <f ca="1">IF(Table2[[#This Row],[Start Date]]&gt;TODAY(),1,)</f>
        <v>1</v>
      </c>
      <c r="AI375" s="316">
        <f>IF(ISBLANK(Table2[[#This Row],[Primary Instructor]]),0,1)</f>
        <v>1</v>
      </c>
      <c r="AJ375" s="316">
        <f>IF(ISBLANK(Table2[[#This Row],[Instructor 2]]),0,1)</f>
        <v>0</v>
      </c>
      <c r="AK375" s="316">
        <f>Table2[[#This Row],[Course Length (Hours)]]/(SUM(Table2[[#This Row],[1]:[2]]))</f>
        <v>24</v>
      </c>
      <c r="AL375" s="638"/>
      <c r="AM375" s="316">
        <v>3</v>
      </c>
      <c r="AN375" s="363" t="str">
        <f>VLOOKUP(Table2[[#This Row],[Course Title]],'TSD-Data'!$A$1:$G$80,7,FALSE)</f>
        <v>N4</v>
      </c>
    </row>
    <row r="376" spans="2:40" s="428" customFormat="1" x14ac:dyDescent="0.25">
      <c r="B376" s="315"/>
      <c r="C376" s="364" t="s">
        <v>77</v>
      </c>
      <c r="D376" s="421" t="str">
        <f>VLOOKUP(Table2[[#This Row],[Course Title]],'TSD-Data'!$A$1:$E$80,2,FALSE)</f>
        <v>A-493-0077</v>
      </c>
      <c r="E376" s="421" t="str">
        <f>VLOOKUP(Table2[[#This Row],[Course Title]],'TSD-Data'!$A$1:$E$80,3,FALSE)</f>
        <v>0381</v>
      </c>
      <c r="F376" s="364" t="s">
        <v>173</v>
      </c>
      <c r="G376" s="344">
        <v>46146</v>
      </c>
      <c r="H376" s="344">
        <v>46148</v>
      </c>
      <c r="I376" s="341" t="s">
        <v>167</v>
      </c>
      <c r="J376" s="318">
        <v>800.33333333333337</v>
      </c>
      <c r="K376" s="318"/>
      <c r="L376" s="317"/>
      <c r="M376" s="317"/>
      <c r="N376" s="317"/>
      <c r="O376" s="317"/>
      <c r="P376" s="317"/>
      <c r="Q376" s="321" t="s">
        <v>168</v>
      </c>
      <c r="R376" s="321"/>
      <c r="S376" s="321"/>
      <c r="T376" s="316">
        <f>VLOOKUP(Table2[[#This Row],[Course Title]],'TSD-Data'!$A$1:$E$80,4,FALSE)</f>
        <v>25</v>
      </c>
      <c r="U376" s="316">
        <f>VLOOKUP(Table2[[#This Row],[Course Title]],'TSD-Data'!$A$1:$F$80,6,FALSE)</f>
        <v>24</v>
      </c>
      <c r="V376" s="323">
        <f>VLOOKUP(Table2[[#This Row],[Course Title]],'TSD-Data'!$A$1:$F$80,5,FALSE)</f>
        <v>3</v>
      </c>
      <c r="W376" s="323">
        <v>72</v>
      </c>
      <c r="X376" s="316"/>
      <c r="Y376" s="316"/>
      <c r="Z376" s="323"/>
      <c r="AA376" s="323"/>
      <c r="AB376" s="316"/>
      <c r="AC376" s="316"/>
      <c r="AD376" s="316"/>
      <c r="AE376" s="316"/>
      <c r="AF376" s="323">
        <f ca="1">Table2[[#This Row],[End Date]]+2-TODAY()</f>
        <v>143</v>
      </c>
      <c r="AG376" s="316">
        <f>IF(ISBLANK(Table2[[#This Row],[Roster Received by]]),1,0)</f>
        <v>1</v>
      </c>
      <c r="AH376" s="316">
        <f ca="1">IF(Table2[[#This Row],[Start Date]]&gt;TODAY(),1,)</f>
        <v>1</v>
      </c>
      <c r="AI376" s="316">
        <f>IF(ISBLANK(Table2[[#This Row],[Primary Instructor]]),0,1)</f>
        <v>1</v>
      </c>
      <c r="AJ376" s="316">
        <f>IF(ISBLANK(Table2[[#This Row],[Instructor 2]]),0,1)</f>
        <v>0</v>
      </c>
      <c r="AK376" s="316">
        <f>Table2[[#This Row],[Course Length (Hours)]]/(SUM(Table2[[#This Row],[1]:[2]]))</f>
        <v>24</v>
      </c>
      <c r="AL376" s="124"/>
      <c r="AM376" s="316">
        <v>3</v>
      </c>
      <c r="AN376" s="363" t="str">
        <f>VLOOKUP(Table2[[#This Row],[Course Title]],'TSD-Data'!$A$1:$G$80,7,FALSE)</f>
        <v>N4</v>
      </c>
    </row>
    <row r="377" spans="2:40" s="428" customFormat="1" x14ac:dyDescent="0.25">
      <c r="B377" s="315" t="s">
        <v>468</v>
      </c>
      <c r="C377" s="364" t="s">
        <v>389</v>
      </c>
      <c r="D377" s="316" t="str">
        <f>VLOOKUP(Table2[[#This Row],[Course Title]],'TSD-Data'!$A$1:$E$80,2,FALSE)</f>
        <v>A-493-0078</v>
      </c>
      <c r="E377" s="316" t="str">
        <f>VLOOKUP(Table2[[#This Row],[Course Title]],'TSD-Data'!$A$1:$E$80,3,FALSE)</f>
        <v>32FJ</v>
      </c>
      <c r="F377" s="364" t="s">
        <v>229</v>
      </c>
      <c r="G377" s="317">
        <v>46146</v>
      </c>
      <c r="H377" s="317">
        <v>45785</v>
      </c>
      <c r="I377" s="317" t="s">
        <v>163</v>
      </c>
      <c r="J377" s="318">
        <v>0.33333333333333331</v>
      </c>
      <c r="K377" s="345"/>
      <c r="L377" s="344"/>
      <c r="M377" s="344"/>
      <c r="N377" s="344"/>
      <c r="O377" s="344"/>
      <c r="P377" s="344"/>
      <c r="Q377" s="321" t="s">
        <v>172</v>
      </c>
      <c r="R377" s="321"/>
      <c r="S377" s="321"/>
      <c r="T377" s="316">
        <f>VLOOKUP(Table2[[#This Row],[Course Title]],'TSD-Data'!$A$1:$E$80,4,FALSE)</f>
        <v>30</v>
      </c>
      <c r="U377" s="316">
        <f>VLOOKUP(Table2[[#This Row],[Course Title]],'TSD-Data'!$A$1:$F$80,6,FALSE)</f>
        <v>32</v>
      </c>
      <c r="V377" s="323">
        <f>VLOOKUP(Table2[[#This Row],[Course Title]],'TSD-Data'!$A$1:$F$80,5,FALSE)</f>
        <v>4</v>
      </c>
      <c r="W377" s="323">
        <v>0</v>
      </c>
      <c r="X377" s="316"/>
      <c r="Y377" s="316"/>
      <c r="Z377" s="323"/>
      <c r="AA377" s="323"/>
      <c r="AB377" s="316"/>
      <c r="AC377" s="316"/>
      <c r="AD377" s="316"/>
      <c r="AE377" s="316"/>
      <c r="AF377" s="323">
        <f ca="1">Table2[[#This Row],[End Date]]+2-TODAY()</f>
        <v>-220</v>
      </c>
      <c r="AG377" s="316">
        <f>IF(ISBLANK(Table2[[#This Row],[Roster Received by]]),1,0)</f>
        <v>1</v>
      </c>
      <c r="AH377" s="316">
        <f ca="1">IF(Table2[[#This Row],[Start Date]]&gt;TODAY(),1,)</f>
        <v>1</v>
      </c>
      <c r="AI377" s="316">
        <f>IF(ISBLANK(Table2[[#This Row],[Primary Instructor]]),0,1)</f>
        <v>1</v>
      </c>
      <c r="AJ377" s="316">
        <f>IF(ISBLANK(Table2[[#This Row],[Instructor 2]]),0,1)</f>
        <v>0</v>
      </c>
      <c r="AK377" s="316">
        <f>Table2[[#This Row],[Course Length (Hours)]]/(SUM(Table2[[#This Row],[1]:[2]]))</f>
        <v>32</v>
      </c>
      <c r="AL377" s="124"/>
      <c r="AM377" s="316">
        <v>3</v>
      </c>
      <c r="AN377" s="363" t="str">
        <f>VLOOKUP(Table2[[#This Row],[Course Title]],'TSD-Data'!$A$1:$G$80,7,FALSE)</f>
        <v>N5</v>
      </c>
    </row>
    <row r="378" spans="2:40" s="428" customFormat="1" x14ac:dyDescent="0.25">
      <c r="B378" s="315"/>
      <c r="C378" s="364" t="s">
        <v>116</v>
      </c>
      <c r="D378" s="316" t="str">
        <f>VLOOKUP(Table2[[#This Row],[Course Title]],'TSD-Data'!$A$1:$E$80,2,FALSE)</f>
        <v>A-493-0072</v>
      </c>
      <c r="E378" s="316" t="str">
        <f>VLOOKUP(Table2[[#This Row],[Course Title]],'TSD-Data'!$A$1:$E$80,3,FALSE)</f>
        <v>713U</v>
      </c>
      <c r="F378" s="364" t="s">
        <v>259</v>
      </c>
      <c r="G378" s="344">
        <v>46146</v>
      </c>
      <c r="H378" s="344">
        <v>46150</v>
      </c>
      <c r="I378" s="317" t="s">
        <v>163</v>
      </c>
      <c r="J378" s="318">
        <v>0.33333333333333331</v>
      </c>
      <c r="K378" s="345"/>
      <c r="L378" s="317"/>
      <c r="M378" s="317"/>
      <c r="N378" s="317"/>
      <c r="O378" s="317"/>
      <c r="P378" s="317"/>
      <c r="Q378" s="321" t="s">
        <v>175</v>
      </c>
      <c r="R378" s="321"/>
      <c r="S378" s="321"/>
      <c r="T378" s="316">
        <f>VLOOKUP(Table2[[#This Row],[Course Title]],'TSD-Data'!$A$1:$E$80,4,FALSE)</f>
        <v>30</v>
      </c>
      <c r="U378" s="316">
        <f>VLOOKUP(Table2[[#This Row],[Course Title]],'TSD-Data'!$A$1:$F$80,6,FALSE)</f>
        <v>40</v>
      </c>
      <c r="V378" s="323">
        <f>VLOOKUP(Table2[[#This Row],[Course Title]],'TSD-Data'!$A$1:$F$80,5,FALSE)</f>
        <v>5</v>
      </c>
      <c r="W378" s="323">
        <v>50</v>
      </c>
      <c r="X378" s="316">
        <f>Table2[[#This Row],[Quotas]]-Table2[[#This Row],[Open Quotas]]</f>
        <v>17</v>
      </c>
      <c r="Y378" s="316">
        <v>0</v>
      </c>
      <c r="Z378" s="323"/>
      <c r="AA378" s="323"/>
      <c r="AB378" s="316"/>
      <c r="AC378" s="316"/>
      <c r="AD378" s="316"/>
      <c r="AE378" s="316"/>
      <c r="AF378" s="323">
        <f ca="1">Table2[[#This Row],[End Date]]+2-TODAY()</f>
        <v>145</v>
      </c>
      <c r="AG378" s="316">
        <f>IF(ISBLANK(Table2[[#This Row],[Roster Received by]]),1,0)</f>
        <v>1</v>
      </c>
      <c r="AH378" s="316">
        <f ca="1">IF(Table2[[#This Row],[Start Date]]&gt;TODAY(),1,)</f>
        <v>1</v>
      </c>
      <c r="AI378" s="316">
        <f>IF(ISBLANK(Table2[[#This Row],[Primary Instructor]]),0,1)</f>
        <v>1</v>
      </c>
      <c r="AJ378" s="316">
        <f>IF(ISBLANK(Table2[[#This Row],[Instructor 2]]),0,1)</f>
        <v>0</v>
      </c>
      <c r="AK378" s="316">
        <f>Table2[[#This Row],[Course Length (Hours)]]/(SUM(Table2[[#This Row],[1]:[2]]))</f>
        <v>40</v>
      </c>
      <c r="AL378" s="124">
        <v>13</v>
      </c>
      <c r="AM378" s="433">
        <v>2</v>
      </c>
      <c r="AN378" s="363" t="str">
        <f>VLOOKUP(Table2[[#This Row],[Course Title]],'TSD-Data'!$A$1:$G$80,7,FALSE)</f>
        <v>N3</v>
      </c>
    </row>
    <row r="379" spans="2:40" s="428" customFormat="1" x14ac:dyDescent="0.25">
      <c r="B379" s="315" t="s">
        <v>469</v>
      </c>
      <c r="C379" s="364" t="s">
        <v>116</v>
      </c>
      <c r="D379" s="316" t="str">
        <f>VLOOKUP(Table2[[#This Row],[Course Title]],'TSD-Data'!$A$1:$E$80,2,FALSE)</f>
        <v>A-493-0072</v>
      </c>
      <c r="E379" s="316" t="str">
        <f>VLOOKUP(Table2[[#This Row],[Course Title]],'TSD-Data'!$A$1:$E$80,3,FALSE)</f>
        <v>713U</v>
      </c>
      <c r="F379" s="364" t="s">
        <v>485</v>
      </c>
      <c r="G379" s="317">
        <v>46146</v>
      </c>
      <c r="H379" s="317">
        <v>46150</v>
      </c>
      <c r="I379" s="317" t="s">
        <v>163</v>
      </c>
      <c r="J379" s="318">
        <v>0.33333333333333331</v>
      </c>
      <c r="K379" s="345"/>
      <c r="L379" s="344"/>
      <c r="M379" s="344"/>
      <c r="N379" s="344"/>
      <c r="O379" s="344"/>
      <c r="P379" s="344"/>
      <c r="Q379" s="321" t="s">
        <v>174</v>
      </c>
      <c r="R379" s="321"/>
      <c r="S379" s="321" t="s">
        <v>444</v>
      </c>
      <c r="T379" s="316">
        <f>VLOOKUP(Table2[[#This Row],[Course Title]],'TSD-Data'!$A$1:$E$80,4,FALSE)</f>
        <v>30</v>
      </c>
      <c r="U379" s="316">
        <f>VLOOKUP(Table2[[#This Row],[Course Title]],'TSD-Data'!$A$1:$F$80,6,FALSE)</f>
        <v>40</v>
      </c>
      <c r="V379" s="323">
        <f>VLOOKUP(Table2[[#This Row],[Course Title]],'TSD-Data'!$A$1:$F$80,5,FALSE)</f>
        <v>5</v>
      </c>
      <c r="W379" s="323">
        <v>15</v>
      </c>
      <c r="X379" s="316"/>
      <c r="Y379" s="316"/>
      <c r="Z379" s="323"/>
      <c r="AA379" s="323"/>
      <c r="AB379" s="316"/>
      <c r="AC379" s="316"/>
      <c r="AD379" s="316"/>
      <c r="AE379" s="316"/>
      <c r="AF379" s="323">
        <f ca="1">Table2[[#This Row],[End Date]]+2-TODAY()</f>
        <v>145</v>
      </c>
      <c r="AG379" s="316">
        <f>IF(ISBLANK(Table2[[#This Row],[Roster Received by]]),1,0)</f>
        <v>1</v>
      </c>
      <c r="AH379" s="316">
        <f ca="1">IF(Table2[[#This Row],[Start Date]]&gt;TODAY(),1,)</f>
        <v>1</v>
      </c>
      <c r="AI379" s="316">
        <f>IF(ISBLANK(Table2[[#This Row],[Primary Instructor]]),0,1)</f>
        <v>1</v>
      </c>
      <c r="AJ379" s="316">
        <f>IF(ISBLANK(Table2[[#This Row],[Instructor 2]]),0,1)</f>
        <v>0</v>
      </c>
      <c r="AK379" s="316">
        <f>Table2[[#This Row],[Course Length (Hours)]]/(SUM(Table2[[#This Row],[1]:[2]]))</f>
        <v>40</v>
      </c>
      <c r="AL379" s="124"/>
      <c r="AM379" s="316">
        <v>3</v>
      </c>
      <c r="AN379" s="363" t="str">
        <f>VLOOKUP(Table2[[#This Row],[Course Title]],'TSD-Data'!$A$1:$G$80,7,FALSE)</f>
        <v>N3</v>
      </c>
    </row>
    <row r="380" spans="2:40" s="428" customFormat="1" ht="15" customHeight="1" x14ac:dyDescent="0.25">
      <c r="B380" s="315"/>
      <c r="C380" s="364" t="s">
        <v>119</v>
      </c>
      <c r="D380" s="421" t="str">
        <f>VLOOKUP(Table2[[#This Row],[Course Title]],'TSD-Data'!$A$1:$E$80,2,FALSE)</f>
        <v>A-493-2098</v>
      </c>
      <c r="E380" s="421" t="str">
        <f>VLOOKUP(Table2[[#This Row],[Course Title]],'TSD-Data'!$A$1:$E$80,3,FALSE)</f>
        <v>09WW</v>
      </c>
      <c r="F380" s="364" t="s">
        <v>25</v>
      </c>
      <c r="G380" s="344">
        <v>46146</v>
      </c>
      <c r="H380" s="344">
        <v>46148</v>
      </c>
      <c r="I380" s="317" t="s">
        <v>163</v>
      </c>
      <c r="J380" s="318"/>
      <c r="K380" s="345">
        <v>0.5</v>
      </c>
      <c r="L380" s="429">
        <v>0.375</v>
      </c>
      <c r="M380" s="429">
        <v>0.79166666666666663</v>
      </c>
      <c r="N380" s="429">
        <v>0.75</v>
      </c>
      <c r="O380" s="429">
        <v>0.25</v>
      </c>
      <c r="P380" s="429">
        <v>4.1666666666666664E-2</v>
      </c>
      <c r="Q380" s="321" t="s">
        <v>164</v>
      </c>
      <c r="R380" s="321"/>
      <c r="S380" s="321"/>
      <c r="T380" s="316">
        <f>VLOOKUP(Table2[[#This Row],[Course Title]],'TSD-Data'!$A$1:$E$80,4,FALSE)</f>
        <v>100</v>
      </c>
      <c r="U380" s="316">
        <f>VLOOKUP(Table2[[#This Row],[Course Title]],'TSD-Data'!$A$1:$F$80,6,FALSE)</f>
        <v>16</v>
      </c>
      <c r="V380" s="323">
        <f>VLOOKUP(Table2[[#This Row],[Course Title]],'TSD-Data'!$A$1:$F$80,5,FALSE)</f>
        <v>3</v>
      </c>
      <c r="W380" s="323">
        <v>1882</v>
      </c>
      <c r="X380" s="316"/>
      <c r="Y380" s="316"/>
      <c r="Z380" s="323"/>
      <c r="AA380" s="323"/>
      <c r="AB380" s="316"/>
      <c r="AC380" s="316"/>
      <c r="AD380" s="316"/>
      <c r="AE380" s="316"/>
      <c r="AF380" s="323">
        <f ca="1">Table2[[#This Row],[End Date]]+2-TODAY()</f>
        <v>143</v>
      </c>
      <c r="AG380" s="316">
        <f>IF(ISBLANK(Table2[[#This Row],[Roster Received by]]),1,0)</f>
        <v>1</v>
      </c>
      <c r="AH380" s="316">
        <f ca="1">IF(Table2[[#This Row],[Start Date]]&gt;TODAY(),1,)</f>
        <v>1</v>
      </c>
      <c r="AI380" s="316">
        <f>IF(ISBLANK(Table2[[#This Row],[Primary Instructor]]),0,1)</f>
        <v>1</v>
      </c>
      <c r="AJ380" s="316">
        <f>IF(ISBLANK(Table2[[#This Row],[Instructor 2]]),0,1)</f>
        <v>0</v>
      </c>
      <c r="AK380" s="316">
        <f>Table2[[#This Row],[Course Length (Hours)]]/(SUM(Table2[[#This Row],[1]:[2]]))</f>
        <v>16</v>
      </c>
      <c r="AL380" s="124"/>
      <c r="AM380" s="316">
        <v>3</v>
      </c>
      <c r="AN380" s="363" t="str">
        <f>VLOOKUP(Table2[[#This Row],[Course Title]],'TSD-Data'!$A$1:$G$80,7,FALSE)</f>
        <v>N8</v>
      </c>
    </row>
    <row r="381" spans="2:40" s="428" customFormat="1" x14ac:dyDescent="0.25">
      <c r="B381" s="315"/>
      <c r="C381" s="315" t="s">
        <v>125</v>
      </c>
      <c r="D381" s="316" t="str">
        <f>VLOOKUP(Table2[[#This Row],[Course Title]],'TSD-Data'!$A$1:$E$80,2,FALSE)</f>
        <v>A-493-2017</v>
      </c>
      <c r="E381" s="316" t="str">
        <f>VLOOKUP(Table2[[#This Row],[Course Title]],'TSD-Data'!$A$1:$E$80,3,FALSE)</f>
        <v>12x3</v>
      </c>
      <c r="F381" s="315" t="s">
        <v>263</v>
      </c>
      <c r="G381" s="317">
        <v>46146</v>
      </c>
      <c r="H381" s="317">
        <v>46150</v>
      </c>
      <c r="I381" s="341" t="s">
        <v>167</v>
      </c>
      <c r="J381" s="318">
        <v>0.33333333333333331</v>
      </c>
      <c r="K381" s="318"/>
      <c r="L381" s="317"/>
      <c r="M381" s="317"/>
      <c r="N381" s="317"/>
      <c r="O381" s="317"/>
      <c r="P381" s="317"/>
      <c r="Q381" s="321" t="s">
        <v>168</v>
      </c>
      <c r="R381" s="321"/>
      <c r="S381" s="321"/>
      <c r="T381" s="316">
        <f>VLOOKUP(Table2[[#This Row],[Course Title]],'TSD-Data'!$A$1:$E$80,4,FALSE)</f>
        <v>25</v>
      </c>
      <c r="U381" s="316">
        <f>VLOOKUP(Table2[[#This Row],[Course Title]],'TSD-Data'!$A$1:$F$80,6,FALSE)</f>
        <v>40</v>
      </c>
      <c r="V381" s="323">
        <f>VLOOKUP(Table2[[#This Row],[Course Title]],'TSD-Data'!$A$1:$F$80,5,FALSE)</f>
        <v>5</v>
      </c>
      <c r="W381" s="323">
        <v>49</v>
      </c>
      <c r="X381" s="316"/>
      <c r="Y381" s="316"/>
      <c r="Z381" s="323"/>
      <c r="AA381" s="323"/>
      <c r="AB381" s="363"/>
      <c r="AC381" s="363"/>
      <c r="AD381" s="316"/>
      <c r="AE381" s="316"/>
      <c r="AF381" s="323">
        <f ca="1">Table2[[#This Row],[End Date]]+2-TODAY()</f>
        <v>145</v>
      </c>
      <c r="AG381" s="316">
        <f>IF(ISBLANK(Table2[[#This Row],[Roster Received by]]),1,0)</f>
        <v>1</v>
      </c>
      <c r="AH381" s="316">
        <f ca="1">IF(Table2[[#This Row],[Start Date]]&gt;TODAY(),1,)</f>
        <v>1</v>
      </c>
      <c r="AI381" s="316">
        <f>IF(ISBLANK(Table2[[#This Row],[Primary Instructor]]),0,1)</f>
        <v>1</v>
      </c>
      <c r="AJ381" s="316">
        <f>IF(ISBLANK(Table2[[#This Row],[Instructor 2]]),0,1)</f>
        <v>0</v>
      </c>
      <c r="AK381" s="316">
        <f>Table2[[#This Row],[Course Length (Hours)]]/(SUM(Table2[[#This Row],[1]:[2]]))</f>
        <v>40</v>
      </c>
      <c r="AL381" s="638"/>
      <c r="AM381" s="316">
        <v>3</v>
      </c>
      <c r="AN381" s="363" t="str">
        <f>VLOOKUP(Table2[[#This Row],[Course Title]],'TSD-Data'!$A$1:$G$80,7,FALSE)</f>
        <v>N4</v>
      </c>
    </row>
    <row r="382" spans="2:40" s="428" customFormat="1" x14ac:dyDescent="0.25">
      <c r="B382" s="315"/>
      <c r="C382" s="315" t="s">
        <v>74</v>
      </c>
      <c r="D382" s="316" t="str">
        <f>VLOOKUP(Table2[[#This Row],[Course Title]],'TSD-Data'!$A$1:$E$80,2,FALSE)</f>
        <v>A-322-2604</v>
      </c>
      <c r="E382" s="316" t="str">
        <f>VLOOKUP(Table2[[#This Row],[Course Title]],'TSD-Data'!$A$1:$E$80,3,FALSE)</f>
        <v>10ZZ</v>
      </c>
      <c r="F382" s="315" t="s">
        <v>25</v>
      </c>
      <c r="G382" s="317">
        <v>46146</v>
      </c>
      <c r="H382" s="317">
        <v>46148</v>
      </c>
      <c r="I382" s="317" t="s">
        <v>163</v>
      </c>
      <c r="J382" s="318"/>
      <c r="K382" s="332">
        <v>0.5</v>
      </c>
      <c r="L382" s="429">
        <v>0.375</v>
      </c>
      <c r="M382" s="431">
        <v>0.79166666666666663</v>
      </c>
      <c r="N382" s="431">
        <v>0.75</v>
      </c>
      <c r="O382" s="431">
        <v>0.25</v>
      </c>
      <c r="P382" s="431">
        <v>4.1666666666666664E-2</v>
      </c>
      <c r="Q382" s="321" t="s">
        <v>431</v>
      </c>
      <c r="R382" s="321"/>
      <c r="S382" s="321"/>
      <c r="T382" s="316">
        <f>VLOOKUP(Table2[[#This Row],[Course Title]],'TSD-Data'!$A$1:$E$80,4,FALSE)</f>
        <v>45</v>
      </c>
      <c r="U382" s="316">
        <f>VLOOKUP(Table2[[#This Row],[Course Title]],'TSD-Data'!$A$1:$F$80,6,FALSE)</f>
        <v>24</v>
      </c>
      <c r="V382" s="323">
        <f>VLOOKUP(Table2[[#This Row],[Course Title]],'TSD-Data'!$A$1:$F$80,5,FALSE)</f>
        <v>3</v>
      </c>
      <c r="W382" s="323">
        <v>621</v>
      </c>
      <c r="X382" s="316"/>
      <c r="Y382" s="316"/>
      <c r="Z382" s="323"/>
      <c r="AA382" s="323"/>
      <c r="AB382" s="316"/>
      <c r="AC382" s="316"/>
      <c r="AD382" s="316"/>
      <c r="AE382" s="316"/>
      <c r="AF382" s="323">
        <f ca="1">Table2[[#This Row],[End Date]]+2-TODAY()</f>
        <v>143</v>
      </c>
      <c r="AG382" s="316">
        <f>IF(ISBLANK(Table2[[#This Row],[Roster Received by]]),1,0)</f>
        <v>1</v>
      </c>
      <c r="AH382" s="316">
        <f ca="1">IF(Table2[[#This Row],[Start Date]]&gt;TODAY(),1,)</f>
        <v>1</v>
      </c>
      <c r="AI382" s="316">
        <f>IF(ISBLANK(Table2[[#This Row],[Primary Instructor]]),0,1)</f>
        <v>1</v>
      </c>
      <c r="AJ382" s="316">
        <f>IF(ISBLANK(Table2[[#This Row],[Instructor 2]]),0,1)</f>
        <v>0</v>
      </c>
      <c r="AK382" s="316">
        <f>Table2[[#This Row],[Course Length (Hours)]]/(SUM(Table2[[#This Row],[1]:[2]]))</f>
        <v>24</v>
      </c>
      <c r="AL382" s="124"/>
      <c r="AM382" s="316">
        <v>3</v>
      </c>
      <c r="AN382" s="363" t="str">
        <f>VLOOKUP(Table2[[#This Row],[Course Title]],'TSD-Data'!$A$1:$G$80,7,FALSE)</f>
        <v>N8</v>
      </c>
    </row>
    <row r="383" spans="2:40" s="428" customFormat="1" x14ac:dyDescent="0.25">
      <c r="B383" s="315"/>
      <c r="C383" s="364" t="s">
        <v>408</v>
      </c>
      <c r="D383" s="421" t="str">
        <f>VLOOKUP(Table2[[#This Row],[Course Title]],'TSD-Data'!$A$1:$E$80,2,FALSE)</f>
        <v>A-4J-0019</v>
      </c>
      <c r="E383" s="421" t="str">
        <f>VLOOKUP(Table2[[#This Row],[Course Title]],'TSD-Data'!$A$1:$E$80,3,FALSE)</f>
        <v>28SL/285M</v>
      </c>
      <c r="F383" s="364" t="s">
        <v>441</v>
      </c>
      <c r="G383" s="344">
        <v>46146</v>
      </c>
      <c r="H383" s="344">
        <v>46150</v>
      </c>
      <c r="I383" s="317" t="s">
        <v>163</v>
      </c>
      <c r="J383" s="318">
        <v>0.3125</v>
      </c>
      <c r="K383" s="318"/>
      <c r="L383" s="317"/>
      <c r="M383" s="317"/>
      <c r="N383" s="317"/>
      <c r="O383" s="317"/>
      <c r="P383" s="317"/>
      <c r="Q383" s="321" t="s">
        <v>442</v>
      </c>
      <c r="R383" s="321" t="s">
        <v>443</v>
      </c>
      <c r="S383" s="321"/>
      <c r="T383" s="316">
        <f>VLOOKUP(Table2[[#This Row],[Course Title]],'TSD-Data'!$A$1:$E$80,4,FALSE)</f>
        <v>20</v>
      </c>
      <c r="U383" s="316">
        <f>VLOOKUP(Table2[[#This Row],[Course Title]],'TSD-Data'!$A$1:$F$80,6,FALSE)</f>
        <v>40</v>
      </c>
      <c r="V383" s="323">
        <f>VLOOKUP(Table2[[#This Row],[Course Title]],'TSD-Data'!$A$1:$F$80,5,FALSE)</f>
        <v>5</v>
      </c>
      <c r="W383" s="323">
        <v>148</v>
      </c>
      <c r="X383" s="316"/>
      <c r="Y383" s="316"/>
      <c r="Z383" s="323"/>
      <c r="AA383" s="323"/>
      <c r="AB383" s="316"/>
      <c r="AC383" s="316"/>
      <c r="AD383" s="316"/>
      <c r="AE383" s="316"/>
      <c r="AF383" s="323">
        <f ca="1">Table2[[#This Row],[End Date]]+2-TODAY()</f>
        <v>145</v>
      </c>
      <c r="AG383" s="316">
        <f>IF(ISBLANK(Table2[[#This Row],[Roster Received by]]),1,0)</f>
        <v>1</v>
      </c>
      <c r="AH383" s="316">
        <f ca="1">IF(Table2[[#This Row],[Start Date]]&gt;TODAY(),1,)</f>
        <v>1</v>
      </c>
      <c r="AI383" s="316">
        <f>IF(ISBLANK(Table2[[#This Row],[Primary Instructor]]),0,1)</f>
        <v>1</v>
      </c>
      <c r="AJ383" s="316">
        <f>IF(ISBLANK(Table2[[#This Row],[Instructor 2]]),0,1)</f>
        <v>1</v>
      </c>
      <c r="AK383" s="316">
        <f>Table2[[#This Row],[Course Length (Hours)]]/(SUM(Table2[[#This Row],[1]:[2]]))</f>
        <v>20</v>
      </c>
      <c r="AL383" s="124"/>
      <c r="AM383" s="316">
        <v>3</v>
      </c>
      <c r="AN383" s="363" t="str">
        <f>VLOOKUP(Table2[[#This Row],[Course Title]],'TSD-Data'!$A$1:$G$80,7,FALSE)</f>
        <v>N8</v>
      </c>
    </row>
    <row r="384" spans="2:40" s="428" customFormat="1" ht="15" customHeight="1" x14ac:dyDescent="0.25">
      <c r="B384" s="315"/>
      <c r="C384" s="439" t="s">
        <v>94</v>
      </c>
      <c r="D384" s="421" t="str">
        <f>VLOOKUP(Table2[[#This Row],[Course Title]],'TSD-Data'!$A$1:$E$80,2,FALSE)</f>
        <v>A-493-0331</v>
      </c>
      <c r="E384" s="421" t="str">
        <f>VLOOKUP(Table2[[#This Row],[Course Title]],'TSD-Data'!$A$1:$E$80,3,FALSE)</f>
        <v>10UG</v>
      </c>
      <c r="F384" s="364" t="s">
        <v>25</v>
      </c>
      <c r="G384" s="344">
        <v>46147</v>
      </c>
      <c r="H384" s="344">
        <v>46149</v>
      </c>
      <c r="I384" s="317" t="s">
        <v>163</v>
      </c>
      <c r="J384" s="318"/>
      <c r="K384" s="318">
        <v>0.5</v>
      </c>
      <c r="L384" s="431">
        <v>0.375</v>
      </c>
      <c r="M384" s="431">
        <v>0.79166666666666663</v>
      </c>
      <c r="N384" s="431">
        <v>0.75</v>
      </c>
      <c r="O384" s="431">
        <v>0.25</v>
      </c>
      <c r="P384" s="431">
        <v>4.1666666666666664E-2</v>
      </c>
      <c r="Q384" s="321" t="s">
        <v>436</v>
      </c>
      <c r="R384" s="321"/>
      <c r="S384" s="321"/>
      <c r="T384" s="316">
        <f>VLOOKUP(Table2[[#This Row],[Course Title]],'TSD-Data'!$A$1:$E$80,4,FALSE)</f>
        <v>45</v>
      </c>
      <c r="U384" s="316">
        <f>VLOOKUP(Table2[[#This Row],[Course Title]],'TSD-Data'!$A$1:$F$80,6,FALSE)</f>
        <v>24</v>
      </c>
      <c r="V384" s="323">
        <f>VLOOKUP(Table2[[#This Row],[Course Title]],'TSD-Data'!$A$1:$F$80,5,FALSE)</f>
        <v>3</v>
      </c>
      <c r="W384" s="323">
        <v>844</v>
      </c>
      <c r="X384" s="316"/>
      <c r="Y384" s="316"/>
      <c r="Z384" s="323"/>
      <c r="AA384" s="323"/>
      <c r="AB384" s="316"/>
      <c r="AC384" s="316"/>
      <c r="AD384" s="316"/>
      <c r="AE384" s="316"/>
      <c r="AF384" s="323">
        <f ca="1">Table2[[#This Row],[End Date]]+2-TODAY()</f>
        <v>144</v>
      </c>
      <c r="AG384" s="316">
        <f>IF(ISBLANK(Table2[[#This Row],[Roster Received by]]),1,0)</f>
        <v>1</v>
      </c>
      <c r="AH384" s="316">
        <f ca="1">IF(Table2[[#This Row],[Start Date]]&gt;TODAY(),1,)</f>
        <v>1</v>
      </c>
      <c r="AI384" s="316">
        <f>IF(ISBLANK(Table2[[#This Row],[Primary Instructor]]),0,1)</f>
        <v>1</v>
      </c>
      <c r="AJ384" s="316">
        <f>IF(ISBLANK(Table2[[#This Row],[Instructor 2]]),0,1)</f>
        <v>0</v>
      </c>
      <c r="AK384" s="316">
        <f>Table2[[#This Row],[Course Length (Hours)]]/(SUM(Table2[[#This Row],[1]:[2]]))</f>
        <v>24</v>
      </c>
      <c r="AL384" s="124"/>
      <c r="AM384" s="316">
        <v>3</v>
      </c>
      <c r="AN384" s="363" t="str">
        <f>VLOOKUP(Table2[[#This Row],[Course Title]],'TSD-Data'!$A$1:$G$80,7,FALSE)</f>
        <v>N3</v>
      </c>
    </row>
    <row r="385" spans="2:40" s="428" customFormat="1" x14ac:dyDescent="0.25">
      <c r="B385" s="315" t="s">
        <v>486</v>
      </c>
      <c r="C385" s="364" t="s">
        <v>63</v>
      </c>
      <c r="D385" s="316" t="str">
        <f>VLOOKUP(Table2[[#This Row],[Course Title]],'TSD-Data'!$A$1:$E$80,2,FALSE)</f>
        <v>A-493-0013</v>
      </c>
      <c r="E385" s="316">
        <f>VLOOKUP(Table2[[#This Row],[Course Title]],'TSD-Data'!$A$1:$E$80,3,FALSE)</f>
        <v>3683</v>
      </c>
      <c r="F385" s="315" t="s">
        <v>320</v>
      </c>
      <c r="G385" s="317">
        <v>46149</v>
      </c>
      <c r="H385" s="317">
        <v>46153</v>
      </c>
      <c r="I385" s="341" t="s">
        <v>167</v>
      </c>
      <c r="J385" s="318">
        <v>0.33333333333333331</v>
      </c>
      <c r="K385" s="318"/>
      <c r="L385" s="344"/>
      <c r="M385" s="317"/>
      <c r="N385" s="317"/>
      <c r="O385" s="317"/>
      <c r="P385" s="317"/>
      <c r="Q385" s="321" t="s">
        <v>453</v>
      </c>
      <c r="R385" s="321"/>
      <c r="S385" s="321"/>
      <c r="T385" s="316">
        <f>VLOOKUP(Table2[[#This Row],[Course Title]],'TSD-Data'!$A$1:$E$80,4,FALSE)</f>
        <v>40</v>
      </c>
      <c r="U385" s="316">
        <f>VLOOKUP(Table2[[#This Row],[Course Title]],'TSD-Data'!$A$1:$F$80,6,FALSE)</f>
        <v>24</v>
      </c>
      <c r="V385" s="323">
        <f>VLOOKUP(Table2[[#This Row],[Course Title]],'TSD-Data'!$A$1:$F$80,5,FALSE)</f>
        <v>3</v>
      </c>
      <c r="W385" s="323">
        <v>30</v>
      </c>
      <c r="X385" s="316"/>
      <c r="Y385" s="316"/>
      <c r="Z385" s="323"/>
      <c r="AA385" s="323"/>
      <c r="AB385" s="363"/>
      <c r="AC385" s="363"/>
      <c r="AD385" s="316"/>
      <c r="AE385" s="316"/>
      <c r="AF385" s="323">
        <f ca="1">Table2[[#This Row],[End Date]]+2-TODAY()</f>
        <v>148</v>
      </c>
      <c r="AG385" s="316">
        <f>IF(ISBLANK(Table2[[#This Row],[Roster Received by]]),1,0)</f>
        <v>1</v>
      </c>
      <c r="AH385" s="316">
        <f ca="1">IF(Table2[[#This Row],[Start Date]]&gt;TODAY(),1,)</f>
        <v>1</v>
      </c>
      <c r="AI385" s="316">
        <f>IF(ISBLANK(Table2[[#This Row],[Primary Instructor]]),0,1)</f>
        <v>1</v>
      </c>
      <c r="AJ385" s="316">
        <f>IF(ISBLANK(Table2[[#This Row],[Instructor 2]]),0,1)</f>
        <v>0</v>
      </c>
      <c r="AK385" s="316">
        <f>Table2[[#This Row],[Course Length (Hours)]]/(SUM(Table2[[#This Row],[1]:[2]]))</f>
        <v>24</v>
      </c>
      <c r="AL385" s="638"/>
      <c r="AM385" s="316">
        <v>3</v>
      </c>
      <c r="AN385" s="363" t="str">
        <f>VLOOKUP(Table2[[#This Row],[Course Title]],'TSD-Data'!$A$1:$G$80,7,FALSE)</f>
        <v>N4</v>
      </c>
    </row>
    <row r="386" spans="2:40" s="428" customFormat="1" x14ac:dyDescent="0.25">
      <c r="B386" s="315"/>
      <c r="C386" s="364" t="s">
        <v>80</v>
      </c>
      <c r="D386" s="316" t="str">
        <f>VLOOKUP(Table2[[#This Row],[Course Title]],'TSD-Data'!$A$1:$E$80,2,FALSE)</f>
        <v>A-493-0083</v>
      </c>
      <c r="E386" s="316" t="str">
        <f>VLOOKUP(Table2[[#This Row],[Course Title]],'TSD-Data'!$A$1:$E$80,3,FALSE)</f>
        <v>339E</v>
      </c>
      <c r="F386" s="315" t="s">
        <v>173</v>
      </c>
      <c r="G386" s="317">
        <v>46149</v>
      </c>
      <c r="H386" s="317">
        <v>46149</v>
      </c>
      <c r="I386" s="341" t="s">
        <v>167</v>
      </c>
      <c r="J386" s="318">
        <v>800.33333333333337</v>
      </c>
      <c r="K386" s="318"/>
      <c r="L386" s="317"/>
      <c r="M386" s="317"/>
      <c r="N386" s="317"/>
      <c r="O386" s="317"/>
      <c r="P386" s="317"/>
      <c r="Q386" s="321" t="s">
        <v>168</v>
      </c>
      <c r="R386" s="321"/>
      <c r="S386" s="321"/>
      <c r="T386" s="316">
        <f>VLOOKUP(Table2[[#This Row],[Course Title]],'TSD-Data'!$A$1:$E$80,4,FALSE)</f>
        <v>30</v>
      </c>
      <c r="U386" s="316">
        <f>VLOOKUP(Table2[[#This Row],[Course Title]],'TSD-Data'!$A$1:$F$80,6,FALSE)</f>
        <v>8</v>
      </c>
      <c r="V386" s="323">
        <f>VLOOKUP(Table2[[#This Row],[Course Title]],'TSD-Data'!$A$1:$F$80,5,FALSE)</f>
        <v>1</v>
      </c>
      <c r="W386" s="323">
        <v>58</v>
      </c>
      <c r="X386" s="316"/>
      <c r="Y386" s="316"/>
      <c r="Z386" s="323"/>
      <c r="AA386" s="323"/>
      <c r="AB386" s="316"/>
      <c r="AC386" s="316"/>
      <c r="AD386" s="316"/>
      <c r="AE386" s="316"/>
      <c r="AF386" s="323">
        <f ca="1">Table2[[#This Row],[End Date]]+2-TODAY()</f>
        <v>144</v>
      </c>
      <c r="AG386" s="316">
        <f>IF(ISBLANK(Table2[[#This Row],[Roster Received by]]),1,0)</f>
        <v>1</v>
      </c>
      <c r="AH386" s="316">
        <f ca="1">IF(Table2[[#This Row],[Start Date]]&gt;TODAY(),1,)</f>
        <v>1</v>
      </c>
      <c r="AI386" s="316">
        <f>IF(ISBLANK(Table2[[#This Row],[Primary Instructor]]),0,1)</f>
        <v>1</v>
      </c>
      <c r="AJ386" s="316">
        <f>IF(ISBLANK(Table2[[#This Row],[Instructor 2]]),0,1)</f>
        <v>0</v>
      </c>
      <c r="AK386" s="316">
        <f>Table2[[#This Row],[Course Length (Hours)]]/(SUM(Table2[[#This Row],[1]:[2]]))</f>
        <v>8</v>
      </c>
      <c r="AL386" s="124"/>
      <c r="AM386" s="316">
        <v>3</v>
      </c>
      <c r="AN386" s="363" t="str">
        <f>VLOOKUP(Table2[[#This Row],[Course Title]],'TSD-Data'!$A$1:$G$80,7,FALSE)</f>
        <v>N4</v>
      </c>
    </row>
    <row r="387" spans="2:40" s="428" customFormat="1" x14ac:dyDescent="0.25">
      <c r="B387" s="315"/>
      <c r="C387" s="364" t="s">
        <v>80</v>
      </c>
      <c r="D387" s="421" t="str">
        <f>VLOOKUP(Table2[[#This Row],[Course Title]],'TSD-Data'!$A$1:$E$80,2,FALSE)</f>
        <v>A-493-0083</v>
      </c>
      <c r="E387" s="421" t="str">
        <f>VLOOKUP(Table2[[#This Row],[Course Title]],'TSD-Data'!$A$1:$E$80,3,FALSE)</f>
        <v>339E</v>
      </c>
      <c r="F387" s="364" t="s">
        <v>173</v>
      </c>
      <c r="G387" s="344">
        <v>46150</v>
      </c>
      <c r="H387" s="344">
        <v>46150</v>
      </c>
      <c r="I387" s="341" t="s">
        <v>167</v>
      </c>
      <c r="J387" s="318">
        <v>0.33333333333333331</v>
      </c>
      <c r="K387" s="318"/>
      <c r="L387" s="317"/>
      <c r="M387" s="317"/>
      <c r="N387" s="317"/>
      <c r="O387" s="317"/>
      <c r="P387" s="317"/>
      <c r="Q387" s="321" t="s">
        <v>168</v>
      </c>
      <c r="R387" s="321"/>
      <c r="S387" s="321"/>
      <c r="T387" s="316">
        <f>VLOOKUP(Table2[[#This Row],[Course Title]],'TSD-Data'!$A$1:$E$80,4,FALSE)</f>
        <v>30</v>
      </c>
      <c r="U387" s="316">
        <f>VLOOKUP(Table2[[#This Row],[Course Title]],'TSD-Data'!$A$1:$F$80,6,FALSE)</f>
        <v>8</v>
      </c>
      <c r="V387" s="323">
        <f>VLOOKUP(Table2[[#This Row],[Course Title]],'TSD-Data'!$A$1:$F$80,5,FALSE)</f>
        <v>1</v>
      </c>
      <c r="W387" s="323">
        <v>58</v>
      </c>
      <c r="X387" s="316"/>
      <c r="Y387" s="316"/>
      <c r="Z387" s="323"/>
      <c r="AA387" s="323"/>
      <c r="AB387" s="363"/>
      <c r="AC387" s="363"/>
      <c r="AD387" s="316"/>
      <c r="AE387" s="316"/>
      <c r="AF387" s="323">
        <f ca="1">Table2[[#This Row],[End Date]]+2-TODAY()</f>
        <v>145</v>
      </c>
      <c r="AG387" s="316">
        <f>IF(ISBLANK(Table2[[#This Row],[Roster Received by]]),1,0)</f>
        <v>1</v>
      </c>
      <c r="AH387" s="316">
        <f ca="1">IF(Table2[[#This Row],[Start Date]]&gt;TODAY(),1,)</f>
        <v>1</v>
      </c>
      <c r="AI387" s="316">
        <f>IF(ISBLANK(Table2[[#This Row],[Primary Instructor]]),0,1)</f>
        <v>1</v>
      </c>
      <c r="AJ387" s="316">
        <f>IF(ISBLANK(Table2[[#This Row],[Instructor 2]]),0,1)</f>
        <v>0</v>
      </c>
      <c r="AK387" s="316">
        <f>Table2[[#This Row],[Course Length (Hours)]]/(SUM(Table2[[#This Row],[1]:[2]]))</f>
        <v>8</v>
      </c>
      <c r="AL387" s="638"/>
      <c r="AM387" s="316">
        <v>3</v>
      </c>
      <c r="AN387" s="363" t="str">
        <f>VLOOKUP(Table2[[#This Row],[Course Title]],'TSD-Data'!$A$1:$G$80,7,FALSE)</f>
        <v>N4</v>
      </c>
    </row>
    <row r="388" spans="2:40" s="428" customFormat="1" x14ac:dyDescent="0.25">
      <c r="B388" s="315"/>
      <c r="C388" s="364" t="s">
        <v>48</v>
      </c>
      <c r="D388" s="316" t="str">
        <f>VLOOKUP(Table2[[#This Row],[Course Title]],'TSD-Data'!$A$1:$E$80,2,FALSE)</f>
        <v>A-493-0103</v>
      </c>
      <c r="E388" s="316" t="str">
        <f>VLOOKUP(Table2[[#This Row],[Course Title]],'TSD-Data'!$A$1:$E$80,3,FALSE)</f>
        <v>12JY</v>
      </c>
      <c r="F388" s="315" t="s">
        <v>171</v>
      </c>
      <c r="G388" s="317">
        <v>46153</v>
      </c>
      <c r="H388" s="317">
        <v>46157</v>
      </c>
      <c r="I388" s="317" t="s">
        <v>163</v>
      </c>
      <c r="J388" s="318">
        <v>0.33333333333333331</v>
      </c>
      <c r="K388" s="345"/>
      <c r="L388" s="344"/>
      <c r="M388" s="317"/>
      <c r="N388" s="317"/>
      <c r="O388" s="317"/>
      <c r="P388" s="317"/>
      <c r="Q388" s="321" t="s">
        <v>275</v>
      </c>
      <c r="R388" s="321"/>
      <c r="S388" s="321"/>
      <c r="T388" s="316">
        <f>VLOOKUP(Table2[[#This Row],[Course Title]],'TSD-Data'!$A$1:$E$80,4,FALSE)</f>
        <v>25</v>
      </c>
      <c r="U388" s="316">
        <f>VLOOKUP(Table2[[#This Row],[Course Title]],'TSD-Data'!$A$1:$F$80,6,FALSE)</f>
        <v>40</v>
      </c>
      <c r="V388" s="323">
        <f>VLOOKUP(Table2[[#This Row],[Course Title]],'TSD-Data'!$A$1:$F$80,5,FALSE)</f>
        <v>5</v>
      </c>
      <c r="W388" s="323">
        <v>25</v>
      </c>
      <c r="X388" s="316"/>
      <c r="Y388" s="316"/>
      <c r="Z388" s="323"/>
      <c r="AA388" s="323"/>
      <c r="AB388" s="316"/>
      <c r="AC388" s="316"/>
      <c r="AD388" s="316"/>
      <c r="AE388" s="316"/>
      <c r="AF388" s="323">
        <f ca="1">Table2[[#This Row],[End Date]]+2-TODAY()</f>
        <v>152</v>
      </c>
      <c r="AG388" s="316">
        <f>IF(ISBLANK(Table2[[#This Row],[Roster Received by]]),1,0)</f>
        <v>1</v>
      </c>
      <c r="AH388" s="316">
        <f ca="1">IF(Table2[[#This Row],[Start Date]]&gt;TODAY(),1,)</f>
        <v>1</v>
      </c>
      <c r="AI388" s="316">
        <f>IF(ISBLANK(Table2[[#This Row],[Primary Instructor]]),0,1)</f>
        <v>1</v>
      </c>
      <c r="AJ388" s="316">
        <f>IF(ISBLANK(Table2[[#This Row],[Instructor 2]]),0,1)</f>
        <v>0</v>
      </c>
      <c r="AK388" s="316">
        <f>Table2[[#This Row],[Course Length (Hours)]]/(SUM(Table2[[#This Row],[1]:[2]]))</f>
        <v>40</v>
      </c>
      <c r="AL388" s="124"/>
      <c r="AM388" s="316">
        <v>3</v>
      </c>
      <c r="AN388" s="363" t="str">
        <f>VLOOKUP(Table2[[#This Row],[Course Title]],'TSD-Data'!$A$1:$G$80,7,FALSE)</f>
        <v>N5</v>
      </c>
    </row>
    <row r="389" spans="2:40" s="428" customFormat="1" x14ac:dyDescent="0.25">
      <c r="B389" s="315"/>
      <c r="C389" s="364" t="s">
        <v>23</v>
      </c>
      <c r="D389" s="316" t="str">
        <f>VLOOKUP(Table2[[#This Row],[Course Title]],'TSD-Data'!$A$1:$E$80,2,FALSE)</f>
        <v>A-4J-0022</v>
      </c>
      <c r="E389" s="316" t="str">
        <f>VLOOKUP(Table2[[#This Row],[Course Title]],'TSD-Data'!$A$1:$E$80,3,FALSE)</f>
        <v>09ER</v>
      </c>
      <c r="F389" s="315" t="s">
        <v>25</v>
      </c>
      <c r="G389" s="317">
        <v>46153</v>
      </c>
      <c r="H389" s="317">
        <v>46157</v>
      </c>
      <c r="I389" s="317" t="s">
        <v>163</v>
      </c>
      <c r="J389" s="318"/>
      <c r="K389" s="429">
        <v>0.5</v>
      </c>
      <c r="L389" s="429">
        <v>0.375</v>
      </c>
      <c r="M389" s="429">
        <v>0.79166666666666663</v>
      </c>
      <c r="N389" s="429">
        <v>0.75</v>
      </c>
      <c r="O389" s="429">
        <v>0.25</v>
      </c>
      <c r="P389" s="429">
        <v>4.1666666666666664E-2</v>
      </c>
      <c r="Q389" s="321" t="s">
        <v>436</v>
      </c>
      <c r="R389" s="321"/>
      <c r="S389" s="321"/>
      <c r="T389" s="316">
        <f>VLOOKUP(Table2[[#This Row],[Course Title]],'TSD-Data'!$A$1:$E$80,4,FALSE)</f>
        <v>45</v>
      </c>
      <c r="U389" s="316">
        <f>VLOOKUP(Table2[[#This Row],[Course Title]],'TSD-Data'!$A$1:$F$80,6,FALSE)</f>
        <v>16</v>
      </c>
      <c r="V389" s="323">
        <f>VLOOKUP(Table2[[#This Row],[Course Title]],'TSD-Data'!$A$1:$F$80,5,FALSE)</f>
        <v>2</v>
      </c>
      <c r="W389" s="323">
        <v>130</v>
      </c>
      <c r="X389" s="316"/>
      <c r="Y389" s="316"/>
      <c r="Z389" s="323"/>
      <c r="AA389" s="323"/>
      <c r="AB389" s="316"/>
      <c r="AC389" s="316"/>
      <c r="AD389" s="316"/>
      <c r="AE389" s="316"/>
      <c r="AF389" s="323">
        <f ca="1">Table2[[#This Row],[End Date]]+2-TODAY()</f>
        <v>152</v>
      </c>
      <c r="AG389" s="316">
        <f>IF(ISBLANK(Table2[[#This Row],[Roster Received by]]),1,0)</f>
        <v>1</v>
      </c>
      <c r="AH389" s="316">
        <f ca="1">IF(Table2[[#This Row],[Start Date]]&gt;TODAY(),1,)</f>
        <v>1</v>
      </c>
      <c r="AI389" s="316">
        <f>IF(ISBLANK(Table2[[#This Row],[Primary Instructor]]),0,1)</f>
        <v>1</v>
      </c>
      <c r="AJ389" s="316">
        <f>IF(ISBLANK(Table2[[#This Row],[Instructor 2]]),0,1)</f>
        <v>0</v>
      </c>
      <c r="AK389" s="316">
        <f>Table2[[#This Row],[Course Length (Hours)]]/(SUM(Table2[[#This Row],[1]:[2]]))</f>
        <v>16</v>
      </c>
      <c r="AL389" s="124"/>
      <c r="AM389" s="316">
        <v>3</v>
      </c>
      <c r="AN389" s="363" t="str">
        <f>VLOOKUP(Table2[[#This Row],[Course Title]],'TSD-Data'!$A$1:$G$80,7,FALSE)</f>
        <v>N4</v>
      </c>
    </row>
    <row r="390" spans="2:40" s="428" customFormat="1" x14ac:dyDescent="0.25">
      <c r="B390" s="315"/>
      <c r="C390" s="364" t="s">
        <v>55</v>
      </c>
      <c r="D390" s="316" t="str">
        <f>VLOOKUP(Table2[[#This Row],[Course Title]],'TSD-Data'!$A$1:$E$80,2,FALSE)</f>
        <v>A-493-0021</v>
      </c>
      <c r="E390" s="316" t="str">
        <f>VLOOKUP(Table2[[#This Row],[Course Title]],'TSD-Data'!$A$1:$E$80,3,FALSE)</f>
        <v>18BN</v>
      </c>
      <c r="F390" s="315" t="s">
        <v>256</v>
      </c>
      <c r="G390" s="317">
        <v>46153</v>
      </c>
      <c r="H390" s="317">
        <v>46157</v>
      </c>
      <c r="I390" s="317" t="s">
        <v>163</v>
      </c>
      <c r="J390" s="318">
        <v>0.33333333333333331</v>
      </c>
      <c r="K390" s="318"/>
      <c r="L390" s="344"/>
      <c r="M390" s="317"/>
      <c r="N390" s="317"/>
      <c r="O390" s="317"/>
      <c r="P390" s="317"/>
      <c r="Q390" s="321" t="s">
        <v>275</v>
      </c>
      <c r="R390" s="321"/>
      <c r="S390" s="321"/>
      <c r="T390" s="316">
        <f>VLOOKUP(Table2[[#This Row],[Course Title]],'TSD-Data'!$A$1:$E$80,4,FALSE)</f>
        <v>35</v>
      </c>
      <c r="U390" s="316">
        <f>VLOOKUP(Table2[[#This Row],[Course Title]],'TSD-Data'!$A$1:$F$80,6,FALSE)</f>
        <v>30</v>
      </c>
      <c r="V390" s="323">
        <f>VLOOKUP(Table2[[#This Row],[Course Title]],'TSD-Data'!$A$1:$F$80,5,FALSE)</f>
        <v>5</v>
      </c>
      <c r="W390" s="323">
        <v>8</v>
      </c>
      <c r="X390" s="316"/>
      <c r="Y390" s="316"/>
      <c r="Z390" s="323"/>
      <c r="AA390" s="323"/>
      <c r="AB390" s="316"/>
      <c r="AC390" s="316"/>
      <c r="AD390" s="316"/>
      <c r="AE390" s="316"/>
      <c r="AF390" s="323">
        <f ca="1">Table2[[#This Row],[End Date]]+2-TODAY()</f>
        <v>152</v>
      </c>
      <c r="AG390" s="316">
        <f>IF(ISBLANK(Table2[[#This Row],[Roster Received by]]),1,0)</f>
        <v>1</v>
      </c>
      <c r="AH390" s="316">
        <f ca="1">IF(Table2[[#This Row],[Start Date]]&gt;TODAY(),1,)</f>
        <v>1</v>
      </c>
      <c r="AI390" s="316">
        <f>IF(ISBLANK(Table2[[#This Row],[Primary Instructor]]),0,1)</f>
        <v>1</v>
      </c>
      <c r="AJ390" s="316">
        <f>IF(ISBLANK(Table2[[#This Row],[Instructor 2]]),0,1)</f>
        <v>0</v>
      </c>
      <c r="AK390" s="316">
        <f>Table2[[#This Row],[Course Length (Hours)]]/(SUM(Table2[[#This Row],[1]:[2]]))</f>
        <v>30</v>
      </c>
      <c r="AL390" s="124"/>
      <c r="AM390" s="316">
        <v>3</v>
      </c>
      <c r="AN390" s="363" t="str">
        <f>VLOOKUP(Table2[[#This Row],[Course Title]],'TSD-Data'!$A$1:$G$80,7,FALSE)</f>
        <v>N5</v>
      </c>
    </row>
    <row r="391" spans="2:40" s="428" customFormat="1" x14ac:dyDescent="0.25">
      <c r="B391" s="315"/>
      <c r="C391" s="364" t="s">
        <v>77</v>
      </c>
      <c r="D391" s="421" t="str">
        <f>VLOOKUP(Table2[[#This Row],[Course Title]],'TSD-Data'!$A$1:$E$80,2,FALSE)</f>
        <v>A-493-0077</v>
      </c>
      <c r="E391" s="421" t="str">
        <f>VLOOKUP(Table2[[#This Row],[Course Title]],'TSD-Data'!$A$1:$E$80,3,FALSE)</f>
        <v>0381</v>
      </c>
      <c r="F391" s="364" t="s">
        <v>327</v>
      </c>
      <c r="G391" s="344">
        <v>46153</v>
      </c>
      <c r="H391" s="344">
        <v>46155</v>
      </c>
      <c r="I391" s="341" t="s">
        <v>167</v>
      </c>
      <c r="J391" s="318">
        <v>0.33333333333333331</v>
      </c>
      <c r="K391" s="345"/>
      <c r="L391" s="344"/>
      <c r="M391" s="344"/>
      <c r="N391" s="344"/>
      <c r="O391" s="344"/>
      <c r="P391" s="344"/>
      <c r="Q391" s="321" t="s">
        <v>168</v>
      </c>
      <c r="R391" s="321"/>
      <c r="S391" s="321"/>
      <c r="T391" s="316">
        <f>VLOOKUP(Table2[[#This Row],[Course Title]],'TSD-Data'!$A$1:$E$80,4,FALSE)</f>
        <v>25</v>
      </c>
      <c r="U391" s="316">
        <f>VLOOKUP(Table2[[#This Row],[Course Title]],'TSD-Data'!$A$1:$F$80,6,FALSE)</f>
        <v>24</v>
      </c>
      <c r="V391" s="323">
        <f>VLOOKUP(Table2[[#This Row],[Course Title]],'TSD-Data'!$A$1:$F$80,5,FALSE)</f>
        <v>3</v>
      </c>
      <c r="W391" s="323">
        <v>31</v>
      </c>
      <c r="X391" s="316"/>
      <c r="Y391" s="316"/>
      <c r="Z391" s="323"/>
      <c r="AA391" s="323"/>
      <c r="AB391" s="363"/>
      <c r="AC391" s="363"/>
      <c r="AD391" s="316"/>
      <c r="AE391" s="316"/>
      <c r="AF391" s="323">
        <f ca="1">Table2[[#This Row],[End Date]]+2-TODAY()</f>
        <v>150</v>
      </c>
      <c r="AG391" s="316">
        <f>IF(ISBLANK(Table2[[#This Row],[Roster Received by]]),1,0)</f>
        <v>1</v>
      </c>
      <c r="AH391" s="316">
        <f ca="1">IF(Table2[[#This Row],[Start Date]]&gt;TODAY(),1,)</f>
        <v>1</v>
      </c>
      <c r="AI391" s="316">
        <f>IF(ISBLANK(Table2[[#This Row],[Primary Instructor]]),0,1)</f>
        <v>1</v>
      </c>
      <c r="AJ391" s="316">
        <f>IF(ISBLANK(Table2[[#This Row],[Instructor 2]]),0,1)</f>
        <v>0</v>
      </c>
      <c r="AK391" s="316">
        <f>Table2[[#This Row],[Course Length (Hours)]]/(SUM(Table2[[#This Row],[1]:[2]]))</f>
        <v>24</v>
      </c>
      <c r="AL391" s="638"/>
      <c r="AM391" s="316">
        <v>3</v>
      </c>
      <c r="AN391" s="363" t="str">
        <f>VLOOKUP(Table2[[#This Row],[Course Title]],'TSD-Data'!$A$1:$G$80,7,FALSE)</f>
        <v>N4</v>
      </c>
    </row>
    <row r="392" spans="2:40" s="428" customFormat="1" x14ac:dyDescent="0.25">
      <c r="B392" s="315"/>
      <c r="C392" s="315" t="s">
        <v>77</v>
      </c>
      <c r="D392" s="316" t="str">
        <f>VLOOKUP(Table2[[#This Row],[Course Title]],'TSD-Data'!$A$1:$E$80,2,FALSE)</f>
        <v>A-493-0077</v>
      </c>
      <c r="E392" s="316" t="str">
        <f>VLOOKUP(Table2[[#This Row],[Course Title]],'TSD-Data'!$A$1:$E$80,3,FALSE)</f>
        <v>0381</v>
      </c>
      <c r="F392" s="315" t="s">
        <v>305</v>
      </c>
      <c r="G392" s="317">
        <v>46153</v>
      </c>
      <c r="H392" s="317">
        <v>46155</v>
      </c>
      <c r="I392" s="341" t="s">
        <v>167</v>
      </c>
      <c r="J392" s="318">
        <v>0.33333333333333331</v>
      </c>
      <c r="K392" s="318"/>
      <c r="L392" s="317"/>
      <c r="M392" s="317"/>
      <c r="N392" s="317"/>
      <c r="O392" s="317"/>
      <c r="P392" s="317"/>
      <c r="Q392" s="321" t="s">
        <v>168</v>
      </c>
      <c r="R392" s="321"/>
      <c r="S392" s="321"/>
      <c r="T392" s="316">
        <f>VLOOKUP(Table2[[#This Row],[Course Title]],'TSD-Data'!$A$1:$E$80,4,FALSE)</f>
        <v>25</v>
      </c>
      <c r="U392" s="316">
        <f>VLOOKUP(Table2[[#This Row],[Course Title]],'TSD-Data'!$A$1:$F$80,6,FALSE)</f>
        <v>24</v>
      </c>
      <c r="V392" s="323">
        <f>VLOOKUP(Table2[[#This Row],[Course Title]],'TSD-Data'!$A$1:$F$80,5,FALSE)</f>
        <v>3</v>
      </c>
      <c r="W392" s="323">
        <v>37</v>
      </c>
      <c r="X392" s="316"/>
      <c r="Y392" s="316"/>
      <c r="Z392" s="323"/>
      <c r="AA392" s="323"/>
      <c r="AB392" s="363"/>
      <c r="AC392" s="363"/>
      <c r="AD392" s="316"/>
      <c r="AE392" s="316"/>
      <c r="AF392" s="323">
        <f ca="1">Table2[[#This Row],[End Date]]+2-TODAY()</f>
        <v>150</v>
      </c>
      <c r="AG392" s="316">
        <f>IF(ISBLANK(Table2[[#This Row],[Roster Received by]]),1,0)</f>
        <v>1</v>
      </c>
      <c r="AH392" s="316">
        <f ca="1">IF(Table2[[#This Row],[Start Date]]&gt;TODAY(),1,)</f>
        <v>1</v>
      </c>
      <c r="AI392" s="316">
        <f>IF(ISBLANK(Table2[[#This Row],[Primary Instructor]]),0,1)</f>
        <v>1</v>
      </c>
      <c r="AJ392" s="316">
        <f>IF(ISBLANK(Table2[[#This Row],[Instructor 2]]),0,1)</f>
        <v>0</v>
      </c>
      <c r="AK392" s="316">
        <f>Table2[[#This Row],[Course Length (Hours)]]/(SUM(Table2[[#This Row],[1]:[2]]))</f>
        <v>24</v>
      </c>
      <c r="AL392" s="638"/>
      <c r="AM392" s="316">
        <v>3</v>
      </c>
      <c r="AN392" s="363" t="str">
        <f>VLOOKUP(Table2[[#This Row],[Course Title]],'TSD-Data'!$A$1:$G$80,7,FALSE)</f>
        <v>N4</v>
      </c>
    </row>
    <row r="393" spans="2:40" s="428" customFormat="1" x14ac:dyDescent="0.25">
      <c r="B393" s="315"/>
      <c r="C393" s="315" t="s">
        <v>110</v>
      </c>
      <c r="D393" s="316" t="str">
        <f>VLOOKUP(Table2[[#This Row],[Course Title]],'TSD-Data'!$A$1:$E$80,2,FALSE)</f>
        <v>A-493-2501</v>
      </c>
      <c r="E393" s="316" t="str">
        <f>VLOOKUP(Table2[[#This Row],[Course Title]],'TSD-Data'!$A$1:$E$80,3,FALSE)</f>
        <v>05ZE</v>
      </c>
      <c r="F393" s="315" t="s">
        <v>166</v>
      </c>
      <c r="G393" s="317">
        <v>46153</v>
      </c>
      <c r="H393" s="317">
        <v>46153</v>
      </c>
      <c r="I393" s="341" t="s">
        <v>167</v>
      </c>
      <c r="J393" s="318">
        <v>0.33333333333333331</v>
      </c>
      <c r="K393" s="345"/>
      <c r="L393" s="344"/>
      <c r="M393" s="344"/>
      <c r="N393" s="344"/>
      <c r="O393" s="344"/>
      <c r="P393" s="344"/>
      <c r="Q393" s="321" t="s">
        <v>168</v>
      </c>
      <c r="R393" s="321"/>
      <c r="S393" s="321"/>
      <c r="T393" s="316">
        <f>VLOOKUP(Table2[[#This Row],[Course Title]],'TSD-Data'!$A$1:$E$80,4,FALSE)</f>
        <v>30</v>
      </c>
      <c r="U393" s="316">
        <f>VLOOKUP(Table2[[#This Row],[Course Title]],'TSD-Data'!$A$1:$F$80,6,FALSE)</f>
        <v>8</v>
      </c>
      <c r="V393" s="323">
        <f>VLOOKUP(Table2[[#This Row],[Course Title]],'TSD-Data'!$A$1:$F$80,5,FALSE)</f>
        <v>1</v>
      </c>
      <c r="W393" s="323">
        <v>31</v>
      </c>
      <c r="X393" s="316"/>
      <c r="Y393" s="316"/>
      <c r="Z393" s="323"/>
      <c r="AA393" s="323"/>
      <c r="AB393" s="363"/>
      <c r="AC393" s="363"/>
      <c r="AD393" s="316"/>
      <c r="AE393" s="316"/>
      <c r="AF393" s="323">
        <f ca="1">Table2[[#This Row],[End Date]]+2-TODAY()</f>
        <v>148</v>
      </c>
      <c r="AG393" s="316">
        <f>IF(ISBLANK(Table2[[#This Row],[Roster Received by]]),1,0)</f>
        <v>1</v>
      </c>
      <c r="AH393" s="316">
        <f ca="1">IF(Table2[[#This Row],[Start Date]]&gt;TODAY(),1,)</f>
        <v>1</v>
      </c>
      <c r="AI393" s="316">
        <f>IF(ISBLANK(Table2[[#This Row],[Primary Instructor]]),0,1)</f>
        <v>1</v>
      </c>
      <c r="AJ393" s="316">
        <f>IF(ISBLANK(Table2[[#This Row],[Instructor 2]]),0,1)</f>
        <v>0</v>
      </c>
      <c r="AK393" s="316">
        <f>Table2[[#This Row],[Course Length (Hours)]]/(SUM(Table2[[#This Row],[1]:[2]]))</f>
        <v>8</v>
      </c>
      <c r="AL393" s="638"/>
      <c r="AM393" s="316">
        <v>3</v>
      </c>
      <c r="AN393" s="363" t="str">
        <f>VLOOKUP(Table2[[#This Row],[Course Title]],'TSD-Data'!$A$1:$G$80,7,FALSE)</f>
        <v>N4</v>
      </c>
    </row>
    <row r="394" spans="2:40" s="428" customFormat="1" x14ac:dyDescent="0.25">
      <c r="B394" s="364"/>
      <c r="C394" s="364" t="s">
        <v>113</v>
      </c>
      <c r="D394" s="316" t="str">
        <f>VLOOKUP(Table2[[#This Row],[Course Title]],'TSD-Data'!$A$1:$E$80,2,FALSE)</f>
        <v>A-570-0100</v>
      </c>
      <c r="E394" s="316" t="str">
        <f>VLOOKUP(Table2[[#This Row],[Course Title]],'TSD-Data'!$A$1:$E$80,3,FALSE)</f>
        <v>18B7</v>
      </c>
      <c r="F394" s="315" t="s">
        <v>25</v>
      </c>
      <c r="G394" s="317">
        <v>46153</v>
      </c>
      <c r="H394" s="317">
        <v>46154</v>
      </c>
      <c r="I394" s="317" t="s">
        <v>163</v>
      </c>
      <c r="J394" s="318"/>
      <c r="K394" s="318">
        <v>0.33333333333333331</v>
      </c>
      <c r="L394" s="431">
        <v>0.66666666666666663</v>
      </c>
      <c r="M394" s="431">
        <v>8.3333333333333329E-2</v>
      </c>
      <c r="N394" s="431">
        <v>0</v>
      </c>
      <c r="O394" s="431">
        <v>0.54166666666666663</v>
      </c>
      <c r="P394" s="431">
        <v>0.33333333333333331</v>
      </c>
      <c r="Q394" s="321" t="s">
        <v>431</v>
      </c>
      <c r="R394" s="321"/>
      <c r="S394" s="321"/>
      <c r="T394" s="316">
        <f>VLOOKUP(Table2[[#This Row],[Course Title]],'TSD-Data'!$A$1:$E$80,4,FALSE)</f>
        <v>45</v>
      </c>
      <c r="U394" s="316">
        <f>VLOOKUP(Table2[[#This Row],[Course Title]],'TSD-Data'!$A$1:$F$80,6,FALSE)</f>
        <v>16</v>
      </c>
      <c r="V394" s="323">
        <f>VLOOKUP(Table2[[#This Row],[Course Title]],'TSD-Data'!$A$1:$F$80,5,FALSE)</f>
        <v>2</v>
      </c>
      <c r="W394" s="323">
        <v>126</v>
      </c>
      <c r="X394" s="316"/>
      <c r="Y394" s="316"/>
      <c r="Z394" s="323"/>
      <c r="AA394" s="323"/>
      <c r="AB394" s="316"/>
      <c r="AC394" s="316"/>
      <c r="AD394" s="316"/>
      <c r="AE394" s="316"/>
      <c r="AF394" s="323">
        <f ca="1">Table2[[#This Row],[End Date]]+2-TODAY()</f>
        <v>149</v>
      </c>
      <c r="AG394" s="316">
        <f>IF(ISBLANK(Table2[[#This Row],[Roster Received by]]),1,0)</f>
        <v>1</v>
      </c>
      <c r="AH394" s="316">
        <f ca="1">IF(Table2[[#This Row],[Start Date]]&gt;TODAY(),1,)</f>
        <v>1</v>
      </c>
      <c r="AI394" s="316">
        <f>IF(ISBLANK(Table2[[#This Row],[Primary Instructor]]),0,1)</f>
        <v>1</v>
      </c>
      <c r="AJ394" s="316">
        <f>IF(ISBLANK(Table2[[#This Row],[Instructor 2]]),0,1)</f>
        <v>0</v>
      </c>
      <c r="AK394" s="316">
        <f>Table2[[#This Row],[Course Length (Hours)]]/(SUM(Table2[[#This Row],[1]:[2]]))</f>
        <v>16</v>
      </c>
      <c r="AL394" s="124"/>
      <c r="AM394" s="316">
        <v>3</v>
      </c>
      <c r="AN394" s="363" t="str">
        <f>VLOOKUP(Table2[[#This Row],[Course Title]],'TSD-Data'!$A$1:$G$80,7,FALSE)</f>
        <v>N8</v>
      </c>
    </row>
    <row r="395" spans="2:40" s="428" customFormat="1" ht="15" customHeight="1" x14ac:dyDescent="0.25">
      <c r="B395" s="315"/>
      <c r="C395" s="364" t="s">
        <v>116</v>
      </c>
      <c r="D395" s="316" t="str">
        <f>VLOOKUP(Table2[[#This Row],[Course Title]],'TSD-Data'!$A$1:$E$80,2,FALSE)</f>
        <v>A-493-0072</v>
      </c>
      <c r="E395" s="316" t="str">
        <f>VLOOKUP(Table2[[#This Row],[Course Title]],'TSD-Data'!$A$1:$E$80,3,FALSE)</f>
        <v>713U</v>
      </c>
      <c r="F395" s="364" t="s">
        <v>264</v>
      </c>
      <c r="G395" s="344">
        <v>46153</v>
      </c>
      <c r="H395" s="344">
        <v>46157</v>
      </c>
      <c r="I395" s="317" t="s">
        <v>163</v>
      </c>
      <c r="J395" s="318">
        <v>0.33333333333333331</v>
      </c>
      <c r="K395" s="345"/>
      <c r="L395" s="344"/>
      <c r="M395" s="344"/>
      <c r="N395" s="344"/>
      <c r="O395" s="344"/>
      <c r="P395" s="344"/>
      <c r="Q395" s="321" t="s">
        <v>175</v>
      </c>
      <c r="R395" s="321"/>
      <c r="S395" s="321" t="s">
        <v>487</v>
      </c>
      <c r="T395" s="316">
        <f>VLOOKUP(Table2[[#This Row],[Course Title]],'TSD-Data'!$A$1:$E$80,4,FALSE)</f>
        <v>30</v>
      </c>
      <c r="U395" s="316">
        <f>VLOOKUP(Table2[[#This Row],[Course Title]],'TSD-Data'!$A$1:$F$80,6,FALSE)</f>
        <v>40</v>
      </c>
      <c r="V395" s="323">
        <f>VLOOKUP(Table2[[#This Row],[Course Title]],'TSD-Data'!$A$1:$F$80,5,FALSE)</f>
        <v>5</v>
      </c>
      <c r="W395" s="323">
        <v>265</v>
      </c>
      <c r="X395" s="316"/>
      <c r="Y395" s="316"/>
      <c r="Z395" s="323"/>
      <c r="AA395" s="323"/>
      <c r="AB395" s="316"/>
      <c r="AC395" s="316"/>
      <c r="AD395" s="316"/>
      <c r="AE395" s="316"/>
      <c r="AF395" s="323">
        <f ca="1">Table2[[#This Row],[End Date]]+2-TODAY()</f>
        <v>152</v>
      </c>
      <c r="AG395" s="316">
        <f>IF(ISBLANK(Table2[[#This Row],[Roster Received by]]),1,0)</f>
        <v>1</v>
      </c>
      <c r="AH395" s="316">
        <f ca="1">IF(Table2[[#This Row],[Start Date]]&gt;TODAY(),1,)</f>
        <v>1</v>
      </c>
      <c r="AI395" s="316">
        <f>IF(ISBLANK(Table2[[#This Row],[Primary Instructor]]),0,1)</f>
        <v>1</v>
      </c>
      <c r="AJ395" s="316">
        <f>IF(ISBLANK(Table2[[#This Row],[Instructor 2]]),0,1)</f>
        <v>0</v>
      </c>
      <c r="AK395" s="316">
        <f>Table2[[#This Row],[Course Length (Hours)]]/(SUM(Table2[[#This Row],[1]:[2]]))</f>
        <v>40</v>
      </c>
      <c r="AL395" s="124"/>
      <c r="AM395" s="316">
        <v>3</v>
      </c>
      <c r="AN395" s="363" t="str">
        <f>VLOOKUP(Table2[[#This Row],[Course Title]],'TSD-Data'!$A$1:$G$80,7,FALSE)</f>
        <v>N3</v>
      </c>
    </row>
    <row r="396" spans="2:40" s="428" customFormat="1" ht="15" customHeight="1" x14ac:dyDescent="0.25">
      <c r="B396" s="315" t="s">
        <v>469</v>
      </c>
      <c r="C396" s="364" t="s">
        <v>116</v>
      </c>
      <c r="D396" s="316" t="str">
        <f>VLOOKUP(Table2[[#This Row],[Course Title]],'TSD-Data'!$A$1:$E$80,2,FALSE)</f>
        <v>A-493-0072</v>
      </c>
      <c r="E396" s="316" t="str">
        <f>VLOOKUP(Table2[[#This Row],[Course Title]],'TSD-Data'!$A$1:$E$80,3,FALSE)</f>
        <v>713U</v>
      </c>
      <c r="F396" s="364" t="s">
        <v>488</v>
      </c>
      <c r="G396" s="317">
        <v>46153</v>
      </c>
      <c r="H396" s="317">
        <v>46157</v>
      </c>
      <c r="I396" s="317" t="s">
        <v>163</v>
      </c>
      <c r="J396" s="318">
        <v>0.33333333333333331</v>
      </c>
      <c r="K396" s="318"/>
      <c r="L396" s="344"/>
      <c r="M396" s="317"/>
      <c r="N396" s="317"/>
      <c r="O396" s="317"/>
      <c r="P396" s="317"/>
      <c r="Q396" s="321" t="s">
        <v>174</v>
      </c>
      <c r="R396" s="321"/>
      <c r="S396" s="321" t="s">
        <v>444</v>
      </c>
      <c r="T396" s="316">
        <f>VLOOKUP(Table2[[#This Row],[Course Title]],'TSD-Data'!$A$1:$E$80,4,FALSE)</f>
        <v>30</v>
      </c>
      <c r="U396" s="316">
        <f>VLOOKUP(Table2[[#This Row],[Course Title]],'TSD-Data'!$A$1:$F$80,6,FALSE)</f>
        <v>40</v>
      </c>
      <c r="V396" s="323">
        <f>VLOOKUP(Table2[[#This Row],[Course Title]],'TSD-Data'!$A$1:$F$80,5,FALSE)</f>
        <v>5</v>
      </c>
      <c r="W396" s="323">
        <v>15</v>
      </c>
      <c r="X396" s="316"/>
      <c r="Y396" s="316"/>
      <c r="Z396" s="323"/>
      <c r="AA396" s="323"/>
      <c r="AB396" s="316"/>
      <c r="AC396" s="316"/>
      <c r="AD396" s="316"/>
      <c r="AE396" s="316"/>
      <c r="AF396" s="323">
        <f ca="1">Table2[[#This Row],[End Date]]+2-TODAY()</f>
        <v>152</v>
      </c>
      <c r="AG396" s="316">
        <f>IF(ISBLANK(Table2[[#This Row],[Roster Received by]]),1,0)</f>
        <v>1</v>
      </c>
      <c r="AH396" s="316">
        <f ca="1">IF(Table2[[#This Row],[Start Date]]&gt;TODAY(),1,)</f>
        <v>1</v>
      </c>
      <c r="AI396" s="316">
        <f>IF(ISBLANK(Table2[[#This Row],[Primary Instructor]]),0,1)</f>
        <v>1</v>
      </c>
      <c r="AJ396" s="316">
        <f>IF(ISBLANK(Table2[[#This Row],[Instructor 2]]),0,1)</f>
        <v>0</v>
      </c>
      <c r="AK396" s="316">
        <f>Table2[[#This Row],[Course Length (Hours)]]/(SUM(Table2[[#This Row],[1]:[2]]))</f>
        <v>40</v>
      </c>
      <c r="AL396" s="124"/>
      <c r="AM396" s="316">
        <v>3</v>
      </c>
      <c r="AN396" s="363" t="str">
        <f>VLOOKUP(Table2[[#This Row],[Course Title]],'TSD-Data'!$A$1:$G$80,7,FALSE)</f>
        <v>N3</v>
      </c>
    </row>
    <row r="397" spans="2:40" s="428" customFormat="1" ht="15" customHeight="1" x14ac:dyDescent="0.25">
      <c r="B397" s="315" t="s">
        <v>489</v>
      </c>
      <c r="C397" s="364" t="s">
        <v>125</v>
      </c>
      <c r="D397" s="316" t="str">
        <f>VLOOKUP(Table2[[#This Row],[Course Title]],'TSD-Data'!$A$1:$E$80,2,FALSE)</f>
        <v>A-493-2017</v>
      </c>
      <c r="E397" s="316" t="str">
        <f>VLOOKUP(Table2[[#This Row],[Course Title]],'TSD-Data'!$A$1:$E$80,3,FALSE)</f>
        <v>12x3</v>
      </c>
      <c r="F397" s="315" t="s">
        <v>340</v>
      </c>
      <c r="G397" s="317">
        <v>46153</v>
      </c>
      <c r="H397" s="317">
        <v>46157</v>
      </c>
      <c r="I397" s="317" t="s">
        <v>163</v>
      </c>
      <c r="J397" s="318">
        <v>0.33333333333333331</v>
      </c>
      <c r="K397" s="345"/>
      <c r="L397" s="317"/>
      <c r="M397" s="317"/>
      <c r="N397" s="317"/>
      <c r="O397" s="317"/>
      <c r="P397" s="317"/>
      <c r="Q397" s="321" t="s">
        <v>168</v>
      </c>
      <c r="R397" s="321"/>
      <c r="S397" s="321"/>
      <c r="T397" s="316">
        <f>VLOOKUP(Table2[[#This Row],[Course Title]],'TSD-Data'!$A$1:$E$80,4,FALSE)</f>
        <v>25</v>
      </c>
      <c r="U397" s="316">
        <f>VLOOKUP(Table2[[#This Row],[Course Title]],'TSD-Data'!$A$1:$F$80,6,FALSE)</f>
        <v>40</v>
      </c>
      <c r="V397" s="323">
        <f>VLOOKUP(Table2[[#This Row],[Course Title]],'TSD-Data'!$A$1:$F$80,5,FALSE)</f>
        <v>5</v>
      </c>
      <c r="W397" s="323">
        <v>45</v>
      </c>
      <c r="X397" s="316"/>
      <c r="Y397" s="316"/>
      <c r="Z397" s="323"/>
      <c r="AA397" s="323"/>
      <c r="AB397" s="363"/>
      <c r="AC397" s="363"/>
      <c r="AD397" s="316"/>
      <c r="AE397" s="316"/>
      <c r="AF397" s="323">
        <f ca="1">Table2[[#This Row],[End Date]]+2-TODAY()</f>
        <v>152</v>
      </c>
      <c r="AG397" s="316">
        <f>IF(ISBLANK(Table2[[#This Row],[Roster Received by]]),1,0)</f>
        <v>1</v>
      </c>
      <c r="AH397" s="316">
        <f ca="1">IF(Table2[[#This Row],[Start Date]]&gt;TODAY(),1,)</f>
        <v>1</v>
      </c>
      <c r="AI397" s="316">
        <f>IF(ISBLANK(Table2[[#This Row],[Primary Instructor]]),0,1)</f>
        <v>1</v>
      </c>
      <c r="AJ397" s="316">
        <f>IF(ISBLANK(Table2[[#This Row],[Instructor 2]]),0,1)</f>
        <v>0</v>
      </c>
      <c r="AK397" s="316">
        <f>Table2[[#This Row],[Course Length (Hours)]]/(SUM(Table2[[#This Row],[1]:[2]]))</f>
        <v>40</v>
      </c>
      <c r="AL397" s="638"/>
      <c r="AM397" s="316">
        <v>3</v>
      </c>
      <c r="AN397" s="363" t="str">
        <f>VLOOKUP(Table2[[#This Row],[Course Title]],'TSD-Data'!$A$1:$G$80,7,FALSE)</f>
        <v>N4</v>
      </c>
    </row>
    <row r="398" spans="2:40" s="428" customFormat="1" x14ac:dyDescent="0.25">
      <c r="B398" s="315"/>
      <c r="C398" s="364" t="s">
        <v>100</v>
      </c>
      <c r="D398" s="421" t="str">
        <f>VLOOKUP(Table2[[#This Row],[Course Title]],'TSD-Data'!$A$1:$E$80,2,FALSE)</f>
        <v>A-493-0550</v>
      </c>
      <c r="E398" s="421" t="str">
        <f>VLOOKUP(Table2[[#This Row],[Course Title]],'TSD-Data'!$A$1:$E$80,3,FALSE)</f>
        <v>09K5</v>
      </c>
      <c r="F398" s="364" t="s">
        <v>25</v>
      </c>
      <c r="G398" s="344">
        <v>46153</v>
      </c>
      <c r="H398" s="344">
        <v>46156</v>
      </c>
      <c r="I398" s="317" t="s">
        <v>163</v>
      </c>
      <c r="J398" s="318"/>
      <c r="K398" s="345">
        <v>0.33333333333333331</v>
      </c>
      <c r="L398" s="345">
        <v>0.20833333333333334</v>
      </c>
      <c r="M398" s="345">
        <v>0.625</v>
      </c>
      <c r="N398" s="345">
        <v>0.54166666666666663</v>
      </c>
      <c r="O398" s="345">
        <v>8.3333333333333329E-2</v>
      </c>
      <c r="P398" s="345">
        <v>0.875</v>
      </c>
      <c r="Q398" s="321" t="s">
        <v>426</v>
      </c>
      <c r="R398" s="321"/>
      <c r="S398" s="321"/>
      <c r="T398" s="316">
        <f>VLOOKUP(Table2[[#This Row],[Course Title]],'TSD-Data'!$A$1:$E$80,4,FALSE)</f>
        <v>45</v>
      </c>
      <c r="U398" s="316">
        <f>VLOOKUP(Table2[[#This Row],[Course Title]],'TSD-Data'!$A$1:$F$80,6,FALSE)</f>
        <v>32</v>
      </c>
      <c r="V398" s="323">
        <f>VLOOKUP(Table2[[#This Row],[Course Title]],'TSD-Data'!$A$1:$F$80,5,FALSE)</f>
        <v>4</v>
      </c>
      <c r="W398" s="323">
        <v>455</v>
      </c>
      <c r="X398" s="316"/>
      <c r="Y398" s="316"/>
      <c r="Z398" s="323"/>
      <c r="AA398" s="323"/>
      <c r="AB398" s="316"/>
      <c r="AC398" s="316"/>
      <c r="AD398" s="316"/>
      <c r="AE398" s="316"/>
      <c r="AF398" s="323">
        <f ca="1">Table2[[#This Row],[End Date]]+2-TODAY()</f>
        <v>151</v>
      </c>
      <c r="AG398" s="316">
        <f>IF(ISBLANK(Table2[[#This Row],[Roster Received by]]),1,0)</f>
        <v>1</v>
      </c>
      <c r="AH398" s="316">
        <f ca="1">IF(Table2[[#This Row],[Start Date]]&gt;TODAY(),1,)</f>
        <v>1</v>
      </c>
      <c r="AI398" s="316">
        <f>IF(ISBLANK(Table2[[#This Row],[Primary Instructor]]),0,1)</f>
        <v>1</v>
      </c>
      <c r="AJ398" s="316">
        <f>IF(ISBLANK(Table2[[#This Row],[Instructor 2]]),0,1)</f>
        <v>0</v>
      </c>
      <c r="AK398" s="316">
        <f>Table2[[#This Row],[Course Length (Hours)]]/(SUM(Table2[[#This Row],[1]:[2]]))</f>
        <v>32</v>
      </c>
      <c r="AL398" s="124"/>
      <c r="AM398" s="316">
        <v>3</v>
      </c>
      <c r="AN398" s="363" t="str">
        <f>VLOOKUP(Table2[[#This Row],[Course Title]],'TSD-Data'!$A$1:$G$80,7,FALSE)</f>
        <v>N5</v>
      </c>
    </row>
    <row r="399" spans="2:40" s="428" customFormat="1" x14ac:dyDescent="0.25">
      <c r="B399" s="315"/>
      <c r="C399" s="364" t="s">
        <v>65</v>
      </c>
      <c r="D399" s="316" t="str">
        <f>VLOOKUP(Table2[[#This Row],[Course Title]],'TSD-Data'!$A$1:$E$80,2,FALSE)</f>
        <v>A-493-0099</v>
      </c>
      <c r="E399" s="316" t="str">
        <f>VLOOKUP(Table2[[#This Row],[Course Title]],'TSD-Data'!$A$1:$E$80,3,FALSE)</f>
        <v>12JW</v>
      </c>
      <c r="F399" s="315" t="s">
        <v>25</v>
      </c>
      <c r="G399" s="317">
        <v>46155</v>
      </c>
      <c r="H399" s="317">
        <v>46157</v>
      </c>
      <c r="I399" s="317" t="s">
        <v>163</v>
      </c>
      <c r="J399" s="318"/>
      <c r="K399" s="345">
        <v>0.5</v>
      </c>
      <c r="L399" s="431">
        <v>0.375</v>
      </c>
      <c r="M399" s="431">
        <v>0.79166666666666663</v>
      </c>
      <c r="N399" s="431">
        <v>0.75</v>
      </c>
      <c r="O399" s="431">
        <v>0.25</v>
      </c>
      <c r="P399" s="431">
        <v>4.1666666666666664E-2</v>
      </c>
      <c r="Q399" s="321" t="s">
        <v>273</v>
      </c>
      <c r="R399" s="321"/>
      <c r="S399" s="321"/>
      <c r="T399" s="316">
        <f>VLOOKUP(Table2[[#This Row],[Course Title]],'TSD-Data'!$A$1:$E$80,4,FALSE)</f>
        <v>45</v>
      </c>
      <c r="U399" s="316">
        <f>VLOOKUP(Table2[[#This Row],[Course Title]],'TSD-Data'!$A$1:$F$80,6,FALSE)</f>
        <v>24</v>
      </c>
      <c r="V399" s="323">
        <f>VLOOKUP(Table2[[#This Row],[Course Title]],'TSD-Data'!$A$1:$F$80,5,FALSE)</f>
        <v>3</v>
      </c>
      <c r="W399" s="323">
        <v>934</v>
      </c>
      <c r="X399" s="316"/>
      <c r="Y399" s="316"/>
      <c r="Z399" s="323"/>
      <c r="AA399" s="323"/>
      <c r="AB399" s="316"/>
      <c r="AC399" s="316"/>
      <c r="AD399" s="316"/>
      <c r="AE399" s="316"/>
      <c r="AF399" s="323">
        <f ca="1">Table2[[#This Row],[End Date]]+2-TODAY()</f>
        <v>152</v>
      </c>
      <c r="AG399" s="316">
        <f>IF(ISBLANK(Table2[[#This Row],[Roster Received by]]),1,0)</f>
        <v>1</v>
      </c>
      <c r="AH399" s="316">
        <f ca="1">IF(Table2[[#This Row],[Start Date]]&gt;TODAY(),1,)</f>
        <v>1</v>
      </c>
      <c r="AI399" s="316">
        <f>IF(ISBLANK(Table2[[#This Row],[Primary Instructor]]),0,1)</f>
        <v>1</v>
      </c>
      <c r="AJ399" s="316">
        <f>IF(ISBLANK(Table2[[#This Row],[Instructor 2]]),0,1)</f>
        <v>0</v>
      </c>
      <c r="AK399" s="316">
        <f>Table2[[#This Row],[Course Length (Hours)]]/(SUM(Table2[[#This Row],[1]:[2]]))</f>
        <v>24</v>
      </c>
      <c r="AL399" s="124"/>
      <c r="AM399" s="316">
        <v>3</v>
      </c>
      <c r="AN399" s="363" t="str">
        <f>VLOOKUP(Table2[[#This Row],[Course Title]],'TSD-Data'!$A$1:$G$80,7,FALSE)</f>
        <v>N5</v>
      </c>
    </row>
    <row r="400" spans="2:40" s="428" customFormat="1" x14ac:dyDescent="0.25">
      <c r="B400" s="315" t="s">
        <v>490</v>
      </c>
      <c r="C400" s="364" t="s">
        <v>63</v>
      </c>
      <c r="D400" s="316" t="str">
        <f>VLOOKUP(Table2[[#This Row],[Course Title]],'TSD-Data'!$A$1:$E$80,2,FALSE)</f>
        <v>A-493-0013</v>
      </c>
      <c r="E400" s="316">
        <f>VLOOKUP(Table2[[#This Row],[Course Title]],'TSD-Data'!$A$1:$E$80,3,FALSE)</f>
        <v>3683</v>
      </c>
      <c r="F400" s="315" t="s">
        <v>324</v>
      </c>
      <c r="G400" s="317">
        <v>46155</v>
      </c>
      <c r="H400" s="317">
        <v>46157</v>
      </c>
      <c r="I400" s="341" t="s">
        <v>167</v>
      </c>
      <c r="J400" s="318">
        <v>0.33333333333333331</v>
      </c>
      <c r="K400" s="318"/>
      <c r="L400" s="317"/>
      <c r="M400" s="317"/>
      <c r="N400" s="317"/>
      <c r="O400" s="317"/>
      <c r="P400" s="317"/>
      <c r="Q400" s="321" t="s">
        <v>453</v>
      </c>
      <c r="R400" s="321"/>
      <c r="S400" s="321"/>
      <c r="T400" s="316">
        <f>VLOOKUP(Table2[[#This Row],[Course Title]],'TSD-Data'!$A$1:$E$80,4,FALSE)</f>
        <v>40</v>
      </c>
      <c r="U400" s="316">
        <f>VLOOKUP(Table2[[#This Row],[Course Title]],'TSD-Data'!$A$1:$F$80,6,FALSE)</f>
        <v>24</v>
      </c>
      <c r="V400" s="323">
        <f>VLOOKUP(Table2[[#This Row],[Course Title]],'TSD-Data'!$A$1:$F$80,5,FALSE)</f>
        <v>3</v>
      </c>
      <c r="W400" s="323">
        <v>30</v>
      </c>
      <c r="X400" s="316"/>
      <c r="Y400" s="316"/>
      <c r="Z400" s="323"/>
      <c r="AA400" s="323"/>
      <c r="AB400" s="363"/>
      <c r="AC400" s="363"/>
      <c r="AD400" s="316"/>
      <c r="AE400" s="316"/>
      <c r="AF400" s="323">
        <f ca="1">Table2[[#This Row],[End Date]]+2-TODAY()</f>
        <v>152</v>
      </c>
      <c r="AG400" s="316">
        <f>IF(ISBLANK(Table2[[#This Row],[Roster Received by]]),1,0)</f>
        <v>1</v>
      </c>
      <c r="AH400" s="316">
        <f ca="1">IF(Table2[[#This Row],[Start Date]]&gt;TODAY(),1,)</f>
        <v>1</v>
      </c>
      <c r="AI400" s="316">
        <f>IF(ISBLANK(Table2[[#This Row],[Primary Instructor]]),0,1)</f>
        <v>1</v>
      </c>
      <c r="AJ400" s="316">
        <f>IF(ISBLANK(Table2[[#This Row],[Instructor 2]]),0,1)</f>
        <v>0</v>
      </c>
      <c r="AK400" s="316">
        <f>Table2[[#This Row],[Course Length (Hours)]]/(SUM(Table2[[#This Row],[1]:[2]]))</f>
        <v>24</v>
      </c>
      <c r="AL400" s="638"/>
      <c r="AM400" s="316">
        <v>3</v>
      </c>
      <c r="AN400" s="363" t="str">
        <f>VLOOKUP(Table2[[#This Row],[Course Title]],'TSD-Data'!$A$1:$G$80,7,FALSE)</f>
        <v>N4</v>
      </c>
    </row>
    <row r="401" spans="2:40" s="428" customFormat="1" x14ac:dyDescent="0.25">
      <c r="B401" s="315"/>
      <c r="C401" s="315" t="s">
        <v>80</v>
      </c>
      <c r="D401" s="316" t="str">
        <f>VLOOKUP(Table2[[#This Row],[Course Title]],'TSD-Data'!$A$1:$E$80,2,FALSE)</f>
        <v>A-493-0083</v>
      </c>
      <c r="E401" s="316" t="str">
        <f>VLOOKUP(Table2[[#This Row],[Course Title]],'TSD-Data'!$A$1:$E$80,3,FALSE)</f>
        <v>339E</v>
      </c>
      <c r="F401" s="364" t="s">
        <v>305</v>
      </c>
      <c r="G401" s="344">
        <v>46156</v>
      </c>
      <c r="H401" s="344">
        <v>46156</v>
      </c>
      <c r="I401" s="341" t="s">
        <v>167</v>
      </c>
      <c r="J401" s="318">
        <v>0.33333333333333331</v>
      </c>
      <c r="K401" s="318"/>
      <c r="L401" s="317"/>
      <c r="M401" s="317"/>
      <c r="N401" s="317"/>
      <c r="O401" s="317"/>
      <c r="P401" s="317"/>
      <c r="Q401" s="321" t="s">
        <v>168</v>
      </c>
      <c r="R401" s="321"/>
      <c r="S401" s="321"/>
      <c r="T401" s="316">
        <f>VLOOKUP(Table2[[#This Row],[Course Title]],'TSD-Data'!$A$1:$E$80,4,FALSE)</f>
        <v>30</v>
      </c>
      <c r="U401" s="316">
        <f>VLOOKUP(Table2[[#This Row],[Course Title]],'TSD-Data'!$A$1:$F$80,6,FALSE)</f>
        <v>8</v>
      </c>
      <c r="V401" s="323">
        <f>VLOOKUP(Table2[[#This Row],[Course Title]],'TSD-Data'!$A$1:$F$80,5,FALSE)</f>
        <v>1</v>
      </c>
      <c r="W401" s="323">
        <v>31</v>
      </c>
      <c r="X401" s="316"/>
      <c r="Y401" s="316"/>
      <c r="Z401" s="323"/>
      <c r="AA401" s="323"/>
      <c r="AB401" s="363"/>
      <c r="AC401" s="363"/>
      <c r="AD401" s="316"/>
      <c r="AE401" s="316"/>
      <c r="AF401" s="323">
        <f ca="1">Table2[[#This Row],[End Date]]+2-TODAY()</f>
        <v>151</v>
      </c>
      <c r="AG401" s="316">
        <f>IF(ISBLANK(Table2[[#This Row],[Roster Received by]]),1,0)</f>
        <v>1</v>
      </c>
      <c r="AH401" s="316">
        <f ca="1">IF(Table2[[#This Row],[Start Date]]&gt;TODAY(),1,)</f>
        <v>1</v>
      </c>
      <c r="AI401" s="316">
        <f>IF(ISBLANK(Table2[[#This Row],[Primary Instructor]]),0,1)</f>
        <v>1</v>
      </c>
      <c r="AJ401" s="316">
        <f>IF(ISBLANK(Table2[[#This Row],[Instructor 2]]),0,1)</f>
        <v>0</v>
      </c>
      <c r="AK401" s="316">
        <f>Table2[[#This Row],[Course Length (Hours)]]/(SUM(Table2[[#This Row],[1]:[2]]))</f>
        <v>8</v>
      </c>
      <c r="AL401" s="638"/>
      <c r="AM401" s="316">
        <v>3</v>
      </c>
      <c r="AN401" s="363" t="str">
        <f>VLOOKUP(Table2[[#This Row],[Course Title]],'TSD-Data'!$A$1:$G$80,7,FALSE)</f>
        <v>N4</v>
      </c>
    </row>
    <row r="402" spans="2:40" s="428" customFormat="1" x14ac:dyDescent="0.25">
      <c r="B402" s="315"/>
      <c r="C402" s="364" t="s">
        <v>48</v>
      </c>
      <c r="D402" s="316" t="str">
        <f>VLOOKUP(Table2[[#This Row],[Course Title]],'TSD-Data'!$A$1:$E$80,2,FALSE)</f>
        <v>A-493-0103</v>
      </c>
      <c r="E402" s="316" t="str">
        <f>VLOOKUP(Table2[[#This Row],[Course Title]],'TSD-Data'!$A$1:$E$80,3,FALSE)</f>
        <v>12JY</v>
      </c>
      <c r="F402" s="315" t="s">
        <v>290</v>
      </c>
      <c r="G402" s="317">
        <v>46160</v>
      </c>
      <c r="H402" s="317">
        <v>46164</v>
      </c>
      <c r="I402" s="317" t="s">
        <v>163</v>
      </c>
      <c r="J402" s="318">
        <v>0.33333333333333331</v>
      </c>
      <c r="K402" s="318"/>
      <c r="L402" s="344"/>
      <c r="M402" s="317"/>
      <c r="N402" s="317"/>
      <c r="O402" s="317"/>
      <c r="P402" s="317"/>
      <c r="Q402" s="321" t="s">
        <v>275</v>
      </c>
      <c r="R402" s="321"/>
      <c r="S402" s="321"/>
      <c r="T402" s="316">
        <f>VLOOKUP(Table2[[#This Row],[Course Title]],'TSD-Data'!$A$1:$E$80,4,FALSE)</f>
        <v>25</v>
      </c>
      <c r="U402" s="316">
        <f>VLOOKUP(Table2[[#This Row],[Course Title]],'TSD-Data'!$A$1:$F$80,6,FALSE)</f>
        <v>40</v>
      </c>
      <c r="V402" s="323">
        <f>VLOOKUP(Table2[[#This Row],[Course Title]],'TSD-Data'!$A$1:$F$80,5,FALSE)</f>
        <v>5</v>
      </c>
      <c r="W402" s="323">
        <v>27</v>
      </c>
      <c r="X402" s="316"/>
      <c r="Y402" s="316"/>
      <c r="Z402" s="323"/>
      <c r="AA402" s="323"/>
      <c r="AB402" s="316"/>
      <c r="AC402" s="316"/>
      <c r="AD402" s="316"/>
      <c r="AE402" s="316"/>
      <c r="AF402" s="323">
        <f ca="1">Table2[[#This Row],[End Date]]+2-TODAY()</f>
        <v>159</v>
      </c>
      <c r="AG402" s="316">
        <f>IF(ISBLANK(Table2[[#This Row],[Roster Received by]]),1,0)</f>
        <v>1</v>
      </c>
      <c r="AH402" s="316">
        <f ca="1">IF(Table2[[#This Row],[Start Date]]&gt;TODAY(),1,)</f>
        <v>1</v>
      </c>
      <c r="AI402" s="316">
        <f>IF(ISBLANK(Table2[[#This Row],[Primary Instructor]]),0,1)</f>
        <v>1</v>
      </c>
      <c r="AJ402" s="316">
        <f>IF(ISBLANK(Table2[[#This Row],[Instructor 2]]),0,1)</f>
        <v>0</v>
      </c>
      <c r="AK402" s="316">
        <f>Table2[[#This Row],[Course Length (Hours)]]/(SUM(Table2[[#This Row],[1]:[2]]))</f>
        <v>40</v>
      </c>
      <c r="AL402" s="124"/>
      <c r="AM402" s="316">
        <v>3</v>
      </c>
      <c r="AN402" s="363" t="str">
        <f>VLOOKUP(Table2[[#This Row],[Course Title]],'TSD-Data'!$A$1:$G$80,7,FALSE)</f>
        <v>N5</v>
      </c>
    </row>
    <row r="403" spans="2:40" s="428" customFormat="1" x14ac:dyDescent="0.25">
      <c r="B403" s="315"/>
      <c r="C403" s="364" t="s">
        <v>48</v>
      </c>
      <c r="D403" s="363" t="str">
        <f>VLOOKUP(Table2[[#This Row],[Course Title]],'TSD-Data'!$A$1:$E$80,2,FALSE)</f>
        <v>A-493-0103</v>
      </c>
      <c r="E403" s="363" t="str">
        <f>VLOOKUP(Table2[[#This Row],[Course Title]],'TSD-Data'!$A$1:$E$80,3,FALSE)</f>
        <v>12JY</v>
      </c>
      <c r="F403" s="443" t="s">
        <v>279</v>
      </c>
      <c r="G403" s="317">
        <v>46160</v>
      </c>
      <c r="H403" s="317">
        <v>46164</v>
      </c>
      <c r="I403" s="317" t="s">
        <v>163</v>
      </c>
      <c r="J403" s="318">
        <v>0.33333333333333331</v>
      </c>
      <c r="K403" s="318"/>
      <c r="L403" s="344"/>
      <c r="M403" s="317"/>
      <c r="N403" s="317"/>
      <c r="O403" s="317"/>
      <c r="P403" s="317"/>
      <c r="Q403" s="321" t="s">
        <v>275</v>
      </c>
      <c r="R403" s="321"/>
      <c r="S403" s="321"/>
      <c r="T403" s="316">
        <f>VLOOKUP(Table2[[#This Row],[Course Title]],'TSD-Data'!$A$1:$E$80,4,FALSE)</f>
        <v>25</v>
      </c>
      <c r="U403" s="363">
        <f>VLOOKUP(Table2[[#This Row],[Course Title]],'TSD-Data'!$A$1:$F$80,6,FALSE)</f>
        <v>40</v>
      </c>
      <c r="V403" s="323">
        <f>VLOOKUP(Table2[[#This Row],[Course Title]],'TSD-Data'!$A$1:$F$80,5,FALSE)</f>
        <v>5</v>
      </c>
      <c r="W403" s="323">
        <v>225</v>
      </c>
      <c r="X403" s="316"/>
      <c r="Y403" s="316"/>
      <c r="Z403" s="323"/>
      <c r="AA403" s="323"/>
      <c r="AB403" s="363"/>
      <c r="AC403" s="363"/>
      <c r="AD403" s="316"/>
      <c r="AE403" s="316"/>
      <c r="AF403" s="323">
        <f ca="1">Table2[[#This Row],[End Date]]+2-TODAY()</f>
        <v>159</v>
      </c>
      <c r="AG403" s="316">
        <f>IF(ISBLANK(Table2[[#This Row],[Roster Received by]]),1,0)</f>
        <v>1</v>
      </c>
      <c r="AH403" s="316">
        <f ca="1">IF(Table2[[#This Row],[Start Date]]&gt;TODAY(),1,)</f>
        <v>1</v>
      </c>
      <c r="AI403" s="316">
        <f>IF(ISBLANK(Table2[[#This Row],[Primary Instructor]]),0,1)</f>
        <v>1</v>
      </c>
      <c r="AJ403" s="316">
        <f>IF(ISBLANK(Table2[[#This Row],[Instructor 2]]),0,1)</f>
        <v>0</v>
      </c>
      <c r="AK403" s="316">
        <f>Table2[[#This Row],[Course Length (Hours)]]/(SUM(Table2[[#This Row],[1]:[2]]))</f>
        <v>40</v>
      </c>
      <c r="AL403" s="638"/>
      <c r="AM403" s="316">
        <v>3</v>
      </c>
      <c r="AN403" s="363" t="str">
        <f>VLOOKUP(Table2[[#This Row],[Course Title]],'TSD-Data'!$A$1:$G$80,7,FALSE)</f>
        <v>N5</v>
      </c>
    </row>
    <row r="404" spans="2:40" s="428" customFormat="1" x14ac:dyDescent="0.25">
      <c r="B404" s="315"/>
      <c r="C404" s="364" t="s">
        <v>48</v>
      </c>
      <c r="D404" s="363" t="str">
        <f>VLOOKUP(Table2[[#This Row],[Course Title]],'TSD-Data'!$A$1:$E$80,2,FALSE)</f>
        <v>A-493-0103</v>
      </c>
      <c r="E404" s="363" t="str">
        <f>VLOOKUP(Table2[[#This Row],[Course Title]],'TSD-Data'!$A$1:$E$80,3,FALSE)</f>
        <v>12JY</v>
      </c>
      <c r="F404" s="315" t="s">
        <v>256</v>
      </c>
      <c r="G404" s="317">
        <v>46160</v>
      </c>
      <c r="H404" s="317">
        <v>45799</v>
      </c>
      <c r="I404" s="317" t="s">
        <v>163</v>
      </c>
      <c r="J404" s="318">
        <v>0.33333333333333331</v>
      </c>
      <c r="K404" s="318"/>
      <c r="L404" s="344"/>
      <c r="M404" s="317"/>
      <c r="N404" s="317"/>
      <c r="O404" s="317"/>
      <c r="P404" s="317"/>
      <c r="Q404" s="321" t="s">
        <v>275</v>
      </c>
      <c r="R404" s="321"/>
      <c r="S404" s="321"/>
      <c r="T404" s="316">
        <f>VLOOKUP(Table2[[#This Row],[Course Title]],'TSD-Data'!$A$1:$E$80,4,FALSE)</f>
        <v>25</v>
      </c>
      <c r="U404" s="363">
        <f>VLOOKUP(Table2[[#This Row],[Course Title]],'TSD-Data'!$A$1:$F$80,6,FALSE)</f>
        <v>40</v>
      </c>
      <c r="V404" s="323">
        <f>VLOOKUP(Table2[[#This Row],[Course Title]],'TSD-Data'!$A$1:$F$80,5,FALSE)</f>
        <v>5</v>
      </c>
      <c r="W404" s="323">
        <v>75</v>
      </c>
      <c r="X404" s="316"/>
      <c r="Y404" s="316"/>
      <c r="Z404" s="323"/>
      <c r="AA404" s="323"/>
      <c r="AB404" s="363"/>
      <c r="AC404" s="363"/>
      <c r="AD404" s="316"/>
      <c r="AE404" s="316"/>
      <c r="AF404" s="323">
        <f ca="1">Table2[[#This Row],[End Date]]+2-TODAY()</f>
        <v>-206</v>
      </c>
      <c r="AG404" s="316">
        <f>IF(ISBLANK(Table2[[#This Row],[Roster Received by]]),1,0)</f>
        <v>1</v>
      </c>
      <c r="AH404" s="316">
        <f ca="1">IF(Table2[[#This Row],[Start Date]]&gt;TODAY(),1,)</f>
        <v>1</v>
      </c>
      <c r="AI404" s="316">
        <f>IF(ISBLANK(Table2[[#This Row],[Primary Instructor]]),0,1)</f>
        <v>1</v>
      </c>
      <c r="AJ404" s="316">
        <f>IF(ISBLANK(Table2[[#This Row],[Instructor 2]]),0,1)</f>
        <v>0</v>
      </c>
      <c r="AK404" s="316">
        <f>Table2[[#This Row],[Course Length (Hours)]]/(SUM(Table2[[#This Row],[1]:[2]]))</f>
        <v>40</v>
      </c>
      <c r="AL404" s="638"/>
      <c r="AM404" s="316">
        <v>3</v>
      </c>
      <c r="AN404" s="363" t="str">
        <f>VLOOKUP(Table2[[#This Row],[Course Title]],'TSD-Data'!$A$1:$G$80,7,FALSE)</f>
        <v>N5</v>
      </c>
    </row>
    <row r="405" spans="2:40" s="428" customFormat="1" x14ac:dyDescent="0.25">
      <c r="B405" s="364"/>
      <c r="C405" s="364" t="s">
        <v>44</v>
      </c>
      <c r="D405" s="316" t="str">
        <f>VLOOKUP(Table2[[#This Row],[Course Title]],'TSD-Data'!$A$1:$E$80,2,FALSE)</f>
        <v>A-493-0665</v>
      </c>
      <c r="E405" s="316" t="str">
        <f>VLOOKUP(Table2[[#This Row],[Course Title]],'TSD-Data'!$A$1:$E$80,3,FALSE)</f>
        <v>10KW</v>
      </c>
      <c r="F405" s="315" t="s">
        <v>25</v>
      </c>
      <c r="G405" s="317">
        <v>46160</v>
      </c>
      <c r="H405" s="317">
        <v>46162</v>
      </c>
      <c r="I405" s="317" t="s">
        <v>163</v>
      </c>
      <c r="J405" s="318"/>
      <c r="K405" s="345">
        <v>0.33333333333333331</v>
      </c>
      <c r="L405" s="345">
        <v>0.20833333333333334</v>
      </c>
      <c r="M405" s="345">
        <v>0.625</v>
      </c>
      <c r="N405" s="345">
        <v>0.54166666666666663</v>
      </c>
      <c r="O405" s="345">
        <v>8.3333333333333329E-2</v>
      </c>
      <c r="P405" s="345">
        <v>0.875</v>
      </c>
      <c r="Q405" s="321" t="s">
        <v>444</v>
      </c>
      <c r="R405" s="321"/>
      <c r="S405" s="321"/>
      <c r="T405" s="316">
        <f>VLOOKUP(Table2[[#This Row],[Course Title]],'TSD-Data'!$A$1:$E$80,4,FALSE)</f>
        <v>45</v>
      </c>
      <c r="U405" s="316">
        <f>VLOOKUP(Table2[[#This Row],[Course Title]],'TSD-Data'!$A$1:$F$80,6,FALSE)</f>
        <v>24</v>
      </c>
      <c r="V405" s="323">
        <f>VLOOKUP(Table2[[#This Row],[Course Title]],'TSD-Data'!$A$1:$F$80,5,FALSE)</f>
        <v>3</v>
      </c>
      <c r="W405" s="323">
        <v>140</v>
      </c>
      <c r="X405" s="316"/>
      <c r="Y405" s="316"/>
      <c r="Z405" s="323"/>
      <c r="AA405" s="323"/>
      <c r="AB405" s="316"/>
      <c r="AC405" s="316"/>
      <c r="AD405" s="316"/>
      <c r="AE405" s="316"/>
      <c r="AF405" s="323">
        <f ca="1">Table2[[#This Row],[End Date]]+2-TODAY()</f>
        <v>157</v>
      </c>
      <c r="AG405" s="316">
        <f>IF(ISBLANK(Table2[[#This Row],[Roster Received by]]),1,0)</f>
        <v>1</v>
      </c>
      <c r="AH405" s="316">
        <f ca="1">IF(Table2[[#This Row],[Start Date]]&gt;TODAY(),1,)</f>
        <v>1</v>
      </c>
      <c r="AI405" s="316">
        <f>IF(ISBLANK(Table2[[#This Row],[Primary Instructor]]),0,1)</f>
        <v>1</v>
      </c>
      <c r="AJ405" s="316">
        <f>IF(ISBLANK(Table2[[#This Row],[Instructor 2]]),0,1)</f>
        <v>0</v>
      </c>
      <c r="AK405" s="316">
        <f>Table2[[#This Row],[Course Length (Hours)]]/(SUM(Table2[[#This Row],[1]:[2]]))</f>
        <v>24</v>
      </c>
      <c r="AL405" s="124"/>
      <c r="AM405" s="316">
        <v>3</v>
      </c>
      <c r="AN405" s="363" t="str">
        <f>VLOOKUP(Table2[[#This Row],[Course Title]],'TSD-Data'!$A$1:$G$80,7,FALSE)</f>
        <v>N8</v>
      </c>
    </row>
    <row r="406" spans="2:40" s="428" customFormat="1" x14ac:dyDescent="0.25">
      <c r="B406" s="437" t="s">
        <v>491</v>
      </c>
      <c r="C406" s="343" t="s">
        <v>61</v>
      </c>
      <c r="D406" s="316" t="str">
        <f>VLOOKUP(Table2[[#This Row],[Course Title]],'TSD-Data'!$A$1:$E$80,2,FALSE)</f>
        <v>A-493-0012</v>
      </c>
      <c r="E406" s="316">
        <f>VLOOKUP(Table2[[#This Row],[Course Title]],'TSD-Data'!$A$1:$E$80,3,FALSE)</f>
        <v>3682</v>
      </c>
      <c r="F406" s="342" t="s">
        <v>293</v>
      </c>
      <c r="G406" s="416">
        <v>46160</v>
      </c>
      <c r="H406" s="416">
        <v>46164</v>
      </c>
      <c r="I406" s="341" t="s">
        <v>167</v>
      </c>
      <c r="J406" s="318">
        <v>0.33333333333333331</v>
      </c>
      <c r="K406" s="345"/>
      <c r="L406" s="344"/>
      <c r="M406" s="344"/>
      <c r="N406" s="344"/>
      <c r="O406" s="344"/>
      <c r="P406" s="344"/>
      <c r="Q406" s="321" t="s">
        <v>438</v>
      </c>
      <c r="R406" s="321"/>
      <c r="S406" s="321"/>
      <c r="T406" s="316">
        <f>VLOOKUP(Table2[[#This Row],[Course Title]],'TSD-Data'!$A$1:$E$80,4,FALSE)</f>
        <v>40</v>
      </c>
      <c r="U406" s="316">
        <f>VLOOKUP(Table2[[#This Row],[Course Title]],'TSD-Data'!$A$1:$F$80,6,FALSE)</f>
        <v>40</v>
      </c>
      <c r="V406" s="323">
        <f>VLOOKUP(Table2[[#This Row],[Course Title]],'TSD-Data'!$A$1:$F$80,5,FALSE)</f>
        <v>5</v>
      </c>
      <c r="W406" s="316">
        <v>20</v>
      </c>
      <c r="X406" s="316"/>
      <c r="Y406" s="316"/>
      <c r="Z406" s="323"/>
      <c r="AA406" s="323"/>
      <c r="AB406" s="316"/>
      <c r="AC406" s="316"/>
      <c r="AD406" s="316"/>
      <c r="AE406" s="316"/>
      <c r="AF406" s="323">
        <f ca="1">Table2[[#This Row],[End Date]]+2-TODAY()</f>
        <v>159</v>
      </c>
      <c r="AG406" s="316">
        <f>IF(ISBLANK(Table2[[#This Row],[Roster Received by]]),1,0)</f>
        <v>1</v>
      </c>
      <c r="AH406" s="316">
        <f ca="1">IF(Table2[[#This Row],[Start Date]]&gt;TODAY(),1,)</f>
        <v>1</v>
      </c>
      <c r="AI406" s="316">
        <f>IF(ISBLANK(Table2[[#This Row],[Primary Instructor]]),0,1)</f>
        <v>1</v>
      </c>
      <c r="AJ406" s="316">
        <f>IF(ISBLANK(Table2[[#This Row],[Instructor 2]]),0,1)</f>
        <v>0</v>
      </c>
      <c r="AK406" s="316">
        <f>Table2[[#This Row],[Course Length (Hours)]]/(SUM(Table2[[#This Row],[1]:[2]]))</f>
        <v>40</v>
      </c>
      <c r="AL406" s="124"/>
      <c r="AM406" s="316">
        <v>3</v>
      </c>
      <c r="AN406" s="363" t="str">
        <f>VLOOKUP(Table2[[#This Row],[Course Title]],'TSD-Data'!$A$1:$G$80,7,FALSE)</f>
        <v>N4</v>
      </c>
    </row>
    <row r="407" spans="2:40" s="428" customFormat="1" x14ac:dyDescent="0.25">
      <c r="B407" s="438" t="s">
        <v>492</v>
      </c>
      <c r="C407" s="343" t="s">
        <v>61</v>
      </c>
      <c r="D407" s="316" t="str">
        <f>VLOOKUP(Table2[[#This Row],[Course Title]],'TSD-Data'!$A$1:$E$80,2,FALSE)</f>
        <v>A-493-0012</v>
      </c>
      <c r="E407" s="316">
        <f>VLOOKUP(Table2[[#This Row],[Course Title]],'TSD-Data'!$A$1:$E$80,3,FALSE)</f>
        <v>3682</v>
      </c>
      <c r="F407" s="342" t="s">
        <v>229</v>
      </c>
      <c r="G407" s="416">
        <v>46160</v>
      </c>
      <c r="H407" s="416">
        <v>46164</v>
      </c>
      <c r="I407" s="341" t="s">
        <v>167</v>
      </c>
      <c r="J407" s="318">
        <v>0.33333333333333331</v>
      </c>
      <c r="K407" s="318"/>
      <c r="L407" s="344"/>
      <c r="M407" s="317"/>
      <c r="N407" s="317"/>
      <c r="O407" s="317"/>
      <c r="P407" s="317"/>
      <c r="Q407" s="321" t="s">
        <v>447</v>
      </c>
      <c r="R407" s="321"/>
      <c r="S407" s="321"/>
      <c r="T407" s="316">
        <f>VLOOKUP(Table2[[#This Row],[Course Title]],'TSD-Data'!$A$1:$E$80,4,FALSE)</f>
        <v>40</v>
      </c>
      <c r="U407" s="316">
        <f>VLOOKUP(Table2[[#This Row],[Course Title]],'TSD-Data'!$A$1:$F$80,6,FALSE)</f>
        <v>40</v>
      </c>
      <c r="V407" s="323">
        <f>VLOOKUP(Table2[[#This Row],[Course Title]],'TSD-Data'!$A$1:$F$80,5,FALSE)</f>
        <v>5</v>
      </c>
      <c r="W407" s="316">
        <v>13</v>
      </c>
      <c r="X407" s="316"/>
      <c r="Y407" s="316"/>
      <c r="Z407" s="323"/>
      <c r="AA407" s="323"/>
      <c r="AB407" s="316"/>
      <c r="AC407" s="316"/>
      <c r="AD407" s="316"/>
      <c r="AE407" s="316"/>
      <c r="AF407" s="323">
        <f ca="1">Table2[[#This Row],[End Date]]+2-TODAY()</f>
        <v>159</v>
      </c>
      <c r="AG407" s="316">
        <f>IF(ISBLANK(Table2[[#This Row],[Roster Received by]]),1,0)</f>
        <v>1</v>
      </c>
      <c r="AH407" s="316">
        <f ca="1">IF(Table2[[#This Row],[Start Date]]&gt;TODAY(),1,)</f>
        <v>1</v>
      </c>
      <c r="AI407" s="316">
        <f>IF(ISBLANK(Table2[[#This Row],[Primary Instructor]]),0,1)</f>
        <v>1</v>
      </c>
      <c r="AJ407" s="316">
        <f>IF(ISBLANK(Table2[[#This Row],[Instructor 2]]),0,1)</f>
        <v>0</v>
      </c>
      <c r="AK407" s="316">
        <f>Table2[[#This Row],[Course Length (Hours)]]/(SUM(Table2[[#This Row],[1]:[2]]))</f>
        <v>40</v>
      </c>
      <c r="AL407" s="124"/>
      <c r="AM407" s="316">
        <v>3</v>
      </c>
      <c r="AN407" s="363" t="str">
        <f>VLOOKUP(Table2[[#This Row],[Course Title]],'TSD-Data'!$A$1:$G$80,7,FALSE)</f>
        <v>N4</v>
      </c>
    </row>
    <row r="408" spans="2:40" s="428" customFormat="1" x14ac:dyDescent="0.25">
      <c r="B408" s="315"/>
      <c r="C408" s="364" t="s">
        <v>71</v>
      </c>
      <c r="D408" s="316" t="str">
        <f>VLOOKUP(Table2[[#This Row],[Course Title]],'TSD-Data'!$A$1:$E$80,2,FALSE)</f>
        <v>A-493-0061</v>
      </c>
      <c r="E408" s="316" t="str">
        <f>VLOOKUP(Table2[[#This Row],[Course Title]],'TSD-Data'!$A$1:$E$80,3,FALSE)</f>
        <v>288E</v>
      </c>
      <c r="F408" s="315" t="s">
        <v>25</v>
      </c>
      <c r="G408" s="317">
        <v>46160</v>
      </c>
      <c r="H408" s="317">
        <v>46163</v>
      </c>
      <c r="I408" s="317" t="s">
        <v>163</v>
      </c>
      <c r="J408" s="318"/>
      <c r="K408" s="345">
        <v>0.5</v>
      </c>
      <c r="L408" s="429">
        <v>0.375</v>
      </c>
      <c r="M408" s="431">
        <v>0.79166666666666663</v>
      </c>
      <c r="N408" s="431">
        <v>0.75</v>
      </c>
      <c r="O408" s="431">
        <v>0.25</v>
      </c>
      <c r="P408" s="431">
        <v>4.1666666666666664E-2</v>
      </c>
      <c r="Q408" s="321" t="s">
        <v>272</v>
      </c>
      <c r="R408" s="321"/>
      <c r="S408" s="321"/>
      <c r="T408" s="316">
        <f>VLOOKUP(Table2[[#This Row],[Course Title]],'TSD-Data'!$A$1:$E$80,4,FALSE)</f>
        <v>45</v>
      </c>
      <c r="U408" s="316">
        <f>VLOOKUP(Table2[[#This Row],[Course Title]],'TSD-Data'!$A$1:$F$80,6,FALSE)</f>
        <v>30</v>
      </c>
      <c r="V408" s="323">
        <f>VLOOKUP(Table2[[#This Row],[Course Title]],'TSD-Data'!$A$1:$F$80,5,FALSE)</f>
        <v>4</v>
      </c>
      <c r="W408" s="323">
        <v>620</v>
      </c>
      <c r="X408" s="316"/>
      <c r="Y408" s="316"/>
      <c r="Z408" s="323"/>
      <c r="AA408" s="323"/>
      <c r="AB408" s="316"/>
      <c r="AC408" s="316"/>
      <c r="AD408" s="316"/>
      <c r="AE408" s="316"/>
      <c r="AF408" s="323">
        <f ca="1">Table2[[#This Row],[End Date]]+2-TODAY()</f>
        <v>158</v>
      </c>
      <c r="AG408" s="316">
        <f>IF(ISBLANK(Table2[[#This Row],[Roster Received by]]),1,0)</f>
        <v>1</v>
      </c>
      <c r="AH408" s="316">
        <f ca="1">IF(Table2[[#This Row],[Start Date]]&gt;TODAY(),1,)</f>
        <v>1</v>
      </c>
      <c r="AI408" s="316">
        <f>IF(ISBLANK(Table2[[#This Row],[Primary Instructor]]),0,1)</f>
        <v>1</v>
      </c>
      <c r="AJ408" s="316">
        <f>IF(ISBLANK(Table2[[#This Row],[Instructor 2]]),0,1)</f>
        <v>0</v>
      </c>
      <c r="AK408" s="316">
        <f>Table2[[#This Row],[Course Length (Hours)]]/(SUM(Table2[[#This Row],[1]:[2]]))</f>
        <v>30</v>
      </c>
      <c r="AL408" s="124"/>
      <c r="AM408" s="316">
        <v>3</v>
      </c>
      <c r="AN408" s="363" t="str">
        <f>VLOOKUP(Table2[[#This Row],[Course Title]],'TSD-Data'!$A$1:$G$80,7,FALSE)</f>
        <v>N5</v>
      </c>
    </row>
    <row r="409" spans="2:40" s="428" customFormat="1" x14ac:dyDescent="0.25">
      <c r="B409" s="315"/>
      <c r="C409" s="364" t="s">
        <v>74</v>
      </c>
      <c r="D409" s="316" t="str">
        <f>VLOOKUP(Table2[[#This Row],[Course Title]],'TSD-Data'!$A$1:$E$80,2,FALSE)</f>
        <v>A-322-2604</v>
      </c>
      <c r="E409" s="316" t="str">
        <f>VLOOKUP(Table2[[#This Row],[Course Title]],'TSD-Data'!$A$1:$E$80,3,FALSE)</f>
        <v>10ZZ</v>
      </c>
      <c r="F409" s="315" t="s">
        <v>25</v>
      </c>
      <c r="G409" s="317">
        <v>46160</v>
      </c>
      <c r="H409" s="317">
        <v>46162</v>
      </c>
      <c r="I409" s="317" t="s">
        <v>163</v>
      </c>
      <c r="J409" s="318"/>
      <c r="K409" s="332">
        <v>0.5</v>
      </c>
      <c r="L409" s="431">
        <v>0.375</v>
      </c>
      <c r="M409" s="431">
        <v>0.79166666666666663</v>
      </c>
      <c r="N409" s="431">
        <v>0.75</v>
      </c>
      <c r="O409" s="431">
        <v>0.25</v>
      </c>
      <c r="P409" s="431">
        <v>4.1666666666666664E-2</v>
      </c>
      <c r="Q409" s="321" t="s">
        <v>431</v>
      </c>
      <c r="R409" s="321"/>
      <c r="S409" s="321"/>
      <c r="T409" s="316">
        <f>VLOOKUP(Table2[[#This Row],[Course Title]],'TSD-Data'!$A$1:$E$80,4,FALSE)</f>
        <v>45</v>
      </c>
      <c r="U409" s="316">
        <f>VLOOKUP(Table2[[#This Row],[Course Title]],'TSD-Data'!$A$1:$F$80,6,FALSE)</f>
        <v>24</v>
      </c>
      <c r="V409" s="323">
        <f>VLOOKUP(Table2[[#This Row],[Course Title]],'TSD-Data'!$A$1:$F$80,5,FALSE)</f>
        <v>3</v>
      </c>
      <c r="W409" s="323">
        <v>621</v>
      </c>
      <c r="X409" s="316"/>
      <c r="Y409" s="316"/>
      <c r="Z409" s="323"/>
      <c r="AA409" s="323"/>
      <c r="AB409" s="316"/>
      <c r="AC409" s="316"/>
      <c r="AD409" s="316"/>
      <c r="AE409" s="316"/>
      <c r="AF409" s="323">
        <f ca="1">Table2[[#This Row],[End Date]]+2-TODAY()</f>
        <v>157</v>
      </c>
      <c r="AG409" s="316">
        <f>IF(ISBLANK(Table2[[#This Row],[Roster Received by]]),1,0)</f>
        <v>1</v>
      </c>
      <c r="AH409" s="316">
        <f ca="1">IF(Table2[[#This Row],[Start Date]]&gt;TODAY(),1,)</f>
        <v>1</v>
      </c>
      <c r="AI409" s="316">
        <f>IF(ISBLANK(Table2[[#This Row],[Primary Instructor]]),0,1)</f>
        <v>1</v>
      </c>
      <c r="AJ409" s="316">
        <f>IF(ISBLANK(Table2[[#This Row],[Instructor 2]]),0,1)</f>
        <v>0</v>
      </c>
      <c r="AK409" s="316">
        <f>Table2[[#This Row],[Course Length (Hours)]]/(SUM(Table2[[#This Row],[1]:[2]]))</f>
        <v>24</v>
      </c>
      <c r="AL409" s="124"/>
      <c r="AM409" s="316">
        <v>3</v>
      </c>
      <c r="AN409" s="363" t="str">
        <f>VLOOKUP(Table2[[#This Row],[Course Title]],'TSD-Data'!$A$1:$G$80,7,FALSE)</f>
        <v>N8</v>
      </c>
    </row>
    <row r="410" spans="2:40" s="428" customFormat="1" x14ac:dyDescent="0.25">
      <c r="B410" s="315"/>
      <c r="C410" s="364" t="s">
        <v>97</v>
      </c>
      <c r="D410" s="421" t="str">
        <f>VLOOKUP(Table2[[#This Row],[Course Title]],'TSD-Data'!$A$1:$E$80,2,FALSE)</f>
        <v>A-493-0335</v>
      </c>
      <c r="E410" s="421" t="str">
        <f>VLOOKUP(Table2[[#This Row],[Course Title]],'TSD-Data'!$A$1:$E$80,3,FALSE)</f>
        <v>09ND</v>
      </c>
      <c r="F410" s="364" t="s">
        <v>25</v>
      </c>
      <c r="G410" s="344">
        <v>46160</v>
      </c>
      <c r="H410" s="344">
        <v>46163</v>
      </c>
      <c r="I410" s="317" t="s">
        <v>163</v>
      </c>
      <c r="J410" s="318"/>
      <c r="K410" s="345">
        <v>0.5</v>
      </c>
      <c r="L410" s="429">
        <v>0.375</v>
      </c>
      <c r="M410" s="429">
        <v>0.79166666666666663</v>
      </c>
      <c r="N410" s="429">
        <v>0.75</v>
      </c>
      <c r="O410" s="429">
        <v>0.25</v>
      </c>
      <c r="P410" s="429">
        <v>4.1666666666666664E-2</v>
      </c>
      <c r="Q410" s="321" t="s">
        <v>445</v>
      </c>
      <c r="R410" s="321"/>
      <c r="S410" s="321"/>
      <c r="T410" s="316">
        <f>VLOOKUP(Table2[[#This Row],[Course Title]],'TSD-Data'!$A$1:$E$80,4,FALSE)</f>
        <v>45</v>
      </c>
      <c r="U410" s="316">
        <f>VLOOKUP(Table2[[#This Row],[Course Title]],'TSD-Data'!$A$1:$F$80,6,FALSE)</f>
        <v>32</v>
      </c>
      <c r="V410" s="323">
        <f>VLOOKUP(Table2[[#This Row],[Course Title]],'TSD-Data'!$A$1:$F$80,5,FALSE)</f>
        <v>4</v>
      </c>
      <c r="W410" s="323">
        <v>537</v>
      </c>
      <c r="X410" s="316"/>
      <c r="Y410" s="316"/>
      <c r="Z410" s="323"/>
      <c r="AA410" s="323"/>
      <c r="AB410" s="316"/>
      <c r="AC410" s="316"/>
      <c r="AD410" s="316"/>
      <c r="AE410" s="316"/>
      <c r="AF410" s="323">
        <f ca="1">Table2[[#This Row],[End Date]]+2-TODAY()</f>
        <v>158</v>
      </c>
      <c r="AG410" s="316">
        <f>IF(ISBLANK(Table2[[#This Row],[Roster Received by]]),1,0)</f>
        <v>1</v>
      </c>
      <c r="AH410" s="316">
        <f ca="1">IF(Table2[[#This Row],[Start Date]]&gt;TODAY(),1,)</f>
        <v>1</v>
      </c>
      <c r="AI410" s="316">
        <f>IF(ISBLANK(Table2[[#This Row],[Primary Instructor]]),0,1)</f>
        <v>1</v>
      </c>
      <c r="AJ410" s="316">
        <f>IF(ISBLANK(Table2[[#This Row],[Instructor 2]]),0,1)</f>
        <v>0</v>
      </c>
      <c r="AK410" s="316">
        <f>Table2[[#This Row],[Course Length (Hours)]]/(SUM(Table2[[#This Row],[1]:[2]]))</f>
        <v>32</v>
      </c>
      <c r="AL410" s="124"/>
      <c r="AM410" s="316">
        <v>3</v>
      </c>
      <c r="AN410" s="363" t="str">
        <f>VLOOKUP(Table2[[#This Row],[Course Title]],'TSD-Data'!$A$1:$G$80,7,FALSE)</f>
        <v>N3</v>
      </c>
    </row>
    <row r="411" spans="2:40" s="428" customFormat="1" x14ac:dyDescent="0.25">
      <c r="B411" s="364"/>
      <c r="C411" s="315" t="s">
        <v>110</v>
      </c>
      <c r="D411" s="316" t="str">
        <f>VLOOKUP(Table2[[#This Row],[Course Title]],'TSD-Data'!$A$1:$E$80,2,FALSE)</f>
        <v>A-493-2501</v>
      </c>
      <c r="E411" s="316" t="str">
        <f>VLOOKUP(Table2[[#This Row],[Course Title]],'TSD-Data'!$A$1:$E$80,3,FALSE)</f>
        <v>05ZE</v>
      </c>
      <c r="F411" s="315" t="s">
        <v>173</v>
      </c>
      <c r="G411" s="317">
        <v>46160</v>
      </c>
      <c r="H411" s="317">
        <v>46160</v>
      </c>
      <c r="I411" s="341" t="s">
        <v>167</v>
      </c>
      <c r="J411" s="318">
        <v>0.33333333333333331</v>
      </c>
      <c r="K411" s="318"/>
      <c r="L411" s="317"/>
      <c r="M411" s="317"/>
      <c r="N411" s="317"/>
      <c r="O411" s="317"/>
      <c r="P411" s="317"/>
      <c r="Q411" s="321" t="s">
        <v>168</v>
      </c>
      <c r="R411" s="321"/>
      <c r="S411" s="321"/>
      <c r="T411" s="316">
        <f>VLOOKUP(Table2[[#This Row],[Course Title]],'TSD-Data'!$A$1:$E$80,4,FALSE)</f>
        <v>30</v>
      </c>
      <c r="U411" s="316">
        <f>VLOOKUP(Table2[[#This Row],[Course Title]],'TSD-Data'!$A$1:$F$80,6,FALSE)</f>
        <v>8</v>
      </c>
      <c r="V411" s="323">
        <f>VLOOKUP(Table2[[#This Row],[Course Title]],'TSD-Data'!$A$1:$F$80,5,FALSE)</f>
        <v>1</v>
      </c>
      <c r="W411" s="323">
        <v>58</v>
      </c>
      <c r="X411" s="316"/>
      <c r="Y411" s="316"/>
      <c r="Z411" s="323"/>
      <c r="AA411" s="323"/>
      <c r="AB411" s="363"/>
      <c r="AC411" s="363"/>
      <c r="AD411" s="316"/>
      <c r="AE411" s="316"/>
      <c r="AF411" s="323">
        <f ca="1">Table2[[#This Row],[End Date]]+2-TODAY()</f>
        <v>155</v>
      </c>
      <c r="AG411" s="316">
        <f>IF(ISBLANK(Table2[[#This Row],[Roster Received by]]),1,0)</f>
        <v>1</v>
      </c>
      <c r="AH411" s="316">
        <f ca="1">IF(Table2[[#This Row],[Start Date]]&gt;TODAY(),1,)</f>
        <v>1</v>
      </c>
      <c r="AI411" s="316">
        <f>IF(ISBLANK(Table2[[#This Row],[Primary Instructor]]),0,1)</f>
        <v>1</v>
      </c>
      <c r="AJ411" s="316">
        <f>IF(ISBLANK(Table2[[#This Row],[Instructor 2]]),0,1)</f>
        <v>0</v>
      </c>
      <c r="AK411" s="316">
        <f>Table2[[#This Row],[Course Length (Hours)]]/(SUM(Table2[[#This Row],[1]:[2]]))</f>
        <v>8</v>
      </c>
      <c r="AL411" s="638"/>
      <c r="AM411" s="316">
        <v>3</v>
      </c>
      <c r="AN411" s="363" t="str">
        <f>VLOOKUP(Table2[[#This Row],[Course Title]],'TSD-Data'!$A$1:$G$80,7,FALSE)</f>
        <v>N4</v>
      </c>
    </row>
    <row r="412" spans="2:40" s="428" customFormat="1" x14ac:dyDescent="0.25">
      <c r="B412" s="315"/>
      <c r="C412" s="364" t="s">
        <v>119</v>
      </c>
      <c r="D412" s="316" t="str">
        <f>VLOOKUP(Table2[[#This Row],[Course Title]],'TSD-Data'!$A$1:$E$80,2,FALSE)</f>
        <v>A-493-2098</v>
      </c>
      <c r="E412" s="316" t="str">
        <f>VLOOKUP(Table2[[#This Row],[Course Title]],'TSD-Data'!$A$1:$E$80,3,FALSE)</f>
        <v>09WW</v>
      </c>
      <c r="F412" s="364" t="s">
        <v>25</v>
      </c>
      <c r="G412" s="344">
        <v>46160</v>
      </c>
      <c r="H412" s="344">
        <v>46162</v>
      </c>
      <c r="I412" s="317" t="s">
        <v>163</v>
      </c>
      <c r="J412" s="318"/>
      <c r="K412" s="345">
        <v>0.5</v>
      </c>
      <c r="L412" s="429">
        <v>0.375</v>
      </c>
      <c r="M412" s="429">
        <v>0.79166666666666663</v>
      </c>
      <c r="N412" s="429">
        <v>0.75</v>
      </c>
      <c r="O412" s="429">
        <v>0.25</v>
      </c>
      <c r="P412" s="429">
        <v>4.1666666666666664E-2</v>
      </c>
      <c r="Q412" s="321" t="s">
        <v>164</v>
      </c>
      <c r="R412" s="321"/>
      <c r="S412" s="321"/>
      <c r="T412" s="316">
        <f>VLOOKUP(Table2[[#This Row],[Course Title]],'TSD-Data'!$A$1:$E$80,4,FALSE)</f>
        <v>100</v>
      </c>
      <c r="U412" s="316">
        <f>VLOOKUP(Table2[[#This Row],[Course Title]],'TSD-Data'!$A$1:$F$80,6,FALSE)</f>
        <v>16</v>
      </c>
      <c r="V412" s="323">
        <f>VLOOKUP(Table2[[#This Row],[Course Title]],'TSD-Data'!$A$1:$F$80,5,FALSE)</f>
        <v>3</v>
      </c>
      <c r="W412" s="323">
        <v>1882</v>
      </c>
      <c r="X412" s="316"/>
      <c r="Y412" s="316"/>
      <c r="Z412" s="323"/>
      <c r="AA412" s="323"/>
      <c r="AB412" s="316"/>
      <c r="AC412" s="316"/>
      <c r="AD412" s="316"/>
      <c r="AE412" s="316"/>
      <c r="AF412" s="323">
        <f ca="1">Table2[[#This Row],[End Date]]+2-TODAY()</f>
        <v>157</v>
      </c>
      <c r="AG412" s="316">
        <f>IF(ISBLANK(Table2[[#This Row],[Roster Received by]]),1,0)</f>
        <v>1</v>
      </c>
      <c r="AH412" s="316">
        <f ca="1">IF(Table2[[#This Row],[Start Date]]&gt;TODAY(),1,)</f>
        <v>1</v>
      </c>
      <c r="AI412" s="316">
        <f>IF(ISBLANK(Table2[[#This Row],[Primary Instructor]]),0,1)</f>
        <v>1</v>
      </c>
      <c r="AJ412" s="316">
        <f>IF(ISBLANK(Table2[[#This Row],[Instructor 2]]),0,1)</f>
        <v>0</v>
      </c>
      <c r="AK412" s="316">
        <f>Table2[[#This Row],[Course Length (Hours)]]/(SUM(Table2[[#This Row],[1]:[2]]))</f>
        <v>16</v>
      </c>
      <c r="AL412" s="124"/>
      <c r="AM412" s="316">
        <v>3</v>
      </c>
      <c r="AN412" s="363" t="str">
        <f>VLOOKUP(Table2[[#This Row],[Course Title]],'TSD-Data'!$A$1:$G$80,7,FALSE)</f>
        <v>N8</v>
      </c>
    </row>
    <row r="413" spans="2:40" s="428" customFormat="1" x14ac:dyDescent="0.25">
      <c r="B413" s="315"/>
      <c r="C413" s="364" t="s">
        <v>106</v>
      </c>
      <c r="D413" s="316" t="str">
        <f>VLOOKUP(Table2[[#This Row],[Course Title]],'TSD-Data'!$A$1:$E$80,2,FALSE)</f>
        <v>A-493-0078</v>
      </c>
      <c r="E413" s="316">
        <f>VLOOKUP(Table2[[#This Row],[Course Title]],'TSD-Data'!$A$1:$E$80,3,FALSE)</f>
        <v>1228</v>
      </c>
      <c r="F413" s="364" t="s">
        <v>25</v>
      </c>
      <c r="G413" s="317">
        <v>46160</v>
      </c>
      <c r="H413" s="317">
        <v>46163</v>
      </c>
      <c r="I413" s="317" t="s">
        <v>163</v>
      </c>
      <c r="J413" s="318"/>
      <c r="K413" s="318">
        <v>0.5</v>
      </c>
      <c r="L413" s="429">
        <v>0.375</v>
      </c>
      <c r="M413" s="431">
        <v>0.79166666666666663</v>
      </c>
      <c r="N413" s="431">
        <v>0.75</v>
      </c>
      <c r="O413" s="431">
        <v>0.25</v>
      </c>
      <c r="P413" s="429">
        <v>4.1666666666666664E-2</v>
      </c>
      <c r="Q413" s="321" t="s">
        <v>172</v>
      </c>
      <c r="R413" s="321"/>
      <c r="S413" s="321"/>
      <c r="T413" s="316">
        <f>VLOOKUP(Table2[[#This Row],[Course Title]],'TSD-Data'!$A$1:$E$80,4,FALSE)</f>
        <v>45</v>
      </c>
      <c r="U413" s="316">
        <f>VLOOKUP(Table2[[#This Row],[Course Title]],'TSD-Data'!$A$1:$F$80,6,FALSE)</f>
        <v>32</v>
      </c>
      <c r="V413" s="323">
        <f>VLOOKUP(Table2[[#This Row],[Course Title]],'TSD-Data'!$A$1:$F$80,5,FALSE)</f>
        <v>4</v>
      </c>
      <c r="W413" s="323">
        <v>568</v>
      </c>
      <c r="X413" s="316"/>
      <c r="Y413" s="316"/>
      <c r="Z413" s="323"/>
      <c r="AA413" s="323"/>
      <c r="AB413" s="316"/>
      <c r="AC413" s="316"/>
      <c r="AD413" s="316"/>
      <c r="AE413" s="316"/>
      <c r="AF413" s="323">
        <f ca="1">Table2[[#This Row],[End Date]]+2-TODAY()</f>
        <v>158</v>
      </c>
      <c r="AG413" s="316">
        <f>IF(ISBLANK(Table2[[#This Row],[Roster Received by]]),1,0)</f>
        <v>1</v>
      </c>
      <c r="AH413" s="316">
        <f ca="1">IF(Table2[[#This Row],[Start Date]]&gt;TODAY(),1,)</f>
        <v>1</v>
      </c>
      <c r="AI413" s="316">
        <f>IF(ISBLANK(Table2[[#This Row],[Primary Instructor]]),0,1)</f>
        <v>1</v>
      </c>
      <c r="AJ413" s="316">
        <f>IF(ISBLANK(Table2[[#This Row],[Instructor 2]]),0,1)</f>
        <v>0</v>
      </c>
      <c r="AK413" s="316">
        <f>Table2[[#This Row],[Course Length (Hours)]]/(SUM(Table2[[#This Row],[1]:[2]]))</f>
        <v>32</v>
      </c>
      <c r="AL413" s="124"/>
      <c r="AM413" s="316">
        <v>3</v>
      </c>
      <c r="AN413" s="363" t="str">
        <f>VLOOKUP(Table2[[#This Row],[Course Title]],'TSD-Data'!$A$1:$G$80,7,FALSE)</f>
        <v>N5</v>
      </c>
    </row>
    <row r="414" spans="2:40" s="428" customFormat="1" x14ac:dyDescent="0.25">
      <c r="B414" s="315" t="s">
        <v>493</v>
      </c>
      <c r="C414" s="364" t="s">
        <v>63</v>
      </c>
      <c r="D414" s="316" t="str">
        <f>VLOOKUP(Table2[[#This Row],[Course Title]],'TSD-Data'!$A$1:$E$80,2,FALSE)</f>
        <v>A-493-0013</v>
      </c>
      <c r="E414" s="316">
        <f>VLOOKUP(Table2[[#This Row],[Course Title]],'TSD-Data'!$A$1:$E$80,3,FALSE)</f>
        <v>3683</v>
      </c>
      <c r="F414" s="315" t="s">
        <v>265</v>
      </c>
      <c r="G414" s="317">
        <v>46161</v>
      </c>
      <c r="H414" s="317">
        <v>46163</v>
      </c>
      <c r="I414" s="341" t="s">
        <v>167</v>
      </c>
      <c r="J414" s="318">
        <v>0.33333333333333331</v>
      </c>
      <c r="K414" s="345"/>
      <c r="L414" s="344"/>
      <c r="M414" s="344"/>
      <c r="N414" s="344"/>
      <c r="O414" s="344"/>
      <c r="P414" s="344"/>
      <c r="Q414" s="321" t="s">
        <v>453</v>
      </c>
      <c r="R414" s="321"/>
      <c r="S414" s="321"/>
      <c r="T414" s="316">
        <f>VLOOKUP(Table2[[#This Row],[Course Title]],'TSD-Data'!$A$1:$E$80,4,FALSE)</f>
        <v>40</v>
      </c>
      <c r="U414" s="316">
        <f>VLOOKUP(Table2[[#This Row],[Course Title]],'TSD-Data'!$A$1:$F$80,6,FALSE)</f>
        <v>24</v>
      </c>
      <c r="V414" s="323">
        <f>VLOOKUP(Table2[[#This Row],[Course Title]],'TSD-Data'!$A$1:$F$80,5,FALSE)</f>
        <v>3</v>
      </c>
      <c r="W414" s="323">
        <v>30</v>
      </c>
      <c r="X414" s="316"/>
      <c r="Y414" s="316"/>
      <c r="Z414" s="323"/>
      <c r="AA414" s="323"/>
      <c r="AB414" s="363"/>
      <c r="AC414" s="363"/>
      <c r="AD414" s="316"/>
      <c r="AE414" s="316"/>
      <c r="AF414" s="323">
        <f ca="1">Table2[[#This Row],[End Date]]+2-TODAY()</f>
        <v>158</v>
      </c>
      <c r="AG414" s="316">
        <f>IF(ISBLANK(Table2[[#This Row],[Roster Received by]]),1,0)</f>
        <v>1</v>
      </c>
      <c r="AH414" s="316">
        <f ca="1">IF(Table2[[#This Row],[Start Date]]&gt;TODAY(),1,)</f>
        <v>1</v>
      </c>
      <c r="AI414" s="316">
        <f>IF(ISBLANK(Table2[[#This Row],[Primary Instructor]]),0,1)</f>
        <v>1</v>
      </c>
      <c r="AJ414" s="316">
        <f>IF(ISBLANK(Table2[[#This Row],[Instructor 2]]),0,1)</f>
        <v>0</v>
      </c>
      <c r="AK414" s="316">
        <f>Table2[[#This Row],[Course Length (Hours)]]/(SUM(Table2[[#This Row],[1]:[2]]))</f>
        <v>24</v>
      </c>
      <c r="AL414" s="638"/>
      <c r="AM414" s="316">
        <v>3</v>
      </c>
      <c r="AN414" s="363" t="str">
        <f>VLOOKUP(Table2[[#This Row],[Course Title]],'TSD-Data'!$A$1:$G$80,7,FALSE)</f>
        <v>N4</v>
      </c>
    </row>
    <row r="415" spans="2:40" s="428" customFormat="1" x14ac:dyDescent="0.25">
      <c r="B415" s="315"/>
      <c r="C415" s="364" t="s">
        <v>77</v>
      </c>
      <c r="D415" s="316" t="str">
        <f>VLOOKUP(Table2[[#This Row],[Course Title]],'TSD-Data'!$A$1:$E$80,2,FALSE)</f>
        <v>A-493-0077</v>
      </c>
      <c r="E415" s="316" t="str">
        <f>VLOOKUP(Table2[[#This Row],[Course Title]],'TSD-Data'!$A$1:$E$80,3,FALSE)</f>
        <v>0381</v>
      </c>
      <c r="F415" s="315" t="s">
        <v>494</v>
      </c>
      <c r="G415" s="344">
        <v>46161</v>
      </c>
      <c r="H415" s="344">
        <v>46163</v>
      </c>
      <c r="I415" s="341" t="s">
        <v>167</v>
      </c>
      <c r="J415" s="318">
        <v>0.33333333333333331</v>
      </c>
      <c r="K415" s="345"/>
      <c r="L415" s="317"/>
      <c r="M415" s="317"/>
      <c r="N415" s="317"/>
      <c r="O415" s="317"/>
      <c r="P415" s="317"/>
      <c r="Q415" s="321" t="s">
        <v>168</v>
      </c>
      <c r="R415" s="321"/>
      <c r="S415" s="321"/>
      <c r="T415" s="316">
        <f>VLOOKUP(Table2[[#This Row],[Course Title]],'TSD-Data'!$A$1:$E$80,4,FALSE)</f>
        <v>25</v>
      </c>
      <c r="U415" s="316">
        <f>VLOOKUP(Table2[[#This Row],[Course Title]],'TSD-Data'!$A$1:$F$80,6,FALSE)</f>
        <v>24</v>
      </c>
      <c r="V415" s="323">
        <f>VLOOKUP(Table2[[#This Row],[Course Title]],'TSD-Data'!$A$1:$F$80,5,FALSE)</f>
        <v>3</v>
      </c>
      <c r="W415" s="323">
        <v>22</v>
      </c>
      <c r="X415" s="316"/>
      <c r="Y415" s="316"/>
      <c r="Z415" s="323"/>
      <c r="AA415" s="323"/>
      <c r="AB415" s="363"/>
      <c r="AC415" s="363"/>
      <c r="AD415" s="316"/>
      <c r="AE415" s="316"/>
      <c r="AF415" s="323">
        <f ca="1">Table2[[#This Row],[End Date]]+2-TODAY()</f>
        <v>158</v>
      </c>
      <c r="AG415" s="316">
        <f>IF(ISBLANK(Table2[[#This Row],[Roster Received by]]),1,0)</f>
        <v>1</v>
      </c>
      <c r="AH415" s="316">
        <f ca="1">IF(Table2[[#This Row],[Start Date]]&gt;TODAY(),1,)</f>
        <v>1</v>
      </c>
      <c r="AI415" s="316">
        <f>IF(ISBLANK(Table2[[#This Row],[Primary Instructor]]),0,1)</f>
        <v>1</v>
      </c>
      <c r="AJ415" s="316">
        <f>IF(ISBLANK(Table2[[#This Row],[Instructor 2]]),0,1)</f>
        <v>0</v>
      </c>
      <c r="AK415" s="316">
        <f>Table2[[#This Row],[Course Length (Hours)]]/(SUM(Table2[[#This Row],[1]:[2]]))</f>
        <v>24</v>
      </c>
      <c r="AL415" s="638"/>
      <c r="AM415" s="316">
        <v>3</v>
      </c>
      <c r="AN415" s="363" t="str">
        <f>VLOOKUP(Table2[[#This Row],[Course Title]],'TSD-Data'!$A$1:$G$80,7,FALSE)</f>
        <v>N4</v>
      </c>
    </row>
    <row r="416" spans="2:40" s="428" customFormat="1" x14ac:dyDescent="0.25">
      <c r="B416" s="315"/>
      <c r="C416" s="439" t="s">
        <v>94</v>
      </c>
      <c r="D416" s="316" t="str">
        <f>VLOOKUP(Table2[[#This Row],[Course Title]],'TSD-Data'!$A$1:$E$80,2,FALSE)</f>
        <v>A-493-0331</v>
      </c>
      <c r="E416" s="316" t="str">
        <f>VLOOKUP(Table2[[#This Row],[Course Title]],'TSD-Data'!$A$1:$E$80,3,FALSE)</f>
        <v>10UG</v>
      </c>
      <c r="F416" s="364" t="s">
        <v>25</v>
      </c>
      <c r="G416" s="344">
        <v>46161</v>
      </c>
      <c r="H416" s="344">
        <v>46163</v>
      </c>
      <c r="I416" s="317" t="s">
        <v>163</v>
      </c>
      <c r="J416" s="318"/>
      <c r="K416" s="345">
        <v>0.5</v>
      </c>
      <c r="L416" s="429">
        <v>0.375</v>
      </c>
      <c r="M416" s="429">
        <v>0.79166666666666663</v>
      </c>
      <c r="N416" s="429">
        <v>0.75</v>
      </c>
      <c r="O416" s="429">
        <v>0.25</v>
      </c>
      <c r="P416" s="429">
        <v>4.1666666666666664E-2</v>
      </c>
      <c r="Q416" s="321" t="s">
        <v>436</v>
      </c>
      <c r="R416" s="321"/>
      <c r="S416" s="321"/>
      <c r="T416" s="316">
        <f>VLOOKUP(Table2[[#This Row],[Course Title]],'TSD-Data'!$A$1:$E$80,4,FALSE)</f>
        <v>45</v>
      </c>
      <c r="U416" s="316">
        <f>VLOOKUP(Table2[[#This Row],[Course Title]],'TSD-Data'!$A$1:$F$80,6,FALSE)</f>
        <v>24</v>
      </c>
      <c r="V416" s="323">
        <f>VLOOKUP(Table2[[#This Row],[Course Title]],'TSD-Data'!$A$1:$F$80,5,FALSE)</f>
        <v>3</v>
      </c>
      <c r="W416" s="323">
        <v>844</v>
      </c>
      <c r="X416" s="316"/>
      <c r="Y416" s="316"/>
      <c r="Z416" s="323"/>
      <c r="AA416" s="323"/>
      <c r="AB416" s="316"/>
      <c r="AC416" s="316"/>
      <c r="AD416" s="316"/>
      <c r="AE416" s="316"/>
      <c r="AF416" s="323">
        <f ca="1">Table2[[#This Row],[End Date]]+2-TODAY()</f>
        <v>158</v>
      </c>
      <c r="AG416" s="316">
        <f>IF(ISBLANK(Table2[[#This Row],[Roster Received by]]),1,0)</f>
        <v>1</v>
      </c>
      <c r="AH416" s="316">
        <f ca="1">IF(Table2[[#This Row],[Start Date]]&gt;TODAY(),1,)</f>
        <v>1</v>
      </c>
      <c r="AI416" s="316">
        <f>IF(ISBLANK(Table2[[#This Row],[Primary Instructor]]),0,1)</f>
        <v>1</v>
      </c>
      <c r="AJ416" s="316">
        <f>IF(ISBLANK(Table2[[#This Row],[Instructor 2]]),0,1)</f>
        <v>0</v>
      </c>
      <c r="AK416" s="316">
        <f>Table2[[#This Row],[Course Length (Hours)]]/(SUM(Table2[[#This Row],[1]:[2]]))</f>
        <v>24</v>
      </c>
      <c r="AL416" s="124"/>
      <c r="AM416" s="316">
        <v>3</v>
      </c>
      <c r="AN416" s="363" t="str">
        <f>VLOOKUP(Table2[[#This Row],[Course Title]],'TSD-Data'!$A$1:$G$80,7,FALSE)</f>
        <v>N3</v>
      </c>
    </row>
    <row r="417" spans="2:40" s="428" customFormat="1" x14ac:dyDescent="0.25">
      <c r="B417" s="315"/>
      <c r="C417" s="364" t="s">
        <v>110</v>
      </c>
      <c r="D417" s="316" t="str">
        <f>VLOOKUP(Table2[[#This Row],[Course Title]],'TSD-Data'!$A$1:$E$80,2,FALSE)</f>
        <v>A-493-2501</v>
      </c>
      <c r="E417" s="316" t="str">
        <f>VLOOKUP(Table2[[#This Row],[Course Title]],'TSD-Data'!$A$1:$E$80,3,FALSE)</f>
        <v>05ZE</v>
      </c>
      <c r="F417" s="364" t="s">
        <v>265</v>
      </c>
      <c r="G417" s="317">
        <v>46161</v>
      </c>
      <c r="H417" s="317">
        <v>46161</v>
      </c>
      <c r="I417" s="341" t="s">
        <v>167</v>
      </c>
      <c r="J417" s="318">
        <v>0.33333333333333331</v>
      </c>
      <c r="K417" s="345"/>
      <c r="L417" s="344"/>
      <c r="M417" s="344"/>
      <c r="N417" s="344"/>
      <c r="O417" s="344"/>
      <c r="P417" s="344"/>
      <c r="Q417" s="321" t="s">
        <v>168</v>
      </c>
      <c r="R417" s="321"/>
      <c r="S417" s="321"/>
      <c r="T417" s="316">
        <f>VLOOKUP(Table2[[#This Row],[Course Title]],'TSD-Data'!$A$1:$E$80,4,FALSE)</f>
        <v>30</v>
      </c>
      <c r="U417" s="316">
        <f>VLOOKUP(Table2[[#This Row],[Course Title]],'TSD-Data'!$A$1:$F$80,6,FALSE)</f>
        <v>8</v>
      </c>
      <c r="V417" s="323">
        <f>VLOOKUP(Table2[[#This Row],[Course Title]],'TSD-Data'!$A$1:$F$80,5,FALSE)</f>
        <v>1</v>
      </c>
      <c r="W417" s="323">
        <v>30</v>
      </c>
      <c r="X417" s="316"/>
      <c r="Y417" s="316"/>
      <c r="Z417" s="323"/>
      <c r="AA417" s="323"/>
      <c r="AB417" s="363"/>
      <c r="AC417" s="363"/>
      <c r="AD417" s="316"/>
      <c r="AE417" s="316"/>
      <c r="AF417" s="323">
        <f ca="1">Table2[[#This Row],[End Date]]+2-TODAY()</f>
        <v>156</v>
      </c>
      <c r="AG417" s="316">
        <f>IF(ISBLANK(Table2[[#This Row],[Roster Received by]]),1,0)</f>
        <v>1</v>
      </c>
      <c r="AH417" s="316">
        <f ca="1">IF(Table2[[#This Row],[Start Date]]&gt;TODAY(),1,)</f>
        <v>1</v>
      </c>
      <c r="AI417" s="316">
        <f>IF(ISBLANK(Table2[[#This Row],[Primary Instructor]]),0,1)</f>
        <v>1</v>
      </c>
      <c r="AJ417" s="316">
        <f>IF(ISBLANK(Table2[[#This Row],[Instructor 2]]),0,1)</f>
        <v>0</v>
      </c>
      <c r="AK417" s="316">
        <f>Table2[[#This Row],[Course Length (Hours)]]/(SUM(Table2[[#This Row],[1]:[2]]))</f>
        <v>8</v>
      </c>
      <c r="AL417" s="638"/>
      <c r="AM417" s="316">
        <v>3</v>
      </c>
      <c r="AN417" s="363" t="str">
        <f>VLOOKUP(Table2[[#This Row],[Course Title]],'TSD-Data'!$A$1:$G$80,7,FALSE)</f>
        <v>N4</v>
      </c>
    </row>
    <row r="418" spans="2:40" s="428" customFormat="1" x14ac:dyDescent="0.25">
      <c r="B418" s="315"/>
      <c r="C418" s="364" t="s">
        <v>100</v>
      </c>
      <c r="D418" s="316" t="str">
        <f>VLOOKUP(Table2[[#This Row],[Course Title]],'TSD-Data'!$A$1:$E$80,2,FALSE)</f>
        <v>A-493-0550</v>
      </c>
      <c r="E418" s="316" t="str">
        <f>VLOOKUP(Table2[[#This Row],[Course Title]],'TSD-Data'!$A$1:$E$80,3,FALSE)</f>
        <v>09K5</v>
      </c>
      <c r="F418" s="315" t="s">
        <v>25</v>
      </c>
      <c r="G418" s="317">
        <v>46161</v>
      </c>
      <c r="H418" s="317">
        <v>46164</v>
      </c>
      <c r="I418" s="317" t="s">
        <v>163</v>
      </c>
      <c r="J418" s="318"/>
      <c r="K418" s="345">
        <v>0.5</v>
      </c>
      <c r="L418" s="429">
        <v>0.375</v>
      </c>
      <c r="M418" s="429">
        <v>0.79166666666666663</v>
      </c>
      <c r="N418" s="429">
        <v>0.75</v>
      </c>
      <c r="O418" s="429">
        <v>0.25</v>
      </c>
      <c r="P418" s="429">
        <v>4.1666666666666664E-2</v>
      </c>
      <c r="Q418" s="321" t="s">
        <v>426</v>
      </c>
      <c r="R418" s="321"/>
      <c r="S418" s="321"/>
      <c r="T418" s="316">
        <f>VLOOKUP(Table2[[#This Row],[Course Title]],'TSD-Data'!$A$1:$E$80,4,FALSE)</f>
        <v>45</v>
      </c>
      <c r="U418" s="316">
        <f>VLOOKUP(Table2[[#This Row],[Course Title]],'TSD-Data'!$A$1:$F$80,6,FALSE)</f>
        <v>32</v>
      </c>
      <c r="V418" s="323">
        <f>VLOOKUP(Table2[[#This Row],[Course Title]],'TSD-Data'!$A$1:$F$80,5,FALSE)</f>
        <v>4</v>
      </c>
      <c r="W418" s="323">
        <v>864</v>
      </c>
      <c r="X418" s="316"/>
      <c r="Y418" s="316"/>
      <c r="Z418" s="323"/>
      <c r="AA418" s="323"/>
      <c r="AB418" s="316"/>
      <c r="AC418" s="316"/>
      <c r="AD418" s="316"/>
      <c r="AE418" s="316"/>
      <c r="AF418" s="323">
        <f ca="1">Table2[[#This Row],[End Date]]+2-TODAY()</f>
        <v>159</v>
      </c>
      <c r="AG418" s="316">
        <f>IF(ISBLANK(Table2[[#This Row],[Roster Received by]]),1,0)</f>
        <v>1</v>
      </c>
      <c r="AH418" s="316">
        <f ca="1">IF(Table2[[#This Row],[Start Date]]&gt;TODAY(),1,)</f>
        <v>1</v>
      </c>
      <c r="AI418" s="316">
        <f>IF(ISBLANK(Table2[[#This Row],[Primary Instructor]]),0,1)</f>
        <v>1</v>
      </c>
      <c r="AJ418" s="316">
        <f>IF(ISBLANK(Table2[[#This Row],[Instructor 2]]),0,1)</f>
        <v>0</v>
      </c>
      <c r="AK418" s="316">
        <f>Table2[[#This Row],[Course Length (Hours)]]/(SUM(Table2[[#This Row],[1]:[2]]))</f>
        <v>32</v>
      </c>
      <c r="AL418" s="124"/>
      <c r="AM418" s="316">
        <v>3</v>
      </c>
      <c r="AN418" s="363" t="str">
        <f>VLOOKUP(Table2[[#This Row],[Course Title]],'TSD-Data'!$A$1:$G$80,7,FALSE)</f>
        <v>N5</v>
      </c>
    </row>
    <row r="419" spans="2:40" s="428" customFormat="1" x14ac:dyDescent="0.25">
      <c r="B419" s="315"/>
      <c r="C419" s="364" t="s">
        <v>110</v>
      </c>
      <c r="D419" s="316" t="str">
        <f>VLOOKUP(Table2[[#This Row],[Course Title]],'TSD-Data'!$A$1:$E$80,2,FALSE)</f>
        <v>A-493-2501</v>
      </c>
      <c r="E419" s="316" t="str">
        <f>VLOOKUP(Table2[[#This Row],[Course Title]],'TSD-Data'!$A$1:$E$80,3,FALSE)</f>
        <v>05ZE</v>
      </c>
      <c r="F419" s="315" t="s">
        <v>353</v>
      </c>
      <c r="G419" s="317">
        <v>46162</v>
      </c>
      <c r="H419" s="317">
        <v>46162</v>
      </c>
      <c r="I419" s="341" t="s">
        <v>167</v>
      </c>
      <c r="J419" s="318">
        <v>0.33333333333333331</v>
      </c>
      <c r="K419" s="318"/>
      <c r="L419" s="317"/>
      <c r="M419" s="317"/>
      <c r="N419" s="317"/>
      <c r="O419" s="317"/>
      <c r="P419" s="317"/>
      <c r="Q419" s="321" t="s">
        <v>168</v>
      </c>
      <c r="R419" s="321"/>
      <c r="S419" s="321"/>
      <c r="T419" s="316">
        <f>VLOOKUP(Table2[[#This Row],[Course Title]],'TSD-Data'!$A$1:$E$80,4,FALSE)</f>
        <v>30</v>
      </c>
      <c r="U419" s="316">
        <f>VLOOKUP(Table2[[#This Row],[Course Title]],'TSD-Data'!$A$1:$F$80,6,FALSE)</f>
        <v>8</v>
      </c>
      <c r="V419" s="323">
        <f>VLOOKUP(Table2[[#This Row],[Course Title]],'TSD-Data'!$A$1:$F$80,5,FALSE)</f>
        <v>1</v>
      </c>
      <c r="W419" s="323">
        <v>30</v>
      </c>
      <c r="X419" s="316"/>
      <c r="Y419" s="316"/>
      <c r="Z419" s="323"/>
      <c r="AA419" s="323"/>
      <c r="AB419" s="363"/>
      <c r="AC419" s="363"/>
      <c r="AD419" s="316"/>
      <c r="AE419" s="316"/>
      <c r="AF419" s="323">
        <f ca="1">Table2[[#This Row],[End Date]]+2-TODAY()</f>
        <v>157</v>
      </c>
      <c r="AG419" s="316">
        <f>IF(ISBLANK(Table2[[#This Row],[Roster Received by]]),1,0)</f>
        <v>1</v>
      </c>
      <c r="AH419" s="316">
        <f ca="1">IF(Table2[[#This Row],[Start Date]]&gt;TODAY(),1,)</f>
        <v>1</v>
      </c>
      <c r="AI419" s="316">
        <f>IF(ISBLANK(Table2[[#This Row],[Primary Instructor]]),0,1)</f>
        <v>1</v>
      </c>
      <c r="AJ419" s="316">
        <f>IF(ISBLANK(Table2[[#This Row],[Instructor 2]]),0,1)</f>
        <v>0</v>
      </c>
      <c r="AK419" s="316">
        <f>Table2[[#This Row],[Course Length (Hours)]]/(SUM(Table2[[#This Row],[1]:[2]]))</f>
        <v>8</v>
      </c>
      <c r="AL419" s="638"/>
      <c r="AM419" s="316">
        <v>3</v>
      </c>
      <c r="AN419" s="363" t="str">
        <f>VLOOKUP(Table2[[#This Row],[Course Title]],'TSD-Data'!$A$1:$G$80,7,FALSE)</f>
        <v>N4</v>
      </c>
    </row>
    <row r="420" spans="2:40" s="428" customFormat="1" x14ac:dyDescent="0.25">
      <c r="B420" s="315"/>
      <c r="C420" s="364" t="s">
        <v>110</v>
      </c>
      <c r="D420" s="316" t="str">
        <f>VLOOKUP(Table2[[#This Row],[Course Title]],'TSD-Data'!$A$1:$E$80,2,FALSE)</f>
        <v>A-493-2501</v>
      </c>
      <c r="E420" s="316" t="str">
        <f>VLOOKUP(Table2[[#This Row],[Course Title]],'TSD-Data'!$A$1:$E$80,3,FALSE)</f>
        <v>05ZE</v>
      </c>
      <c r="F420" s="315" t="s">
        <v>326</v>
      </c>
      <c r="G420" s="317">
        <v>46163</v>
      </c>
      <c r="H420" s="317">
        <v>46163</v>
      </c>
      <c r="I420" s="341" t="s">
        <v>167</v>
      </c>
      <c r="J420" s="318">
        <v>0.33333333333333331</v>
      </c>
      <c r="K420" s="345"/>
      <c r="L420" s="344"/>
      <c r="M420" s="344"/>
      <c r="N420" s="344"/>
      <c r="O420" s="344"/>
      <c r="P420" s="344"/>
      <c r="Q420" s="321" t="s">
        <v>168</v>
      </c>
      <c r="R420" s="321"/>
      <c r="S420" s="321"/>
      <c r="T420" s="316">
        <f>VLOOKUP(Table2[[#This Row],[Course Title]],'TSD-Data'!$A$1:$E$80,4,FALSE)</f>
        <v>30</v>
      </c>
      <c r="U420" s="316">
        <f>VLOOKUP(Table2[[#This Row],[Course Title]],'TSD-Data'!$A$1:$F$80,6,FALSE)</f>
        <v>8</v>
      </c>
      <c r="V420" s="323">
        <f>VLOOKUP(Table2[[#This Row],[Course Title]],'TSD-Data'!$A$1:$F$80,5,FALSE)</f>
        <v>1</v>
      </c>
      <c r="W420" s="323">
        <v>30</v>
      </c>
      <c r="X420" s="316"/>
      <c r="Y420" s="316"/>
      <c r="Z420" s="323"/>
      <c r="AA420" s="323"/>
      <c r="AB420" s="363"/>
      <c r="AC420" s="363"/>
      <c r="AD420" s="316"/>
      <c r="AE420" s="316"/>
      <c r="AF420" s="323">
        <f ca="1">Table2[[#This Row],[End Date]]+2-TODAY()</f>
        <v>158</v>
      </c>
      <c r="AG420" s="316">
        <f>IF(ISBLANK(Table2[[#This Row],[Roster Received by]]),1,0)</f>
        <v>1</v>
      </c>
      <c r="AH420" s="316">
        <f ca="1">IF(Table2[[#This Row],[Start Date]]&gt;TODAY(),1,)</f>
        <v>1</v>
      </c>
      <c r="AI420" s="316">
        <f>IF(ISBLANK(Table2[[#This Row],[Primary Instructor]]),0,1)</f>
        <v>1</v>
      </c>
      <c r="AJ420" s="316">
        <f>IF(ISBLANK(Table2[[#This Row],[Instructor 2]]),0,1)</f>
        <v>0</v>
      </c>
      <c r="AK420" s="316">
        <f>Table2[[#This Row],[Course Length (Hours)]]/(SUM(Table2[[#This Row],[1]:[2]]))</f>
        <v>8</v>
      </c>
      <c r="AL420" s="638"/>
      <c r="AM420" s="316">
        <v>3</v>
      </c>
      <c r="AN420" s="363" t="str">
        <f>VLOOKUP(Table2[[#This Row],[Course Title]],'TSD-Data'!$A$1:$G$80,7,FALSE)</f>
        <v>N4</v>
      </c>
    </row>
    <row r="421" spans="2:40" s="428" customFormat="1" x14ac:dyDescent="0.25">
      <c r="B421" s="315"/>
      <c r="C421" s="364" t="s">
        <v>110</v>
      </c>
      <c r="D421" s="316" t="str">
        <f>VLOOKUP(Table2[[#This Row],[Course Title]],'TSD-Data'!$A$1:$E$80,2,FALSE)</f>
        <v>A-493-2501</v>
      </c>
      <c r="E421" s="316" t="str">
        <f>VLOOKUP(Table2[[#This Row],[Course Title]],'TSD-Data'!$A$1:$E$80,3,FALSE)</f>
        <v>05ZE</v>
      </c>
      <c r="F421" s="315" t="s">
        <v>198</v>
      </c>
      <c r="G421" s="317">
        <v>46164</v>
      </c>
      <c r="H421" s="317">
        <v>46164</v>
      </c>
      <c r="I421" s="341" t="s">
        <v>167</v>
      </c>
      <c r="J421" s="318">
        <v>0.33333333333333331</v>
      </c>
      <c r="K421" s="345"/>
      <c r="L421" s="344"/>
      <c r="M421" s="317"/>
      <c r="N421" s="317"/>
      <c r="O421" s="317"/>
      <c r="P421" s="317"/>
      <c r="Q421" s="321" t="s">
        <v>168</v>
      </c>
      <c r="R421" s="321"/>
      <c r="S421" s="321"/>
      <c r="T421" s="316">
        <f>VLOOKUP(Table2[[#This Row],[Course Title]],'TSD-Data'!$A$1:$E$80,4,FALSE)</f>
        <v>30</v>
      </c>
      <c r="U421" s="316">
        <f>VLOOKUP(Table2[[#This Row],[Course Title]],'TSD-Data'!$A$1:$F$80,6,FALSE)</f>
        <v>8</v>
      </c>
      <c r="V421" s="323">
        <f>VLOOKUP(Table2[[#This Row],[Course Title]],'TSD-Data'!$A$1:$F$80,5,FALSE)</f>
        <v>1</v>
      </c>
      <c r="W421" s="323">
        <v>30</v>
      </c>
      <c r="X421" s="316"/>
      <c r="Y421" s="316"/>
      <c r="Z421" s="323"/>
      <c r="AA421" s="323"/>
      <c r="AB421" s="363"/>
      <c r="AC421" s="363"/>
      <c r="AD421" s="316"/>
      <c r="AE421" s="316"/>
      <c r="AF421" s="323">
        <f ca="1">Table2[[#This Row],[End Date]]+2-TODAY()</f>
        <v>159</v>
      </c>
      <c r="AG421" s="316">
        <f>IF(ISBLANK(Table2[[#This Row],[Roster Received by]]),1,0)</f>
        <v>1</v>
      </c>
      <c r="AH421" s="316">
        <f ca="1">IF(Table2[[#This Row],[Start Date]]&gt;TODAY(),1,)</f>
        <v>1</v>
      </c>
      <c r="AI421" s="316">
        <f>IF(ISBLANK(Table2[[#This Row],[Primary Instructor]]),0,1)</f>
        <v>1</v>
      </c>
      <c r="AJ421" s="316">
        <f>IF(ISBLANK(Table2[[#This Row],[Instructor 2]]),0,1)</f>
        <v>0</v>
      </c>
      <c r="AK421" s="316">
        <f>Table2[[#This Row],[Course Length (Hours)]]/(SUM(Table2[[#This Row],[1]:[2]]))</f>
        <v>8</v>
      </c>
      <c r="AL421" s="638"/>
      <c r="AM421" s="316">
        <v>3</v>
      </c>
      <c r="AN421" s="363" t="str">
        <f>VLOOKUP(Table2[[#This Row],[Course Title]],'TSD-Data'!$A$1:$G$80,7,FALSE)</f>
        <v>N4</v>
      </c>
    </row>
    <row r="422" spans="2:40" s="428" customFormat="1" x14ac:dyDescent="0.25">
      <c r="B422" s="315" t="s">
        <v>245</v>
      </c>
      <c r="C422" s="315" t="s">
        <v>238</v>
      </c>
      <c r="D422" s="316" t="str">
        <f>VLOOKUP(Table2[[#This Row],[Course Title]],'TSD-Data'!$A$1:$E$80,2,FALSE)</f>
        <v>Holiday</v>
      </c>
      <c r="E422" s="316" t="str">
        <f>VLOOKUP(Table2[[#This Row],[Course Title]],'TSD-Data'!$A$1:$E$80,3,FALSE)</f>
        <v>Holiday</v>
      </c>
      <c r="F422" s="315" t="s">
        <v>238</v>
      </c>
      <c r="G422" s="317">
        <v>46167</v>
      </c>
      <c r="H422" s="317">
        <v>46167</v>
      </c>
      <c r="I422" s="317" t="s">
        <v>433</v>
      </c>
      <c r="J422" s="318"/>
      <c r="K422" s="319"/>
      <c r="L422" s="326"/>
      <c r="M422" s="326"/>
      <c r="N422" s="326"/>
      <c r="O422" s="326"/>
      <c r="P422" s="326"/>
      <c r="Q422" s="321" t="s">
        <v>434</v>
      </c>
      <c r="R422" s="321"/>
      <c r="S422" s="445"/>
      <c r="T422" s="316">
        <f>VLOOKUP(Table2[[#This Row],[Course Title]],'TSD-Data'!$A$1:$E$80,4,FALSE)</f>
        <v>0</v>
      </c>
      <c r="U422" s="316">
        <f>VLOOKUP(Table2[[#This Row],[Course Title]],'TSD-Data'!$A$1:$F$80,6,FALSE)</f>
        <v>0</v>
      </c>
      <c r="V422" s="323">
        <f>VLOOKUP(Table2[[#This Row],[Course Title]],'TSD-Data'!$A$1:$F$80,5,FALSE)</f>
        <v>0</v>
      </c>
      <c r="W422" s="323">
        <v>0</v>
      </c>
      <c r="X422" s="316">
        <v>0</v>
      </c>
      <c r="Y422" s="316">
        <v>0</v>
      </c>
      <c r="Z422" s="316">
        <v>0</v>
      </c>
      <c r="AA422" s="316">
        <v>0</v>
      </c>
      <c r="AB422" s="316">
        <v>0</v>
      </c>
      <c r="AC422" s="316">
        <v>0</v>
      </c>
      <c r="AD422" s="316">
        <v>0</v>
      </c>
      <c r="AE422" s="316" t="s">
        <v>435</v>
      </c>
      <c r="AF422" s="323">
        <f ca="1">Table2[[#This Row],[End Date]]+2-TODAY()</f>
        <v>162</v>
      </c>
      <c r="AG422" s="316">
        <f>IF(ISBLANK(Table2[[#This Row],[Roster Received by]]),1,0)</f>
        <v>0</v>
      </c>
      <c r="AH422" s="316">
        <f ca="1">IF(Table2[[#This Row],[Start Date]]&gt;TODAY(),1,)</f>
        <v>1</v>
      </c>
      <c r="AI422" s="316">
        <f>IF(ISBLANK(Table2[[#This Row],[Primary Instructor]]),0,1)</f>
        <v>1</v>
      </c>
      <c r="AJ422" s="316">
        <f>IF(ISBLANK(Table2[[#This Row],[Instructor 2]]),0,1)</f>
        <v>0</v>
      </c>
      <c r="AK422" s="316">
        <f>Table2[[#This Row],[Course Length (Hours)]]/(SUM(Table2[[#This Row],[1]:[2]]))</f>
        <v>0</v>
      </c>
      <c r="AL422" s="124"/>
      <c r="AM422" s="316">
        <v>3</v>
      </c>
      <c r="AN422" s="363" t="str">
        <f>VLOOKUP(Table2[[#This Row],[Course Title]],'TSD-Data'!$A$1:$G$80,7,FALSE)</f>
        <v>TSD</v>
      </c>
    </row>
    <row r="423" spans="2:40" s="428" customFormat="1" x14ac:dyDescent="0.25">
      <c r="B423" s="315" t="s">
        <v>495</v>
      </c>
      <c r="C423" s="364" t="s">
        <v>108</v>
      </c>
      <c r="D423" s="316" t="str">
        <f>VLOOKUP(Table2[[#This Row],[Course Title]],'TSD-Data'!$A$1:$E$80,2,FALSE)</f>
        <v>A-493-0085</v>
      </c>
      <c r="E423" s="316">
        <f>VLOOKUP(Table2[[#This Row],[Course Title]],'TSD-Data'!$A$1:$E$80,3,FALSE)</f>
        <v>3555</v>
      </c>
      <c r="F423" s="364" t="s">
        <v>25</v>
      </c>
      <c r="G423" s="317">
        <v>46168</v>
      </c>
      <c r="H423" s="317">
        <v>46171</v>
      </c>
      <c r="I423" s="317" t="s">
        <v>163</v>
      </c>
      <c r="J423" s="318"/>
      <c r="K423" s="319">
        <v>0.5</v>
      </c>
      <c r="L423" s="423">
        <v>0.375</v>
      </c>
      <c r="M423" s="423">
        <v>0.79166666666666663</v>
      </c>
      <c r="N423" s="423">
        <v>0.75</v>
      </c>
      <c r="O423" s="423">
        <v>0.25</v>
      </c>
      <c r="P423" s="423">
        <v>4.1666666666666664E-2</v>
      </c>
      <c r="Q423" s="321" t="s">
        <v>175</v>
      </c>
      <c r="R423" s="321"/>
      <c r="S423" s="321"/>
      <c r="T423" s="316">
        <f>VLOOKUP(Table2[[#This Row],[Course Title]],'TSD-Data'!$A$1:$E$80,4,FALSE)</f>
        <v>45</v>
      </c>
      <c r="U423" s="316">
        <f>VLOOKUP(Table2[[#This Row],[Course Title]],'TSD-Data'!$A$1:$F$80,6,FALSE)</f>
        <v>32</v>
      </c>
      <c r="V423" s="323">
        <f>VLOOKUP(Table2[[#This Row],[Course Title]],'TSD-Data'!$A$1:$F$80,5,FALSE)</f>
        <v>4</v>
      </c>
      <c r="W423" s="323">
        <v>688</v>
      </c>
      <c r="X423" s="316"/>
      <c r="Y423" s="316"/>
      <c r="Z423" s="323"/>
      <c r="AA423" s="323"/>
      <c r="AB423" s="316"/>
      <c r="AC423" s="316"/>
      <c r="AD423" s="316"/>
      <c r="AE423" s="316"/>
      <c r="AF423" s="323">
        <f ca="1">Table2[[#This Row],[End Date]]+2-TODAY()</f>
        <v>166</v>
      </c>
      <c r="AG423" s="316">
        <f>IF(ISBLANK(Table2[[#This Row],[Roster Received by]]),1,0)</f>
        <v>1</v>
      </c>
      <c r="AH423" s="316">
        <f ca="1">IF(Table2[[#This Row],[Start Date]]&gt;TODAY(),1,)</f>
        <v>1</v>
      </c>
      <c r="AI423" s="316">
        <f>IF(ISBLANK(Table2[[#This Row],[Primary Instructor]]),0,1)</f>
        <v>1</v>
      </c>
      <c r="AJ423" s="316">
        <f>IF(ISBLANK(Table2[[#This Row],[Instructor 2]]),0,1)</f>
        <v>0</v>
      </c>
      <c r="AK423" s="316">
        <f>Table2[[#This Row],[Course Length (Hours)]]/(SUM(Table2[[#This Row],[1]:[2]]))</f>
        <v>32</v>
      </c>
      <c r="AL423" s="124"/>
      <c r="AM423" s="316">
        <v>3</v>
      </c>
      <c r="AN423" s="363" t="str">
        <f>VLOOKUP(Table2[[#This Row],[Course Title]],'TSD-Data'!$A$1:$G$80,7,FALSE)</f>
        <v>N3</v>
      </c>
    </row>
    <row r="424" spans="2:40" s="428" customFormat="1" x14ac:dyDescent="0.25">
      <c r="B424" s="315"/>
      <c r="C424" s="315" t="s">
        <v>100</v>
      </c>
      <c r="D424" s="316" t="str">
        <f>VLOOKUP(Table2[[#This Row],[Course Title]],'TSD-Data'!$A$1:$E$80,2,FALSE)</f>
        <v>A-493-0550</v>
      </c>
      <c r="E424" s="316" t="str">
        <f>VLOOKUP(Table2[[#This Row],[Course Title]],'TSD-Data'!$A$1:$E$80,3,FALSE)</f>
        <v>09K5</v>
      </c>
      <c r="F424" s="315" t="s">
        <v>25</v>
      </c>
      <c r="G424" s="317">
        <v>46168</v>
      </c>
      <c r="H424" s="317">
        <v>46171</v>
      </c>
      <c r="I424" s="317" t="s">
        <v>163</v>
      </c>
      <c r="J424" s="318"/>
      <c r="K424" s="345">
        <v>0.33333333333333331</v>
      </c>
      <c r="L424" s="345">
        <v>0.20833333333333334</v>
      </c>
      <c r="M424" s="345">
        <v>0.625</v>
      </c>
      <c r="N424" s="345">
        <v>0.54166666666666663</v>
      </c>
      <c r="O424" s="345">
        <v>8.3333333333333329E-2</v>
      </c>
      <c r="P424" s="345">
        <v>0.875</v>
      </c>
      <c r="Q424" s="321" t="s">
        <v>426</v>
      </c>
      <c r="R424" s="321"/>
      <c r="S424" s="321"/>
      <c r="T424" s="316">
        <f>VLOOKUP(Table2[[#This Row],[Course Title]],'TSD-Data'!$A$1:$E$80,4,FALSE)</f>
        <v>45</v>
      </c>
      <c r="U424" s="316">
        <f>VLOOKUP(Table2[[#This Row],[Course Title]],'TSD-Data'!$A$1:$F$80,6,FALSE)</f>
        <v>32</v>
      </c>
      <c r="V424" s="323">
        <f>VLOOKUP(Table2[[#This Row],[Course Title]],'TSD-Data'!$A$1:$F$80,5,FALSE)</f>
        <v>4</v>
      </c>
      <c r="W424" s="323">
        <v>455</v>
      </c>
      <c r="X424" s="316"/>
      <c r="Y424" s="316"/>
      <c r="Z424" s="323"/>
      <c r="AA424" s="323"/>
      <c r="AB424" s="316"/>
      <c r="AC424" s="316"/>
      <c r="AD424" s="316"/>
      <c r="AE424" s="316"/>
      <c r="AF424" s="323">
        <f ca="1">Table2[[#This Row],[End Date]]+2-TODAY()</f>
        <v>166</v>
      </c>
      <c r="AG424" s="316">
        <f>IF(ISBLANK(Table2[[#This Row],[Roster Received by]]),1,0)</f>
        <v>1</v>
      </c>
      <c r="AH424" s="316">
        <f ca="1">IF(Table2[[#This Row],[Start Date]]&gt;TODAY(),1,)</f>
        <v>1</v>
      </c>
      <c r="AI424" s="316">
        <f>IF(ISBLANK(Table2[[#This Row],[Primary Instructor]]),0,1)</f>
        <v>1</v>
      </c>
      <c r="AJ424" s="316">
        <f>IF(ISBLANK(Table2[[#This Row],[Instructor 2]]),0,1)</f>
        <v>0</v>
      </c>
      <c r="AK424" s="316">
        <f>Table2[[#This Row],[Course Length (Hours)]]/(SUM(Table2[[#This Row],[1]:[2]]))</f>
        <v>32</v>
      </c>
      <c r="AL424" s="124"/>
      <c r="AM424" s="316">
        <v>3</v>
      </c>
      <c r="AN424" s="363" t="str">
        <f>VLOOKUP(Table2[[#This Row],[Course Title]],'TSD-Data'!$A$1:$G$80,7,FALSE)</f>
        <v>N5</v>
      </c>
    </row>
    <row r="425" spans="2:40" s="428" customFormat="1" x14ac:dyDescent="0.25">
      <c r="B425" s="315"/>
      <c r="C425" s="364" t="s">
        <v>65</v>
      </c>
      <c r="D425" s="316" t="str">
        <f>VLOOKUP(Table2[[#This Row],[Course Title]],'TSD-Data'!$A$1:$E$80,2,FALSE)</f>
        <v>A-493-0099</v>
      </c>
      <c r="E425" s="316" t="str">
        <f>VLOOKUP(Table2[[#This Row],[Course Title]],'TSD-Data'!$A$1:$E$80,3,FALSE)</f>
        <v>12JW</v>
      </c>
      <c r="F425" s="315" t="s">
        <v>25</v>
      </c>
      <c r="G425" s="317">
        <v>46169</v>
      </c>
      <c r="H425" s="317">
        <v>46171</v>
      </c>
      <c r="I425" s="317" t="s">
        <v>163</v>
      </c>
      <c r="J425" s="318"/>
      <c r="K425" s="319">
        <v>0.5</v>
      </c>
      <c r="L425" s="423">
        <v>0.375</v>
      </c>
      <c r="M425" s="423">
        <v>0.79166666666666663</v>
      </c>
      <c r="N425" s="423">
        <v>0.75</v>
      </c>
      <c r="O425" s="423">
        <v>0.25</v>
      </c>
      <c r="P425" s="423">
        <v>4.1666666666666664E-2</v>
      </c>
      <c r="Q425" s="321" t="s">
        <v>273</v>
      </c>
      <c r="R425" s="321"/>
      <c r="S425" s="321"/>
      <c r="T425" s="316">
        <f>VLOOKUP(Table2[[#This Row],[Course Title]],'TSD-Data'!$A$1:$E$80,4,FALSE)</f>
        <v>45</v>
      </c>
      <c r="U425" s="316">
        <f>VLOOKUP(Table2[[#This Row],[Course Title]],'TSD-Data'!$A$1:$F$80,6,FALSE)</f>
        <v>24</v>
      </c>
      <c r="V425" s="323">
        <f>VLOOKUP(Table2[[#This Row],[Course Title]],'TSD-Data'!$A$1:$F$80,5,FALSE)</f>
        <v>3</v>
      </c>
      <c r="W425" s="323">
        <v>1041</v>
      </c>
      <c r="X425" s="316"/>
      <c r="Y425" s="316"/>
      <c r="Z425" s="323"/>
      <c r="AA425" s="323"/>
      <c r="AB425" s="316"/>
      <c r="AC425" s="316"/>
      <c r="AD425" s="316"/>
      <c r="AE425" s="316"/>
      <c r="AF425" s="323">
        <f ca="1">Table2[[#This Row],[End Date]]+2-TODAY()</f>
        <v>166</v>
      </c>
      <c r="AG425" s="316">
        <f>IF(ISBLANK(Table2[[#This Row],[Roster Received by]]),1,0)</f>
        <v>1</v>
      </c>
      <c r="AH425" s="316">
        <f ca="1">IF(Table2[[#This Row],[Start Date]]&gt;TODAY(),1,)</f>
        <v>1</v>
      </c>
      <c r="AI425" s="316">
        <f>IF(ISBLANK(Table2[[#This Row],[Primary Instructor]]),0,1)</f>
        <v>1</v>
      </c>
      <c r="AJ425" s="316">
        <f>IF(ISBLANK(Table2[[#This Row],[Instructor 2]]),0,1)</f>
        <v>0</v>
      </c>
      <c r="AK425" s="316">
        <f>Table2[[#This Row],[Course Length (Hours)]]/(SUM(Table2[[#This Row],[1]:[2]]))</f>
        <v>24</v>
      </c>
      <c r="AL425" s="124"/>
      <c r="AM425" s="316">
        <v>3</v>
      </c>
      <c r="AN425" s="363" t="str">
        <f>VLOOKUP(Table2[[#This Row],[Course Title]],'TSD-Data'!$A$1:$G$80,7,FALSE)</f>
        <v>N5</v>
      </c>
    </row>
    <row r="426" spans="2:40" s="428" customFormat="1" x14ac:dyDescent="0.25">
      <c r="B426" s="315"/>
      <c r="C426" s="364" t="s">
        <v>77</v>
      </c>
      <c r="D426" s="316" t="str">
        <f>VLOOKUP(Table2[[#This Row],[Course Title]],'TSD-Data'!$A$1:$E$80,2,FALSE)</f>
        <v>A-493-0077</v>
      </c>
      <c r="E426" s="316" t="str">
        <f>VLOOKUP(Table2[[#This Row],[Course Title]],'TSD-Data'!$A$1:$E$80,3,FALSE)</f>
        <v>0381</v>
      </c>
      <c r="F426" s="315" t="s">
        <v>496</v>
      </c>
      <c r="G426" s="317">
        <v>46169</v>
      </c>
      <c r="H426" s="317">
        <v>46171</v>
      </c>
      <c r="I426" s="341" t="s">
        <v>167</v>
      </c>
      <c r="J426" s="318">
        <v>0.33333333333333331</v>
      </c>
      <c r="K426" s="345"/>
      <c r="L426" s="344"/>
      <c r="M426" s="344"/>
      <c r="N426" s="344"/>
      <c r="O426" s="344"/>
      <c r="P426" s="344"/>
      <c r="Q426" s="321" t="s">
        <v>168</v>
      </c>
      <c r="R426" s="321"/>
      <c r="S426" s="321"/>
      <c r="T426" s="316">
        <f>VLOOKUP(Table2[[#This Row],[Course Title]],'TSD-Data'!$A$1:$E$80,4,FALSE)</f>
        <v>25</v>
      </c>
      <c r="U426" s="316">
        <f>VLOOKUP(Table2[[#This Row],[Course Title]],'TSD-Data'!$A$1:$F$80,6,FALSE)</f>
        <v>24</v>
      </c>
      <c r="V426" s="323">
        <f>VLOOKUP(Table2[[#This Row],[Course Title]],'TSD-Data'!$A$1:$F$80,5,FALSE)</f>
        <v>3</v>
      </c>
      <c r="W426" s="323">
        <v>21</v>
      </c>
      <c r="X426" s="316"/>
      <c r="Y426" s="316"/>
      <c r="Z426" s="323"/>
      <c r="AA426" s="323"/>
      <c r="AB426" s="363"/>
      <c r="AC426" s="363"/>
      <c r="AD426" s="316"/>
      <c r="AE426" s="316"/>
      <c r="AF426" s="323">
        <f ca="1">Table2[[#This Row],[End Date]]+2-TODAY()</f>
        <v>166</v>
      </c>
      <c r="AG426" s="316">
        <f>IF(ISBLANK(Table2[[#This Row],[Roster Received by]]),1,0)</f>
        <v>1</v>
      </c>
      <c r="AH426" s="316">
        <f ca="1">IF(Table2[[#This Row],[Start Date]]&gt;TODAY(),1,)</f>
        <v>1</v>
      </c>
      <c r="AI426" s="316">
        <f>IF(ISBLANK(Table2[[#This Row],[Primary Instructor]]),0,1)</f>
        <v>1</v>
      </c>
      <c r="AJ426" s="316">
        <f>IF(ISBLANK(Table2[[#This Row],[Instructor 2]]),0,1)</f>
        <v>0</v>
      </c>
      <c r="AK426" s="316">
        <f>Table2[[#This Row],[Course Length (Hours)]]/(SUM(Table2[[#This Row],[1]:[2]]))</f>
        <v>24</v>
      </c>
      <c r="AL426" s="638"/>
      <c r="AM426" s="316">
        <v>3</v>
      </c>
      <c r="AN426" s="363" t="str">
        <f>VLOOKUP(Table2[[#This Row],[Course Title]],'TSD-Data'!$A$1:$G$80,7,FALSE)</f>
        <v>N4</v>
      </c>
    </row>
    <row r="427" spans="2:40" s="428" customFormat="1" x14ac:dyDescent="0.25">
      <c r="B427" s="315"/>
      <c r="C427" s="364" t="s">
        <v>48</v>
      </c>
      <c r="D427" s="316" t="str">
        <f>VLOOKUP(Table2[[#This Row],[Course Title]],'TSD-Data'!$A$1:$E$80,2,FALSE)</f>
        <v>A-493-0103</v>
      </c>
      <c r="E427" s="316" t="str">
        <f>VLOOKUP(Table2[[#This Row],[Course Title]],'TSD-Data'!$A$1:$E$80,3,FALSE)</f>
        <v>12JY</v>
      </c>
      <c r="F427" s="315" t="s">
        <v>328</v>
      </c>
      <c r="G427" s="317">
        <v>46174</v>
      </c>
      <c r="H427" s="317">
        <v>46178</v>
      </c>
      <c r="I427" s="317" t="s">
        <v>163</v>
      </c>
      <c r="J427" s="318">
        <v>0.33333333333333331</v>
      </c>
      <c r="K427" s="345"/>
      <c r="L427" s="344"/>
      <c r="M427" s="317"/>
      <c r="N427" s="317"/>
      <c r="O427" s="317"/>
      <c r="P427" s="317"/>
      <c r="Q427" s="321" t="s">
        <v>275</v>
      </c>
      <c r="R427" s="321"/>
      <c r="S427" s="321"/>
      <c r="T427" s="316">
        <f>VLOOKUP(Table2[[#This Row],[Course Title]],'TSD-Data'!$A$1:$E$80,4,FALSE)</f>
        <v>25</v>
      </c>
      <c r="U427" s="316">
        <f>VLOOKUP(Table2[[#This Row],[Course Title]],'TSD-Data'!$A$1:$F$80,6,FALSE)</f>
        <v>40</v>
      </c>
      <c r="V427" s="323">
        <f>VLOOKUP(Table2[[#This Row],[Course Title]],'TSD-Data'!$A$1:$F$80,5,FALSE)</f>
        <v>5</v>
      </c>
      <c r="W427" s="323">
        <v>39</v>
      </c>
      <c r="X427" s="316"/>
      <c r="Y427" s="316"/>
      <c r="Z427" s="323"/>
      <c r="AA427" s="323"/>
      <c r="AB427" s="316"/>
      <c r="AC427" s="316"/>
      <c r="AD427" s="316"/>
      <c r="AE427" s="316"/>
      <c r="AF427" s="323">
        <f ca="1">Table2[[#This Row],[End Date]]+2-TODAY()</f>
        <v>173</v>
      </c>
      <c r="AG427" s="316">
        <f>IF(ISBLANK(Table2[[#This Row],[Roster Received by]]),1,0)</f>
        <v>1</v>
      </c>
      <c r="AH427" s="316">
        <f ca="1">IF(Table2[[#This Row],[Start Date]]&gt;TODAY(),1,)</f>
        <v>1</v>
      </c>
      <c r="AI427" s="316">
        <f>IF(ISBLANK(Table2[[#This Row],[Primary Instructor]]),0,1)</f>
        <v>1</v>
      </c>
      <c r="AJ427" s="316">
        <f>IF(ISBLANK(Table2[[#This Row],[Instructor 2]]),0,1)</f>
        <v>0</v>
      </c>
      <c r="AK427" s="316">
        <f>Table2[[#This Row],[Course Length (Hours)]]/(SUM(Table2[[#This Row],[1]:[2]]))</f>
        <v>40</v>
      </c>
      <c r="AL427" s="124"/>
      <c r="AM427" s="316">
        <v>3</v>
      </c>
      <c r="AN427" s="363" t="str">
        <f>VLOOKUP(Table2[[#This Row],[Course Title]],'TSD-Data'!$A$1:$G$80,7,FALSE)</f>
        <v>N5</v>
      </c>
    </row>
    <row r="428" spans="2:40" s="428" customFormat="1" x14ac:dyDescent="0.25">
      <c r="B428" s="315"/>
      <c r="C428" s="364" t="s">
        <v>48</v>
      </c>
      <c r="D428" s="316" t="str">
        <f>VLOOKUP(Table2[[#This Row],[Course Title]],'TSD-Data'!$A$1:$E$80,2,FALSE)</f>
        <v>A-493-0103</v>
      </c>
      <c r="E428" s="316" t="str">
        <f>VLOOKUP(Table2[[#This Row],[Course Title]],'TSD-Data'!$A$1:$E$80,3,FALSE)</f>
        <v>12JY</v>
      </c>
      <c r="F428" s="315" t="s">
        <v>229</v>
      </c>
      <c r="G428" s="317">
        <v>46174</v>
      </c>
      <c r="H428" s="317">
        <v>46178</v>
      </c>
      <c r="I428" s="317" t="s">
        <v>163</v>
      </c>
      <c r="J428" s="318">
        <v>0.33333333333333331</v>
      </c>
      <c r="K428" s="319"/>
      <c r="L428" s="326"/>
      <c r="M428" s="326"/>
      <c r="N428" s="326"/>
      <c r="O428" s="326"/>
      <c r="P428" s="326"/>
      <c r="Q428" s="321" t="s">
        <v>275</v>
      </c>
      <c r="R428" s="321"/>
      <c r="S428" s="321"/>
      <c r="T428" s="316">
        <f>VLOOKUP(Table2[[#This Row],[Course Title]],'TSD-Data'!$A$1:$E$80,4,FALSE)</f>
        <v>25</v>
      </c>
      <c r="U428" s="316">
        <f>VLOOKUP(Table2[[#This Row],[Course Title]],'TSD-Data'!$A$1:$F$80,6,FALSE)</f>
        <v>40</v>
      </c>
      <c r="V428" s="323">
        <f>VLOOKUP(Table2[[#This Row],[Course Title]],'TSD-Data'!$A$1:$F$80,5,FALSE)</f>
        <v>5</v>
      </c>
      <c r="W428" s="323">
        <v>512</v>
      </c>
      <c r="X428" s="316"/>
      <c r="Y428" s="316"/>
      <c r="Z428" s="323"/>
      <c r="AA428" s="323"/>
      <c r="AB428" s="316"/>
      <c r="AC428" s="316"/>
      <c r="AD428" s="316"/>
      <c r="AE428" s="316"/>
      <c r="AF428" s="323">
        <f ca="1">Table2[[#This Row],[End Date]]+2-TODAY()</f>
        <v>173</v>
      </c>
      <c r="AG428" s="316">
        <f>IF(ISBLANK(Table2[[#This Row],[Roster Received by]]),1,0)</f>
        <v>1</v>
      </c>
      <c r="AH428" s="316">
        <f ca="1">IF(Table2[[#This Row],[Start Date]]&gt;TODAY(),1,)</f>
        <v>1</v>
      </c>
      <c r="AI428" s="316">
        <f>IF(ISBLANK(Table2[[#This Row],[Primary Instructor]]),0,1)</f>
        <v>1</v>
      </c>
      <c r="AJ428" s="316">
        <f>IF(ISBLANK(Table2[[#This Row],[Instructor 2]]),0,1)</f>
        <v>0</v>
      </c>
      <c r="AK428" s="316">
        <f>Table2[[#This Row],[Course Length (Hours)]]/(SUM(Table2[[#This Row],[1]:[2]]))</f>
        <v>40</v>
      </c>
      <c r="AL428" s="124"/>
      <c r="AM428" s="316">
        <v>3</v>
      </c>
      <c r="AN428" s="363" t="str">
        <f>VLOOKUP(Table2[[#This Row],[Course Title]],'TSD-Data'!$A$1:$G$80,7,FALSE)</f>
        <v>N5</v>
      </c>
    </row>
    <row r="429" spans="2:40" s="428" customFormat="1" x14ac:dyDescent="0.25">
      <c r="B429" s="315"/>
      <c r="C429" s="315" t="s">
        <v>74</v>
      </c>
      <c r="D429" s="316" t="str">
        <f>VLOOKUP(Table2[[#This Row],[Course Title]],'TSD-Data'!$A$1:$E$80,2,FALSE)</f>
        <v>A-322-2604</v>
      </c>
      <c r="E429" s="316" t="str">
        <f>VLOOKUP(Table2[[#This Row],[Course Title]],'TSD-Data'!$A$1:$E$80,3,FALSE)</f>
        <v>10ZZ</v>
      </c>
      <c r="F429" s="315" t="s">
        <v>25</v>
      </c>
      <c r="G429" s="317">
        <v>46174</v>
      </c>
      <c r="H429" s="317">
        <v>46176</v>
      </c>
      <c r="I429" s="317" t="s">
        <v>163</v>
      </c>
      <c r="J429" s="318"/>
      <c r="K429" s="332">
        <v>0.5</v>
      </c>
      <c r="L429" s="431">
        <v>0.375</v>
      </c>
      <c r="M429" s="431">
        <v>0.79166666666666663</v>
      </c>
      <c r="N429" s="431">
        <v>0.75</v>
      </c>
      <c r="O429" s="431">
        <v>0.25</v>
      </c>
      <c r="P429" s="431">
        <v>4.1666666666666664E-2</v>
      </c>
      <c r="Q429" s="321" t="s">
        <v>431</v>
      </c>
      <c r="R429" s="321"/>
      <c r="S429" s="321"/>
      <c r="T429" s="316">
        <f>VLOOKUP(Table2[[#This Row],[Course Title]],'TSD-Data'!$A$1:$E$80,4,FALSE)</f>
        <v>45</v>
      </c>
      <c r="U429" s="316">
        <f>VLOOKUP(Table2[[#This Row],[Course Title]],'TSD-Data'!$A$1:$F$80,6,FALSE)</f>
        <v>24</v>
      </c>
      <c r="V429" s="323">
        <f>VLOOKUP(Table2[[#This Row],[Course Title]],'TSD-Data'!$A$1:$F$80,5,FALSE)</f>
        <v>3</v>
      </c>
      <c r="W429" s="323">
        <v>621</v>
      </c>
      <c r="X429" s="316"/>
      <c r="Y429" s="316"/>
      <c r="Z429" s="323"/>
      <c r="AA429" s="323"/>
      <c r="AB429" s="316"/>
      <c r="AC429" s="316"/>
      <c r="AD429" s="316"/>
      <c r="AE429" s="316"/>
      <c r="AF429" s="323">
        <f ca="1">Table2[[#This Row],[End Date]]+2-TODAY()</f>
        <v>171</v>
      </c>
      <c r="AG429" s="316">
        <f>IF(ISBLANK(Table2[[#This Row],[Roster Received by]]),1,0)</f>
        <v>1</v>
      </c>
      <c r="AH429" s="316">
        <f ca="1">IF(Table2[[#This Row],[Start Date]]&gt;TODAY(),1,)</f>
        <v>1</v>
      </c>
      <c r="AI429" s="316">
        <f>IF(ISBLANK(Table2[[#This Row],[Primary Instructor]]),0,1)</f>
        <v>1</v>
      </c>
      <c r="AJ429" s="316">
        <f>IF(ISBLANK(Table2[[#This Row],[Instructor 2]]),0,1)</f>
        <v>0</v>
      </c>
      <c r="AK429" s="316">
        <f>Table2[[#This Row],[Course Length (Hours)]]/(SUM(Table2[[#This Row],[1]:[2]]))</f>
        <v>24</v>
      </c>
      <c r="AL429" s="124"/>
      <c r="AM429" s="316">
        <v>3</v>
      </c>
      <c r="AN429" s="363" t="str">
        <f>VLOOKUP(Table2[[#This Row],[Course Title]],'TSD-Data'!$A$1:$G$80,7,FALSE)</f>
        <v>N8</v>
      </c>
    </row>
    <row r="430" spans="2:40" s="428" customFormat="1" x14ac:dyDescent="0.25">
      <c r="B430" s="315"/>
      <c r="C430" s="364" t="s">
        <v>71</v>
      </c>
      <c r="D430" s="421" t="str">
        <f>VLOOKUP(Table2[[#This Row],[Course Title]],'TSD-Data'!$A$1:$E$80,2,FALSE)</f>
        <v>A-493-0061</v>
      </c>
      <c r="E430" s="421" t="str">
        <f>VLOOKUP(Table2[[#This Row],[Course Title]],'TSD-Data'!$A$1:$E$80,3,FALSE)</f>
        <v>288E</v>
      </c>
      <c r="F430" s="364" t="s">
        <v>25</v>
      </c>
      <c r="G430" s="344">
        <v>46174</v>
      </c>
      <c r="H430" s="344">
        <v>46177</v>
      </c>
      <c r="I430" s="317" t="s">
        <v>163</v>
      </c>
      <c r="J430" s="318"/>
      <c r="K430" s="345">
        <v>0.79166666666666663</v>
      </c>
      <c r="L430" s="429">
        <v>0.66666666666666663</v>
      </c>
      <c r="M430" s="429">
        <v>8.3333333333333329E-2</v>
      </c>
      <c r="N430" s="429">
        <v>0</v>
      </c>
      <c r="O430" s="429">
        <v>0.54166666666666663</v>
      </c>
      <c r="P430" s="429">
        <v>0.33333333333333331</v>
      </c>
      <c r="Q430" s="321" t="s">
        <v>272</v>
      </c>
      <c r="R430" s="321"/>
      <c r="S430" s="321"/>
      <c r="T430" s="316">
        <f>VLOOKUP(Table2[[#This Row],[Course Title]],'TSD-Data'!$A$1:$E$80,4,FALSE)</f>
        <v>45</v>
      </c>
      <c r="U430" s="316">
        <f>VLOOKUP(Table2[[#This Row],[Course Title]],'TSD-Data'!$A$1:$F$80,6,FALSE)</f>
        <v>30</v>
      </c>
      <c r="V430" s="323">
        <f>VLOOKUP(Table2[[#This Row],[Course Title]],'TSD-Data'!$A$1:$F$80,5,FALSE)</f>
        <v>4</v>
      </c>
      <c r="W430" s="323">
        <v>187</v>
      </c>
      <c r="X430" s="316"/>
      <c r="Y430" s="316"/>
      <c r="Z430" s="323"/>
      <c r="AA430" s="323"/>
      <c r="AB430" s="316"/>
      <c r="AC430" s="316"/>
      <c r="AD430" s="316"/>
      <c r="AE430" s="316"/>
      <c r="AF430" s="323">
        <f ca="1">Table2[[#This Row],[End Date]]+2-TODAY()</f>
        <v>172</v>
      </c>
      <c r="AG430" s="316">
        <f>IF(ISBLANK(Table2[[#This Row],[Roster Received by]]),1,0)</f>
        <v>1</v>
      </c>
      <c r="AH430" s="316">
        <f ca="1">IF(Table2[[#This Row],[Start Date]]&gt;TODAY(),1,)</f>
        <v>1</v>
      </c>
      <c r="AI430" s="316">
        <f>IF(ISBLANK(Table2[[#This Row],[Primary Instructor]]),0,1)</f>
        <v>1</v>
      </c>
      <c r="AJ430" s="316">
        <f>IF(ISBLANK(Table2[[#This Row],[Instructor 2]]),0,1)</f>
        <v>0</v>
      </c>
      <c r="AK430" s="316">
        <f>Table2[[#This Row],[Course Length (Hours)]]/(SUM(Table2[[#This Row],[1]:[2]]))</f>
        <v>30</v>
      </c>
      <c r="AL430" s="124"/>
      <c r="AM430" s="316">
        <v>3</v>
      </c>
      <c r="AN430" s="363" t="str">
        <f>VLOOKUP(Table2[[#This Row],[Course Title]],'TSD-Data'!$A$1:$G$80,7,FALSE)</f>
        <v>N5</v>
      </c>
    </row>
    <row r="431" spans="2:40" s="428" customFormat="1" x14ac:dyDescent="0.25">
      <c r="B431" s="364"/>
      <c r="C431" s="364" t="s">
        <v>97</v>
      </c>
      <c r="D431" s="316" t="str">
        <f>VLOOKUP(Table2[[#This Row],[Course Title]],'TSD-Data'!$A$1:$E$80,2,FALSE)</f>
        <v>A-493-0335</v>
      </c>
      <c r="E431" s="316" t="str">
        <f>VLOOKUP(Table2[[#This Row],[Course Title]],'TSD-Data'!$A$1:$E$80,3,FALSE)</f>
        <v>09ND</v>
      </c>
      <c r="F431" s="315" t="s">
        <v>25</v>
      </c>
      <c r="G431" s="317">
        <v>46174</v>
      </c>
      <c r="H431" s="317">
        <v>46177</v>
      </c>
      <c r="I431" s="317" t="s">
        <v>163</v>
      </c>
      <c r="J431" s="318"/>
      <c r="K431" s="345">
        <v>0.79166666666666663</v>
      </c>
      <c r="L431" s="429">
        <v>0.66666666666666663</v>
      </c>
      <c r="M431" s="429">
        <v>8.3333333333333329E-2</v>
      </c>
      <c r="N431" s="429">
        <v>0</v>
      </c>
      <c r="O431" s="429">
        <v>0.54166666666666663</v>
      </c>
      <c r="P431" s="429">
        <v>0.33333333333333331</v>
      </c>
      <c r="Q431" s="321" t="s">
        <v>174</v>
      </c>
      <c r="R431" s="321"/>
      <c r="S431" s="321"/>
      <c r="T431" s="316">
        <f>VLOOKUP(Table2[[#This Row],[Course Title]],'TSD-Data'!$A$1:$E$80,4,FALSE)</f>
        <v>45</v>
      </c>
      <c r="U431" s="316">
        <f>VLOOKUP(Table2[[#This Row],[Course Title]],'TSD-Data'!$A$1:$F$80,6,FALSE)</f>
        <v>32</v>
      </c>
      <c r="V431" s="323">
        <f>VLOOKUP(Table2[[#This Row],[Course Title]],'TSD-Data'!$A$1:$F$80,5,FALSE)</f>
        <v>4</v>
      </c>
      <c r="W431" s="323">
        <v>119</v>
      </c>
      <c r="X431" s="316"/>
      <c r="Y431" s="316"/>
      <c r="Z431" s="323"/>
      <c r="AA431" s="323"/>
      <c r="AB431" s="316"/>
      <c r="AC431" s="316"/>
      <c r="AD431" s="316"/>
      <c r="AE431" s="316"/>
      <c r="AF431" s="323">
        <f ca="1">Table2[[#This Row],[End Date]]+2-TODAY()</f>
        <v>172</v>
      </c>
      <c r="AG431" s="316">
        <f>IF(ISBLANK(Table2[[#This Row],[Roster Received by]]),1,0)</f>
        <v>1</v>
      </c>
      <c r="AH431" s="316">
        <f ca="1">IF(Table2[[#This Row],[Start Date]]&gt;TODAY(),1,)</f>
        <v>1</v>
      </c>
      <c r="AI431" s="316">
        <f>IF(ISBLANK(Table2[[#This Row],[Primary Instructor]]),0,1)</f>
        <v>1</v>
      </c>
      <c r="AJ431" s="316">
        <f>IF(ISBLANK(Table2[[#This Row],[Instructor 2]]),0,1)</f>
        <v>0</v>
      </c>
      <c r="AK431" s="316">
        <f>Table2[[#This Row],[Course Length (Hours)]]/(SUM(Table2[[#This Row],[1]:[2]]))</f>
        <v>32</v>
      </c>
      <c r="AL431" s="124"/>
      <c r="AM431" s="316">
        <v>3</v>
      </c>
      <c r="AN431" s="363" t="str">
        <f>VLOOKUP(Table2[[#This Row],[Course Title]],'TSD-Data'!$A$1:$G$80,7,FALSE)</f>
        <v>N3</v>
      </c>
    </row>
    <row r="432" spans="2:40" s="428" customFormat="1" x14ac:dyDescent="0.25">
      <c r="B432" s="315"/>
      <c r="C432" s="364" t="s">
        <v>119</v>
      </c>
      <c r="D432" s="316" t="str">
        <f>VLOOKUP(Table2[[#This Row],[Course Title]],'TSD-Data'!$A$1:$E$80,2,FALSE)</f>
        <v>A-493-2098</v>
      </c>
      <c r="E432" s="316" t="str">
        <f>VLOOKUP(Table2[[#This Row],[Course Title]],'TSD-Data'!$A$1:$E$80,3,FALSE)</f>
        <v>09WW</v>
      </c>
      <c r="F432" s="364" t="s">
        <v>25</v>
      </c>
      <c r="G432" s="344">
        <v>46174</v>
      </c>
      <c r="H432" s="344">
        <v>46176</v>
      </c>
      <c r="I432" s="317" t="s">
        <v>163</v>
      </c>
      <c r="J432" s="318"/>
      <c r="K432" s="318">
        <v>0.5</v>
      </c>
      <c r="L432" s="431">
        <v>0.375</v>
      </c>
      <c r="M432" s="431">
        <v>0.79166666666666663</v>
      </c>
      <c r="N432" s="431">
        <v>0.75</v>
      </c>
      <c r="O432" s="431">
        <v>0.25</v>
      </c>
      <c r="P432" s="431">
        <v>4.1666666666666664E-2</v>
      </c>
      <c r="Q432" s="321" t="s">
        <v>164</v>
      </c>
      <c r="R432" s="321"/>
      <c r="S432" s="321"/>
      <c r="T432" s="316">
        <f>VLOOKUP(Table2[[#This Row],[Course Title]],'TSD-Data'!$A$1:$E$80,4,FALSE)</f>
        <v>100</v>
      </c>
      <c r="U432" s="316">
        <f>VLOOKUP(Table2[[#This Row],[Course Title]],'TSD-Data'!$A$1:$F$80,6,FALSE)</f>
        <v>16</v>
      </c>
      <c r="V432" s="323">
        <f>VLOOKUP(Table2[[#This Row],[Course Title]],'TSD-Data'!$A$1:$F$80,5,FALSE)</f>
        <v>3</v>
      </c>
      <c r="W432" s="323">
        <v>1882</v>
      </c>
      <c r="X432" s="316"/>
      <c r="Y432" s="316"/>
      <c r="Z432" s="323"/>
      <c r="AA432" s="323"/>
      <c r="AB432" s="316"/>
      <c r="AC432" s="316"/>
      <c r="AD432" s="316"/>
      <c r="AE432" s="316"/>
      <c r="AF432" s="323">
        <f ca="1">Table2[[#This Row],[End Date]]+2-TODAY()</f>
        <v>171</v>
      </c>
      <c r="AG432" s="316">
        <f>IF(ISBLANK(Table2[[#This Row],[Roster Received by]]),1,0)</f>
        <v>1</v>
      </c>
      <c r="AH432" s="316">
        <f ca="1">IF(Table2[[#This Row],[Start Date]]&gt;TODAY(),1,)</f>
        <v>1</v>
      </c>
      <c r="AI432" s="316">
        <f>IF(ISBLANK(Table2[[#This Row],[Primary Instructor]]),0,1)</f>
        <v>1</v>
      </c>
      <c r="AJ432" s="316">
        <f>IF(ISBLANK(Table2[[#This Row],[Instructor 2]]),0,1)</f>
        <v>0</v>
      </c>
      <c r="AK432" s="316">
        <f>Table2[[#This Row],[Course Length (Hours)]]/(SUM(Table2[[#This Row],[1]:[2]]))</f>
        <v>16</v>
      </c>
      <c r="AL432" s="124"/>
      <c r="AM432" s="316">
        <v>3</v>
      </c>
      <c r="AN432" s="363" t="str">
        <f>VLOOKUP(Table2[[#This Row],[Course Title]],'TSD-Data'!$A$1:$G$80,7,FALSE)</f>
        <v>N8</v>
      </c>
    </row>
    <row r="433" spans="2:40" s="428" customFormat="1" x14ac:dyDescent="0.25">
      <c r="B433" s="315"/>
      <c r="C433" s="364" t="s">
        <v>122</v>
      </c>
      <c r="D433" s="316" t="str">
        <f>VLOOKUP(Table2[[#This Row],[Course Title]],'TSD-Data'!$A$1:$E$80,2,FALSE)</f>
        <v>F-4J-0023</v>
      </c>
      <c r="E433" s="316" t="str">
        <f>VLOOKUP(Table2[[#This Row],[Course Title]],'TSD-Data'!$A$1:$E$80,3,FALSE)</f>
        <v>11A2</v>
      </c>
      <c r="F433" s="364" t="s">
        <v>25</v>
      </c>
      <c r="G433" s="344">
        <v>46174</v>
      </c>
      <c r="H433" s="344">
        <v>46175</v>
      </c>
      <c r="I433" s="317" t="s">
        <v>163</v>
      </c>
      <c r="J433" s="318"/>
      <c r="K433" s="345">
        <v>0.5</v>
      </c>
      <c r="L433" s="429">
        <v>0.375</v>
      </c>
      <c r="M433" s="429">
        <v>0.79166666666666663</v>
      </c>
      <c r="N433" s="429">
        <v>0.75</v>
      </c>
      <c r="O433" s="429">
        <v>0.25</v>
      </c>
      <c r="P433" s="429">
        <v>4.1666666666666664E-2</v>
      </c>
      <c r="Q433" s="321" t="s">
        <v>461</v>
      </c>
      <c r="R433" s="321"/>
      <c r="S433" s="321"/>
      <c r="T433" s="316">
        <f>VLOOKUP(Table2[[#This Row],[Course Title]],'TSD-Data'!$A$1:$E$80,4,FALSE)</f>
        <v>45</v>
      </c>
      <c r="U433" s="316">
        <f>VLOOKUP(Table2[[#This Row],[Course Title]],'TSD-Data'!$A$1:$F$80,6,FALSE)</f>
        <v>16</v>
      </c>
      <c r="V433" s="323">
        <f>VLOOKUP(Table2[[#This Row],[Course Title]],'TSD-Data'!$A$1:$F$80,5,FALSE)</f>
        <v>2</v>
      </c>
      <c r="W433" s="323">
        <v>1882</v>
      </c>
      <c r="X433" s="316"/>
      <c r="Y433" s="316"/>
      <c r="Z433" s="323"/>
      <c r="AA433" s="323"/>
      <c r="AB433" s="316"/>
      <c r="AC433" s="316"/>
      <c r="AD433" s="316"/>
      <c r="AE433" s="316"/>
      <c r="AF433" s="323">
        <f ca="1">Table2[[#This Row],[End Date]]+2-TODAY()</f>
        <v>170</v>
      </c>
      <c r="AG433" s="316">
        <f>IF(ISBLANK(Table2[[#This Row],[Roster Received by]]),1,0)</f>
        <v>1</v>
      </c>
      <c r="AH433" s="316">
        <f ca="1">IF(Table2[[#This Row],[Start Date]]&gt;TODAY(),1,)</f>
        <v>1</v>
      </c>
      <c r="AI433" s="316">
        <f>IF(ISBLANK(Table2[[#This Row],[Primary Instructor]]),0,1)</f>
        <v>1</v>
      </c>
      <c r="AJ433" s="316">
        <f>IF(ISBLANK(Table2[[#This Row],[Instructor 2]]),0,1)</f>
        <v>0</v>
      </c>
      <c r="AK433" s="316">
        <f>Table2[[#This Row],[Course Length (Hours)]]/(SUM(Table2[[#This Row],[1]:[2]]))</f>
        <v>16</v>
      </c>
      <c r="AL433" s="124"/>
      <c r="AM433" s="316">
        <v>3</v>
      </c>
      <c r="AN433" s="363" t="str">
        <f>VLOOKUP(Table2[[#This Row],[Course Title]],'TSD-Data'!$A$1:$G$80,7,FALSE)</f>
        <v>N8</v>
      </c>
    </row>
    <row r="434" spans="2:40" s="428" customFormat="1" x14ac:dyDescent="0.25">
      <c r="B434" s="315"/>
      <c r="C434" s="364" t="s">
        <v>125</v>
      </c>
      <c r="D434" s="316" t="str">
        <f>VLOOKUP(Table2[[#This Row],[Course Title]],'TSD-Data'!$A$1:$E$80,2,FALSE)</f>
        <v>A-493-2017</v>
      </c>
      <c r="E434" s="316" t="str">
        <f>VLOOKUP(Table2[[#This Row],[Course Title]],'TSD-Data'!$A$1:$E$80,3,FALSE)</f>
        <v>12x3</v>
      </c>
      <c r="F434" s="315" t="s">
        <v>305</v>
      </c>
      <c r="G434" s="317">
        <v>46174</v>
      </c>
      <c r="H434" s="317">
        <v>46178</v>
      </c>
      <c r="I434" s="341" t="s">
        <v>167</v>
      </c>
      <c r="J434" s="318">
        <v>0.33333333333333331</v>
      </c>
      <c r="K434" s="318"/>
      <c r="L434" s="317"/>
      <c r="M434" s="317"/>
      <c r="N434" s="317"/>
      <c r="O434" s="317"/>
      <c r="P434" s="317"/>
      <c r="Q434" s="321" t="s">
        <v>168</v>
      </c>
      <c r="R434" s="321"/>
      <c r="S434" s="321"/>
      <c r="T434" s="316">
        <f>VLOOKUP(Table2[[#This Row],[Course Title]],'TSD-Data'!$A$1:$E$80,4,FALSE)</f>
        <v>25</v>
      </c>
      <c r="U434" s="316">
        <f>VLOOKUP(Table2[[#This Row],[Course Title]],'TSD-Data'!$A$1:$F$80,6,FALSE)</f>
        <v>40</v>
      </c>
      <c r="V434" s="323">
        <f>VLOOKUP(Table2[[#This Row],[Course Title]],'TSD-Data'!$A$1:$F$80,5,FALSE)</f>
        <v>5</v>
      </c>
      <c r="W434" s="323">
        <v>30</v>
      </c>
      <c r="X434" s="316"/>
      <c r="Y434" s="316"/>
      <c r="Z434" s="323"/>
      <c r="AA434" s="323"/>
      <c r="AB434" s="363"/>
      <c r="AC434" s="363"/>
      <c r="AD434" s="316"/>
      <c r="AE434" s="316"/>
      <c r="AF434" s="323">
        <f ca="1">Table2[[#This Row],[End Date]]+2-TODAY()</f>
        <v>173</v>
      </c>
      <c r="AG434" s="316">
        <f>IF(ISBLANK(Table2[[#This Row],[Roster Received by]]),1,0)</f>
        <v>1</v>
      </c>
      <c r="AH434" s="316">
        <f ca="1">IF(Table2[[#This Row],[Start Date]]&gt;TODAY(),1,)</f>
        <v>1</v>
      </c>
      <c r="AI434" s="316">
        <f>IF(ISBLANK(Table2[[#This Row],[Primary Instructor]]),0,1)</f>
        <v>1</v>
      </c>
      <c r="AJ434" s="316">
        <f>IF(ISBLANK(Table2[[#This Row],[Instructor 2]]),0,1)</f>
        <v>0</v>
      </c>
      <c r="AK434" s="316">
        <f>Table2[[#This Row],[Course Length (Hours)]]/(SUM(Table2[[#This Row],[1]:[2]]))</f>
        <v>40</v>
      </c>
      <c r="AL434" s="638"/>
      <c r="AM434" s="316">
        <v>3</v>
      </c>
      <c r="AN434" s="363" t="str">
        <f>VLOOKUP(Table2[[#This Row],[Course Title]],'TSD-Data'!$A$1:$G$80,7,FALSE)</f>
        <v>N4</v>
      </c>
    </row>
    <row r="435" spans="2:40" s="428" customFormat="1" x14ac:dyDescent="0.25">
      <c r="B435" s="315"/>
      <c r="C435" s="364" t="s">
        <v>106</v>
      </c>
      <c r="D435" s="316" t="str">
        <f>VLOOKUP(Table2[[#This Row],[Course Title]],'TSD-Data'!$A$1:$E$80,2,FALSE)</f>
        <v>A-493-0078</v>
      </c>
      <c r="E435" s="316">
        <f>VLOOKUP(Table2[[#This Row],[Course Title]],'TSD-Data'!$A$1:$E$80,3,FALSE)</f>
        <v>1228</v>
      </c>
      <c r="F435" s="364" t="s">
        <v>25</v>
      </c>
      <c r="G435" s="317">
        <v>46174</v>
      </c>
      <c r="H435" s="317">
        <v>46177</v>
      </c>
      <c r="I435" s="317" t="s">
        <v>163</v>
      </c>
      <c r="J435" s="318"/>
      <c r="K435" s="345">
        <v>0.33333333333333331</v>
      </c>
      <c r="L435" s="345">
        <v>0.20833333333333334</v>
      </c>
      <c r="M435" s="345">
        <v>0.625</v>
      </c>
      <c r="N435" s="345">
        <v>0.54166666666666663</v>
      </c>
      <c r="O435" s="345">
        <v>8.3333333333333329E-2</v>
      </c>
      <c r="P435" s="345">
        <v>0.875</v>
      </c>
      <c r="Q435" s="321" t="s">
        <v>172</v>
      </c>
      <c r="R435" s="321"/>
      <c r="S435" s="321"/>
      <c r="T435" s="316">
        <f>VLOOKUP(Table2[[#This Row],[Course Title]],'TSD-Data'!$A$1:$E$80,4,FALSE)</f>
        <v>45</v>
      </c>
      <c r="U435" s="316">
        <f>VLOOKUP(Table2[[#This Row],[Course Title]],'TSD-Data'!$A$1:$F$80,6,FALSE)</f>
        <v>32</v>
      </c>
      <c r="V435" s="323">
        <f>VLOOKUP(Table2[[#This Row],[Course Title]],'TSD-Data'!$A$1:$F$80,5,FALSE)</f>
        <v>4</v>
      </c>
      <c r="W435" s="323">
        <v>454</v>
      </c>
      <c r="X435" s="316"/>
      <c r="Y435" s="316"/>
      <c r="Z435" s="323"/>
      <c r="AA435" s="323"/>
      <c r="AB435" s="316"/>
      <c r="AC435" s="316"/>
      <c r="AD435" s="316"/>
      <c r="AE435" s="316"/>
      <c r="AF435" s="323">
        <f ca="1">Table2[[#This Row],[End Date]]+2-TODAY()</f>
        <v>172</v>
      </c>
      <c r="AG435" s="316">
        <f>IF(ISBLANK(Table2[[#This Row],[Roster Received by]]),1,0)</f>
        <v>1</v>
      </c>
      <c r="AH435" s="316">
        <f ca="1">IF(Table2[[#This Row],[Start Date]]&gt;TODAY(),1,)</f>
        <v>1</v>
      </c>
      <c r="AI435" s="316">
        <f>IF(ISBLANK(Table2[[#This Row],[Primary Instructor]]),0,1)</f>
        <v>1</v>
      </c>
      <c r="AJ435" s="316">
        <f>IF(ISBLANK(Table2[[#This Row],[Instructor 2]]),0,1)</f>
        <v>0</v>
      </c>
      <c r="AK435" s="316">
        <f>Table2[[#This Row],[Course Length (Hours)]]/(SUM(Table2[[#This Row],[1]:[2]]))</f>
        <v>32</v>
      </c>
      <c r="AL435" s="124"/>
      <c r="AM435" s="316">
        <v>3</v>
      </c>
      <c r="AN435" s="363" t="str">
        <f>VLOOKUP(Table2[[#This Row],[Course Title]],'TSD-Data'!$A$1:$G$80,7,FALSE)</f>
        <v>N5</v>
      </c>
    </row>
    <row r="436" spans="2:40" s="428" customFormat="1" x14ac:dyDescent="0.25">
      <c r="B436" s="315"/>
      <c r="C436" s="364" t="s">
        <v>77</v>
      </c>
      <c r="D436" s="316" t="str">
        <f>VLOOKUP(Table2[[#This Row],[Course Title]],'TSD-Data'!$A$1:$E$80,2,FALSE)</f>
        <v>A-493-0077</v>
      </c>
      <c r="E436" s="316" t="str">
        <f>VLOOKUP(Table2[[#This Row],[Course Title]],'TSD-Data'!$A$1:$E$80,3,FALSE)</f>
        <v>0381</v>
      </c>
      <c r="F436" s="315" t="s">
        <v>264</v>
      </c>
      <c r="G436" s="317">
        <v>46176</v>
      </c>
      <c r="H436" s="317">
        <v>46178</v>
      </c>
      <c r="I436" s="341" t="s">
        <v>167</v>
      </c>
      <c r="J436" s="318">
        <v>0.33333333333333331</v>
      </c>
      <c r="K436" s="318"/>
      <c r="L436" s="317"/>
      <c r="M436" s="317"/>
      <c r="N436" s="317"/>
      <c r="O436" s="317"/>
      <c r="P436" s="317"/>
      <c r="Q436" s="321" t="s">
        <v>168</v>
      </c>
      <c r="R436" s="321"/>
      <c r="S436" s="321"/>
      <c r="T436" s="316">
        <f>VLOOKUP(Table2[[#This Row],[Course Title]],'TSD-Data'!$A$1:$E$80,4,FALSE)</f>
        <v>25</v>
      </c>
      <c r="U436" s="316">
        <f>VLOOKUP(Table2[[#This Row],[Course Title]],'TSD-Data'!$A$1:$F$80,6,FALSE)</f>
        <v>24</v>
      </c>
      <c r="V436" s="323">
        <f>VLOOKUP(Table2[[#This Row],[Course Title]],'TSD-Data'!$A$1:$F$80,5,FALSE)</f>
        <v>3</v>
      </c>
      <c r="W436" s="323">
        <v>82</v>
      </c>
      <c r="X436" s="316"/>
      <c r="Y436" s="316"/>
      <c r="Z436" s="323"/>
      <c r="AA436" s="323"/>
      <c r="AB436" s="363"/>
      <c r="AC436" s="363"/>
      <c r="AD436" s="316"/>
      <c r="AE436" s="316"/>
      <c r="AF436" s="323">
        <f ca="1">Table2[[#This Row],[End Date]]+2-TODAY()</f>
        <v>173</v>
      </c>
      <c r="AG436" s="316">
        <f>IF(ISBLANK(Table2[[#This Row],[Roster Received by]]),1,0)</f>
        <v>1</v>
      </c>
      <c r="AH436" s="316">
        <f ca="1">IF(Table2[[#This Row],[Start Date]]&gt;TODAY(),1,)</f>
        <v>1</v>
      </c>
      <c r="AI436" s="316">
        <f>IF(ISBLANK(Table2[[#This Row],[Primary Instructor]]),0,1)</f>
        <v>1</v>
      </c>
      <c r="AJ436" s="316">
        <f>IF(ISBLANK(Table2[[#This Row],[Instructor 2]]),0,1)</f>
        <v>0</v>
      </c>
      <c r="AK436" s="316">
        <f>Table2[[#This Row],[Course Length (Hours)]]/(SUM(Table2[[#This Row],[1]:[2]]))</f>
        <v>24</v>
      </c>
      <c r="AL436" s="638"/>
      <c r="AM436" s="316">
        <v>3</v>
      </c>
      <c r="AN436" s="363" t="str">
        <f>VLOOKUP(Table2[[#This Row],[Course Title]],'TSD-Data'!$A$1:$G$80,7,FALSE)</f>
        <v>N4</v>
      </c>
    </row>
    <row r="437" spans="2:40" s="428" customFormat="1" x14ac:dyDescent="0.25">
      <c r="B437" s="315"/>
      <c r="C437" s="364" t="s">
        <v>48</v>
      </c>
      <c r="D437" s="316" t="str">
        <f>VLOOKUP(Table2[[#This Row],[Course Title]],'TSD-Data'!$A$1:$E$80,2,FALSE)</f>
        <v>A-493-0103</v>
      </c>
      <c r="E437" s="316" t="str">
        <f>VLOOKUP(Table2[[#This Row],[Course Title]],'TSD-Data'!$A$1:$E$80,3,FALSE)</f>
        <v>12JY</v>
      </c>
      <c r="F437" s="315" t="s">
        <v>415</v>
      </c>
      <c r="G437" s="317">
        <v>46181</v>
      </c>
      <c r="H437" s="317">
        <v>46185</v>
      </c>
      <c r="I437" s="317" t="s">
        <v>163</v>
      </c>
      <c r="J437" s="318">
        <v>0.33333333333333331</v>
      </c>
      <c r="K437" s="345"/>
      <c r="L437" s="344"/>
      <c r="M437" s="344"/>
      <c r="N437" s="344"/>
      <c r="O437" s="344"/>
      <c r="P437" s="344"/>
      <c r="Q437" s="321" t="s">
        <v>275</v>
      </c>
      <c r="R437" s="321"/>
      <c r="S437" s="321"/>
      <c r="T437" s="316">
        <f>VLOOKUP(Table2[[#This Row],[Course Title]],'TSD-Data'!$A$1:$E$80,4,FALSE)</f>
        <v>25</v>
      </c>
      <c r="U437" s="316">
        <f>VLOOKUP(Table2[[#This Row],[Course Title]],'TSD-Data'!$A$1:$F$80,6,FALSE)</f>
        <v>40</v>
      </c>
      <c r="V437" s="323">
        <f>VLOOKUP(Table2[[#This Row],[Course Title]],'TSD-Data'!$A$1:$F$80,5,FALSE)</f>
        <v>5</v>
      </c>
      <c r="W437" s="323"/>
      <c r="X437" s="316"/>
      <c r="Y437" s="316"/>
      <c r="Z437" s="323"/>
      <c r="AA437" s="323"/>
      <c r="AB437" s="316"/>
      <c r="AC437" s="316"/>
      <c r="AD437" s="316"/>
      <c r="AE437" s="316"/>
      <c r="AF437" s="323">
        <f ca="1">Table2[[#This Row],[End Date]]+2-TODAY()</f>
        <v>180</v>
      </c>
      <c r="AG437" s="316">
        <f>IF(ISBLANK(Table2[[#This Row],[Roster Received by]]),1,0)</f>
        <v>1</v>
      </c>
      <c r="AH437" s="316">
        <f ca="1">IF(Table2[[#This Row],[Start Date]]&gt;TODAY(),1,)</f>
        <v>1</v>
      </c>
      <c r="AI437" s="316">
        <f>IF(ISBLANK(Table2[[#This Row],[Primary Instructor]]),0,1)</f>
        <v>1</v>
      </c>
      <c r="AJ437" s="316">
        <f>IF(ISBLANK(Table2[[#This Row],[Instructor 2]]),0,1)</f>
        <v>0</v>
      </c>
      <c r="AK437" s="316">
        <f>Table2[[#This Row],[Course Length (Hours)]]/(SUM(Table2[[#This Row],[1]:[2]]))</f>
        <v>40</v>
      </c>
      <c r="AL437" s="124"/>
      <c r="AM437" s="316">
        <v>3</v>
      </c>
      <c r="AN437" s="363" t="str">
        <f>VLOOKUP(Table2[[#This Row],[Course Title]],'TSD-Data'!$A$1:$G$80,7,FALSE)</f>
        <v>N5</v>
      </c>
    </row>
    <row r="438" spans="2:40" s="428" customFormat="1" x14ac:dyDescent="0.25">
      <c r="B438" s="315"/>
      <c r="C438" s="364" t="s">
        <v>48</v>
      </c>
      <c r="D438" s="316" t="str">
        <f>VLOOKUP(Table2[[#This Row],[Course Title]],'TSD-Data'!$A$1:$E$80,2,FALSE)</f>
        <v>A-493-0103</v>
      </c>
      <c r="E438" s="316" t="str">
        <f>VLOOKUP(Table2[[#This Row],[Course Title]],'TSD-Data'!$A$1:$E$80,3,FALSE)</f>
        <v>12JY</v>
      </c>
      <c r="F438" s="315" t="s">
        <v>173</v>
      </c>
      <c r="G438" s="317">
        <v>46181</v>
      </c>
      <c r="H438" s="317">
        <v>46185</v>
      </c>
      <c r="I438" s="317" t="s">
        <v>163</v>
      </c>
      <c r="J438" s="318">
        <v>0.33333333333333331</v>
      </c>
      <c r="K438" s="345"/>
      <c r="L438" s="344"/>
      <c r="M438" s="344"/>
      <c r="N438" s="344"/>
      <c r="O438" s="344"/>
      <c r="P438" s="344"/>
      <c r="Q438" s="321" t="s">
        <v>275</v>
      </c>
      <c r="R438" s="321"/>
      <c r="S438" s="321"/>
      <c r="T438" s="316">
        <f>VLOOKUP(Table2[[#This Row],[Course Title]],'TSD-Data'!$A$1:$E$80,4,FALSE)</f>
        <v>25</v>
      </c>
      <c r="U438" s="316">
        <f>VLOOKUP(Table2[[#This Row],[Course Title]],'TSD-Data'!$A$1:$F$80,6,FALSE)</f>
        <v>40</v>
      </c>
      <c r="V438" s="323">
        <f>VLOOKUP(Table2[[#This Row],[Course Title]],'TSD-Data'!$A$1:$F$80,5,FALSE)</f>
        <v>5</v>
      </c>
      <c r="W438" s="323">
        <v>512</v>
      </c>
      <c r="X438" s="316"/>
      <c r="Y438" s="316"/>
      <c r="Z438" s="323"/>
      <c r="AA438" s="323"/>
      <c r="AB438" s="316"/>
      <c r="AC438" s="316"/>
      <c r="AD438" s="316"/>
      <c r="AE438" s="316"/>
      <c r="AF438" s="323">
        <f ca="1">Table2[[#This Row],[End Date]]+2-TODAY()</f>
        <v>180</v>
      </c>
      <c r="AG438" s="316">
        <f>IF(ISBLANK(Table2[[#This Row],[Roster Received by]]),1,0)</f>
        <v>1</v>
      </c>
      <c r="AH438" s="316">
        <f ca="1">IF(Table2[[#This Row],[Start Date]]&gt;TODAY(),1,)</f>
        <v>1</v>
      </c>
      <c r="AI438" s="316">
        <f>IF(ISBLANK(Table2[[#This Row],[Primary Instructor]]),0,1)</f>
        <v>1</v>
      </c>
      <c r="AJ438" s="316">
        <f>IF(ISBLANK(Table2[[#This Row],[Instructor 2]]),0,1)</f>
        <v>0</v>
      </c>
      <c r="AK438" s="316">
        <f>Table2[[#This Row],[Course Length (Hours)]]/(SUM(Table2[[#This Row],[1]:[2]]))</f>
        <v>40</v>
      </c>
      <c r="AL438" s="124"/>
      <c r="AM438" s="316">
        <v>3</v>
      </c>
      <c r="AN438" s="363" t="str">
        <f>VLOOKUP(Table2[[#This Row],[Course Title]],'TSD-Data'!$A$1:$G$80,7,FALSE)</f>
        <v>N5</v>
      </c>
    </row>
    <row r="439" spans="2:40" s="428" customFormat="1" x14ac:dyDescent="0.25">
      <c r="B439" s="315"/>
      <c r="C439" s="364" t="s">
        <v>44</v>
      </c>
      <c r="D439" s="316" t="str">
        <f>VLOOKUP(Table2[[#This Row],[Course Title]],'TSD-Data'!$A$1:$E$80,2,FALSE)</f>
        <v>A-493-0665</v>
      </c>
      <c r="E439" s="316" t="str">
        <f>VLOOKUP(Table2[[#This Row],[Course Title]],'TSD-Data'!$A$1:$E$80,3,FALSE)</f>
        <v>10KW</v>
      </c>
      <c r="F439" s="315" t="s">
        <v>25</v>
      </c>
      <c r="G439" s="344">
        <v>46181</v>
      </c>
      <c r="H439" s="344">
        <v>46183</v>
      </c>
      <c r="I439" s="317" t="s">
        <v>163</v>
      </c>
      <c r="J439" s="318"/>
      <c r="K439" s="318">
        <v>0.79166666666666663</v>
      </c>
      <c r="L439" s="429">
        <v>0.66666666666666663</v>
      </c>
      <c r="M439" s="431">
        <v>8.3333333333333329E-2</v>
      </c>
      <c r="N439" s="431">
        <v>0</v>
      </c>
      <c r="O439" s="431">
        <v>0.54166666666666663</v>
      </c>
      <c r="P439" s="431">
        <v>0.33333333333333331</v>
      </c>
      <c r="Q439" s="321" t="s">
        <v>444</v>
      </c>
      <c r="R439" s="321"/>
      <c r="S439" s="321"/>
      <c r="T439" s="316">
        <f>VLOOKUP(Table2[[#This Row],[Course Title]],'TSD-Data'!$A$1:$E$80,4,FALSE)</f>
        <v>45</v>
      </c>
      <c r="U439" s="316">
        <f>VLOOKUP(Table2[[#This Row],[Course Title]],'TSD-Data'!$A$1:$F$80,6,FALSE)</f>
        <v>24</v>
      </c>
      <c r="V439" s="323">
        <f>VLOOKUP(Table2[[#This Row],[Course Title]],'TSD-Data'!$A$1:$F$80,5,FALSE)</f>
        <v>3</v>
      </c>
      <c r="W439" s="323">
        <v>82</v>
      </c>
      <c r="X439" s="316"/>
      <c r="Y439" s="316"/>
      <c r="Z439" s="323"/>
      <c r="AA439" s="323"/>
      <c r="AB439" s="316"/>
      <c r="AC439" s="316"/>
      <c r="AD439" s="316"/>
      <c r="AE439" s="316"/>
      <c r="AF439" s="323">
        <f ca="1">Table2[[#This Row],[End Date]]+2-TODAY()</f>
        <v>178</v>
      </c>
      <c r="AG439" s="316">
        <f>IF(ISBLANK(Table2[[#This Row],[Roster Received by]]),1,0)</f>
        <v>1</v>
      </c>
      <c r="AH439" s="316">
        <f ca="1">IF(Table2[[#This Row],[Start Date]]&gt;TODAY(),1,)</f>
        <v>1</v>
      </c>
      <c r="AI439" s="316">
        <f>IF(ISBLANK(Table2[[#This Row],[Primary Instructor]]),0,1)</f>
        <v>1</v>
      </c>
      <c r="AJ439" s="316">
        <f>IF(ISBLANK(Table2[[#This Row],[Instructor 2]]),0,1)</f>
        <v>0</v>
      </c>
      <c r="AK439" s="316">
        <f>Table2[[#This Row],[Course Length (Hours)]]/(SUM(Table2[[#This Row],[1]:[2]]))</f>
        <v>24</v>
      </c>
      <c r="AL439" s="124"/>
      <c r="AM439" s="316">
        <v>3</v>
      </c>
      <c r="AN439" s="363" t="str">
        <f>VLOOKUP(Table2[[#This Row],[Course Title]],'TSD-Data'!$A$1:$G$80,7,FALSE)</f>
        <v>N8</v>
      </c>
    </row>
    <row r="440" spans="2:40" s="428" customFormat="1" x14ac:dyDescent="0.25">
      <c r="B440" s="437" t="s">
        <v>497</v>
      </c>
      <c r="C440" s="343" t="s">
        <v>61</v>
      </c>
      <c r="D440" s="316" t="str">
        <f>VLOOKUP(Table2[[#This Row],[Course Title]],'TSD-Data'!$A$1:$E$80,2,FALSE)</f>
        <v>A-493-0012</v>
      </c>
      <c r="E440" s="316">
        <f>VLOOKUP(Table2[[#This Row],[Course Title]],'TSD-Data'!$A$1:$E$80,3,FALSE)</f>
        <v>3682</v>
      </c>
      <c r="F440" s="342" t="s">
        <v>254</v>
      </c>
      <c r="G440" s="344">
        <v>46181</v>
      </c>
      <c r="H440" s="344">
        <v>46185</v>
      </c>
      <c r="I440" s="341" t="s">
        <v>167</v>
      </c>
      <c r="J440" s="318">
        <v>0.33333333333333331</v>
      </c>
      <c r="K440" s="318"/>
      <c r="L440" s="344"/>
      <c r="M440" s="317"/>
      <c r="N440" s="317"/>
      <c r="O440" s="317"/>
      <c r="P440" s="317"/>
      <c r="Q440" s="321" t="s">
        <v>438</v>
      </c>
      <c r="R440" s="321"/>
      <c r="S440" s="321"/>
      <c r="T440" s="316">
        <f>VLOOKUP(Table2[[#This Row],[Course Title]],'TSD-Data'!$A$1:$E$80,4,FALSE)</f>
        <v>40</v>
      </c>
      <c r="U440" s="316">
        <f>VLOOKUP(Table2[[#This Row],[Course Title]],'TSD-Data'!$A$1:$F$80,6,FALSE)</f>
        <v>40</v>
      </c>
      <c r="V440" s="323">
        <f>VLOOKUP(Table2[[#This Row],[Course Title]],'TSD-Data'!$A$1:$F$80,5,FALSE)</f>
        <v>5</v>
      </c>
      <c r="W440" s="316">
        <v>38</v>
      </c>
      <c r="X440" s="316"/>
      <c r="Y440" s="316"/>
      <c r="Z440" s="323"/>
      <c r="AA440" s="323"/>
      <c r="AB440" s="316"/>
      <c r="AC440" s="316"/>
      <c r="AD440" s="316"/>
      <c r="AE440" s="316"/>
      <c r="AF440" s="323">
        <f ca="1">Table2[[#This Row],[End Date]]+2-TODAY()</f>
        <v>180</v>
      </c>
      <c r="AG440" s="316">
        <f>IF(ISBLANK(Table2[[#This Row],[Roster Received by]]),1,0)</f>
        <v>1</v>
      </c>
      <c r="AH440" s="316">
        <f ca="1">IF(Table2[[#This Row],[Start Date]]&gt;TODAY(),1,)</f>
        <v>1</v>
      </c>
      <c r="AI440" s="316">
        <f>IF(ISBLANK(Table2[[#This Row],[Primary Instructor]]),0,1)</f>
        <v>1</v>
      </c>
      <c r="AJ440" s="316">
        <f>IF(ISBLANK(Table2[[#This Row],[Instructor 2]]),0,1)</f>
        <v>0</v>
      </c>
      <c r="AK440" s="316">
        <f>Table2[[#This Row],[Course Length (Hours)]]/(SUM(Table2[[#This Row],[1]:[2]]))</f>
        <v>40</v>
      </c>
      <c r="AL440" s="124"/>
      <c r="AM440" s="316">
        <v>3</v>
      </c>
      <c r="AN440" s="363" t="str">
        <f>VLOOKUP(Table2[[#This Row],[Course Title]],'TSD-Data'!$A$1:$G$80,7,FALSE)</f>
        <v>N4</v>
      </c>
    </row>
    <row r="441" spans="2:40" s="428" customFormat="1" x14ac:dyDescent="0.25">
      <c r="B441" s="437" t="s">
        <v>329</v>
      </c>
      <c r="C441" s="343" t="s">
        <v>61</v>
      </c>
      <c r="D441" s="316" t="str">
        <f>VLOOKUP(Table2[[#This Row],[Course Title]],'TSD-Data'!$A$1:$E$80,2,FALSE)</f>
        <v>A-493-0012</v>
      </c>
      <c r="E441" s="316">
        <f>VLOOKUP(Table2[[#This Row],[Course Title]],'TSD-Data'!$A$1:$E$80,3,FALSE)</f>
        <v>3682</v>
      </c>
      <c r="F441" s="342" t="s">
        <v>198</v>
      </c>
      <c r="G441" s="344">
        <v>46181</v>
      </c>
      <c r="H441" s="344">
        <v>46185</v>
      </c>
      <c r="I441" s="341" t="s">
        <v>167</v>
      </c>
      <c r="J441" s="318">
        <v>0.33333333333333331</v>
      </c>
      <c r="K441" s="318"/>
      <c r="L441" s="344"/>
      <c r="M441" s="317"/>
      <c r="N441" s="317"/>
      <c r="O441" s="317"/>
      <c r="P441" s="317"/>
      <c r="Q441" s="321" t="s">
        <v>447</v>
      </c>
      <c r="R441" s="321"/>
      <c r="S441" s="321"/>
      <c r="T441" s="316">
        <f>VLOOKUP(Table2[[#This Row],[Course Title]],'TSD-Data'!$A$1:$E$80,4,FALSE)</f>
        <v>40</v>
      </c>
      <c r="U441" s="316">
        <f>VLOOKUP(Table2[[#This Row],[Course Title]],'TSD-Data'!$A$1:$F$80,6,FALSE)</f>
        <v>40</v>
      </c>
      <c r="V441" s="323">
        <f>VLOOKUP(Table2[[#This Row],[Course Title]],'TSD-Data'!$A$1:$F$80,5,FALSE)</f>
        <v>5</v>
      </c>
      <c r="W441" s="316">
        <v>30</v>
      </c>
      <c r="X441" s="316"/>
      <c r="Y441" s="316"/>
      <c r="Z441" s="323"/>
      <c r="AA441" s="323"/>
      <c r="AB441" s="316"/>
      <c r="AC441" s="316"/>
      <c r="AD441" s="316"/>
      <c r="AE441" s="316"/>
      <c r="AF441" s="323">
        <f ca="1">Table2[[#This Row],[End Date]]+2-TODAY()</f>
        <v>180</v>
      </c>
      <c r="AG441" s="316">
        <f>IF(ISBLANK(Table2[[#This Row],[Roster Received by]]),1,0)</f>
        <v>1</v>
      </c>
      <c r="AH441" s="316">
        <f ca="1">IF(Table2[[#This Row],[Start Date]]&gt;TODAY(),1,)</f>
        <v>1</v>
      </c>
      <c r="AI441" s="316">
        <f>IF(ISBLANK(Table2[[#This Row],[Primary Instructor]]),0,1)</f>
        <v>1</v>
      </c>
      <c r="AJ441" s="316">
        <f>IF(ISBLANK(Table2[[#This Row],[Instructor 2]]),0,1)</f>
        <v>0</v>
      </c>
      <c r="AK441" s="316">
        <f>Table2[[#This Row],[Course Length (Hours)]]/(SUM(Table2[[#This Row],[1]:[2]]))</f>
        <v>40</v>
      </c>
      <c r="AL441" s="124"/>
      <c r="AM441" s="316">
        <v>3</v>
      </c>
      <c r="AN441" s="363" t="str">
        <f>VLOOKUP(Table2[[#This Row],[Course Title]],'TSD-Data'!$A$1:$G$80,7,FALSE)</f>
        <v>N4</v>
      </c>
    </row>
    <row r="442" spans="2:40" s="428" customFormat="1" x14ac:dyDescent="0.25">
      <c r="B442" s="315" t="s">
        <v>306</v>
      </c>
      <c r="C442" s="364" t="s">
        <v>63</v>
      </c>
      <c r="D442" s="421" t="str">
        <f>VLOOKUP(Table2[[#This Row],[Course Title]],'TSD-Data'!$A$1:$E$80,2,FALSE)</f>
        <v>A-493-0013</v>
      </c>
      <c r="E442" s="421">
        <f>VLOOKUP(Table2[[#This Row],[Course Title]],'TSD-Data'!$A$1:$E$80,3,FALSE)</f>
        <v>3683</v>
      </c>
      <c r="F442" s="364" t="s">
        <v>307</v>
      </c>
      <c r="G442" s="344">
        <v>46181</v>
      </c>
      <c r="H442" s="344">
        <v>46183</v>
      </c>
      <c r="I442" s="341" t="s">
        <v>167</v>
      </c>
      <c r="J442" s="318">
        <v>0.33333333333333331</v>
      </c>
      <c r="K442" s="318"/>
      <c r="L442" s="344"/>
      <c r="M442" s="317"/>
      <c r="N442" s="317"/>
      <c r="O442" s="317"/>
      <c r="P442" s="317"/>
      <c r="Q442" s="321" t="s">
        <v>453</v>
      </c>
      <c r="R442" s="321"/>
      <c r="S442" s="321"/>
      <c r="T442" s="316">
        <f>VLOOKUP(Table2[[#This Row],[Course Title]],'TSD-Data'!$A$1:$E$80,4,FALSE)</f>
        <v>40</v>
      </c>
      <c r="U442" s="316">
        <f>VLOOKUP(Table2[[#This Row],[Course Title]],'TSD-Data'!$A$1:$F$80,6,FALSE)</f>
        <v>24</v>
      </c>
      <c r="V442" s="323">
        <f>VLOOKUP(Table2[[#This Row],[Course Title]],'TSD-Data'!$A$1:$F$80,5,FALSE)</f>
        <v>3</v>
      </c>
      <c r="W442" s="323">
        <v>25</v>
      </c>
      <c r="X442" s="316"/>
      <c r="Y442" s="316"/>
      <c r="Z442" s="323"/>
      <c r="AA442" s="323"/>
      <c r="AB442" s="363"/>
      <c r="AC442" s="363"/>
      <c r="AD442" s="316"/>
      <c r="AE442" s="316"/>
      <c r="AF442" s="323">
        <f ca="1">Table2[[#This Row],[End Date]]+2-TODAY()</f>
        <v>178</v>
      </c>
      <c r="AG442" s="316">
        <f>IF(ISBLANK(Table2[[#This Row],[Roster Received by]]),1,0)</f>
        <v>1</v>
      </c>
      <c r="AH442" s="316">
        <f ca="1">IF(Table2[[#This Row],[Start Date]]&gt;TODAY(),1,)</f>
        <v>1</v>
      </c>
      <c r="AI442" s="316">
        <f>IF(ISBLANK(Table2[[#This Row],[Primary Instructor]]),0,1)</f>
        <v>1</v>
      </c>
      <c r="AJ442" s="316">
        <f>IF(ISBLANK(Table2[[#This Row],[Instructor 2]]),0,1)</f>
        <v>0</v>
      </c>
      <c r="AK442" s="316">
        <f>Table2[[#This Row],[Course Length (Hours)]]/(SUM(Table2[[#This Row],[1]:[2]]))</f>
        <v>24</v>
      </c>
      <c r="AL442" s="638"/>
      <c r="AM442" s="316">
        <v>3</v>
      </c>
      <c r="AN442" s="363" t="str">
        <f>VLOOKUP(Table2[[#This Row],[Course Title]],'TSD-Data'!$A$1:$G$80,7,FALSE)</f>
        <v>N4</v>
      </c>
    </row>
    <row r="443" spans="2:40" s="428" customFormat="1" x14ac:dyDescent="0.25">
      <c r="B443" s="315"/>
      <c r="C443" s="315" t="s">
        <v>77</v>
      </c>
      <c r="D443" s="316" t="str">
        <f>VLOOKUP(Table2[[#This Row],[Course Title]],'TSD-Data'!$A$1:$E$80,2,FALSE)</f>
        <v>A-493-0077</v>
      </c>
      <c r="E443" s="316" t="str">
        <f>VLOOKUP(Table2[[#This Row],[Course Title]],'TSD-Data'!$A$1:$E$80,3,FALSE)</f>
        <v>0381</v>
      </c>
      <c r="F443" s="315" t="s">
        <v>476</v>
      </c>
      <c r="G443" s="317">
        <v>46181</v>
      </c>
      <c r="H443" s="317">
        <v>46183</v>
      </c>
      <c r="I443" s="341" t="s">
        <v>167</v>
      </c>
      <c r="J443" s="318">
        <v>0.33333333333333331</v>
      </c>
      <c r="K443" s="318"/>
      <c r="L443" s="317"/>
      <c r="M443" s="317"/>
      <c r="N443" s="317"/>
      <c r="O443" s="317"/>
      <c r="P443" s="317"/>
      <c r="Q443" s="321" t="s">
        <v>168</v>
      </c>
      <c r="R443" s="321"/>
      <c r="S443" s="321"/>
      <c r="T443" s="316">
        <f>VLOOKUP(Table2[[#This Row],[Course Title]],'TSD-Data'!$A$1:$E$80,4,FALSE)</f>
        <v>25</v>
      </c>
      <c r="U443" s="316">
        <f>VLOOKUP(Table2[[#This Row],[Course Title]],'TSD-Data'!$A$1:$F$80,6,FALSE)</f>
        <v>24</v>
      </c>
      <c r="V443" s="323">
        <f>VLOOKUP(Table2[[#This Row],[Course Title]],'TSD-Data'!$A$1:$F$80,5,FALSE)</f>
        <v>3</v>
      </c>
      <c r="W443" s="323">
        <v>16</v>
      </c>
      <c r="X443" s="316"/>
      <c r="Y443" s="316"/>
      <c r="Z443" s="323"/>
      <c r="AA443" s="323"/>
      <c r="AB443" s="363"/>
      <c r="AC443" s="363"/>
      <c r="AD443" s="316"/>
      <c r="AE443" s="316"/>
      <c r="AF443" s="323">
        <f ca="1">Table2[[#This Row],[End Date]]+2-TODAY()</f>
        <v>178</v>
      </c>
      <c r="AG443" s="316">
        <f>IF(ISBLANK(Table2[[#This Row],[Roster Received by]]),1,0)</f>
        <v>1</v>
      </c>
      <c r="AH443" s="316">
        <f ca="1">IF(Table2[[#This Row],[Start Date]]&gt;TODAY(),1,)</f>
        <v>1</v>
      </c>
      <c r="AI443" s="316">
        <f>IF(ISBLANK(Table2[[#This Row],[Primary Instructor]]),0,1)</f>
        <v>1</v>
      </c>
      <c r="AJ443" s="316">
        <f>IF(ISBLANK(Table2[[#This Row],[Instructor 2]]),0,1)</f>
        <v>0</v>
      </c>
      <c r="AK443" s="316">
        <f>Table2[[#This Row],[Course Length (Hours)]]/(SUM(Table2[[#This Row],[1]:[2]]))</f>
        <v>24</v>
      </c>
      <c r="AL443" s="638"/>
      <c r="AM443" s="316">
        <v>3</v>
      </c>
      <c r="AN443" s="363" t="str">
        <f>VLOOKUP(Table2[[#This Row],[Course Title]],'TSD-Data'!$A$1:$G$80,7,FALSE)</f>
        <v>N4</v>
      </c>
    </row>
    <row r="444" spans="2:40" s="428" customFormat="1" x14ac:dyDescent="0.25">
      <c r="B444" s="364"/>
      <c r="C444" s="364" t="s">
        <v>110</v>
      </c>
      <c r="D444" s="316" t="str">
        <f>VLOOKUP(Table2[[#This Row],[Course Title]],'TSD-Data'!$A$1:$E$80,2,FALSE)</f>
        <v>A-493-2501</v>
      </c>
      <c r="E444" s="316" t="str">
        <f>VLOOKUP(Table2[[#This Row],[Course Title]],'TSD-Data'!$A$1:$E$80,3,FALSE)</f>
        <v>05ZE</v>
      </c>
      <c r="F444" s="315" t="s">
        <v>254</v>
      </c>
      <c r="G444" s="317">
        <v>46181</v>
      </c>
      <c r="H444" s="317">
        <v>46181</v>
      </c>
      <c r="I444" s="341" t="s">
        <v>167</v>
      </c>
      <c r="J444" s="318">
        <v>0.33333333333333331</v>
      </c>
      <c r="K444" s="318"/>
      <c r="L444" s="317"/>
      <c r="M444" s="317"/>
      <c r="N444" s="317"/>
      <c r="O444" s="317"/>
      <c r="P444" s="317"/>
      <c r="Q444" s="321" t="s">
        <v>168</v>
      </c>
      <c r="R444" s="321"/>
      <c r="S444" s="321"/>
      <c r="T444" s="316">
        <f>VLOOKUP(Table2[[#This Row],[Course Title]],'TSD-Data'!$A$1:$E$80,4,FALSE)</f>
        <v>30</v>
      </c>
      <c r="U444" s="316">
        <f>VLOOKUP(Table2[[#This Row],[Course Title]],'TSD-Data'!$A$1:$F$80,6,FALSE)</f>
        <v>8</v>
      </c>
      <c r="V444" s="323">
        <f>VLOOKUP(Table2[[#This Row],[Course Title]],'TSD-Data'!$A$1:$F$80,5,FALSE)</f>
        <v>1</v>
      </c>
      <c r="W444" s="323">
        <v>35</v>
      </c>
      <c r="X444" s="316"/>
      <c r="Y444" s="316"/>
      <c r="Z444" s="323"/>
      <c r="AA444" s="323"/>
      <c r="AB444" s="363"/>
      <c r="AC444" s="363"/>
      <c r="AD444" s="316"/>
      <c r="AE444" s="316"/>
      <c r="AF444" s="323">
        <f ca="1">Table2[[#This Row],[End Date]]+2-TODAY()</f>
        <v>176</v>
      </c>
      <c r="AG444" s="316">
        <f>IF(ISBLANK(Table2[[#This Row],[Roster Received by]]),1,0)</f>
        <v>1</v>
      </c>
      <c r="AH444" s="316">
        <f ca="1">IF(Table2[[#This Row],[Start Date]]&gt;TODAY(),1,)</f>
        <v>1</v>
      </c>
      <c r="AI444" s="316">
        <f>IF(ISBLANK(Table2[[#This Row],[Primary Instructor]]),0,1)</f>
        <v>1</v>
      </c>
      <c r="AJ444" s="316">
        <f>IF(ISBLANK(Table2[[#This Row],[Instructor 2]]),0,1)</f>
        <v>0</v>
      </c>
      <c r="AK444" s="316">
        <f>Table2[[#This Row],[Course Length (Hours)]]/(SUM(Table2[[#This Row],[1]:[2]]))</f>
        <v>8</v>
      </c>
      <c r="AL444" s="638"/>
      <c r="AM444" s="316">
        <v>3</v>
      </c>
      <c r="AN444" s="363" t="str">
        <f>VLOOKUP(Table2[[#This Row],[Course Title]],'TSD-Data'!$A$1:$G$80,7,FALSE)</f>
        <v>N4</v>
      </c>
    </row>
    <row r="445" spans="2:40" s="428" customFormat="1" x14ac:dyDescent="0.25">
      <c r="B445" s="315"/>
      <c r="C445" s="364" t="s">
        <v>113</v>
      </c>
      <c r="D445" s="316" t="str">
        <f>VLOOKUP(Table2[[#This Row],[Course Title]],'TSD-Data'!$A$1:$E$80,2,FALSE)</f>
        <v>A-570-0100</v>
      </c>
      <c r="E445" s="316" t="str">
        <f>VLOOKUP(Table2[[#This Row],[Course Title]],'TSD-Data'!$A$1:$E$80,3,FALSE)</f>
        <v>18B7</v>
      </c>
      <c r="F445" s="315" t="s">
        <v>25</v>
      </c>
      <c r="G445" s="317">
        <v>46181</v>
      </c>
      <c r="H445" s="317">
        <v>46182</v>
      </c>
      <c r="I445" s="317" t="s">
        <v>163</v>
      </c>
      <c r="J445" s="318"/>
      <c r="K445" s="345">
        <v>0.5</v>
      </c>
      <c r="L445" s="429">
        <v>0.375</v>
      </c>
      <c r="M445" s="429">
        <v>0.79166666666666663</v>
      </c>
      <c r="N445" s="429">
        <v>0.75</v>
      </c>
      <c r="O445" s="429">
        <v>0.25</v>
      </c>
      <c r="P445" s="429">
        <v>4.1666666666666664E-2</v>
      </c>
      <c r="Q445" s="321" t="s">
        <v>431</v>
      </c>
      <c r="R445" s="321"/>
      <c r="S445" s="321"/>
      <c r="T445" s="316">
        <f>VLOOKUP(Table2[[#This Row],[Course Title]],'TSD-Data'!$A$1:$E$80,4,FALSE)</f>
        <v>45</v>
      </c>
      <c r="U445" s="316">
        <f>VLOOKUP(Table2[[#This Row],[Course Title]],'TSD-Data'!$A$1:$F$80,6,FALSE)</f>
        <v>16</v>
      </c>
      <c r="V445" s="323">
        <f>VLOOKUP(Table2[[#This Row],[Course Title]],'TSD-Data'!$A$1:$F$80,5,FALSE)</f>
        <v>2</v>
      </c>
      <c r="W445" s="323">
        <v>663</v>
      </c>
      <c r="X445" s="316"/>
      <c r="Y445" s="316"/>
      <c r="Z445" s="323"/>
      <c r="AA445" s="323"/>
      <c r="AB445" s="316"/>
      <c r="AC445" s="316"/>
      <c r="AD445" s="316"/>
      <c r="AE445" s="316"/>
      <c r="AF445" s="323">
        <f ca="1">Table2[[#This Row],[End Date]]+2-TODAY()</f>
        <v>177</v>
      </c>
      <c r="AG445" s="316">
        <f>IF(ISBLANK(Table2[[#This Row],[Roster Received by]]),1,0)</f>
        <v>1</v>
      </c>
      <c r="AH445" s="316">
        <f ca="1">IF(Table2[[#This Row],[Start Date]]&gt;TODAY(),1,)</f>
        <v>1</v>
      </c>
      <c r="AI445" s="316">
        <f>IF(ISBLANK(Table2[[#This Row],[Primary Instructor]]),0,1)</f>
        <v>1</v>
      </c>
      <c r="AJ445" s="316">
        <f>IF(ISBLANK(Table2[[#This Row],[Instructor 2]]),0,1)</f>
        <v>0</v>
      </c>
      <c r="AK445" s="316">
        <f>Table2[[#This Row],[Course Length (Hours)]]/(SUM(Table2[[#This Row],[1]:[2]]))</f>
        <v>16</v>
      </c>
      <c r="AL445" s="124"/>
      <c r="AM445" s="316">
        <v>3</v>
      </c>
      <c r="AN445" s="363" t="str">
        <f>VLOOKUP(Table2[[#This Row],[Course Title]],'TSD-Data'!$A$1:$G$80,7,FALSE)</f>
        <v>N8</v>
      </c>
    </row>
    <row r="446" spans="2:40" s="428" customFormat="1" x14ac:dyDescent="0.25">
      <c r="B446" s="315"/>
      <c r="C446" s="364" t="s">
        <v>116</v>
      </c>
      <c r="D446" s="316" t="str">
        <f>VLOOKUP(Table2[[#This Row],[Course Title]],'TSD-Data'!$A$1:$E$80,2,FALSE)</f>
        <v>A-493-0072</v>
      </c>
      <c r="E446" s="316" t="str">
        <f>VLOOKUP(Table2[[#This Row],[Course Title]],'TSD-Data'!$A$1:$E$80,3,FALSE)</f>
        <v>713U</v>
      </c>
      <c r="F446" s="364" t="s">
        <v>229</v>
      </c>
      <c r="G446" s="344">
        <v>46181</v>
      </c>
      <c r="H446" s="344">
        <v>46185</v>
      </c>
      <c r="I446" s="317" t="s">
        <v>163</v>
      </c>
      <c r="J446" s="318">
        <v>0.33333333333333331</v>
      </c>
      <c r="K446" s="345"/>
      <c r="L446" s="344"/>
      <c r="M446" s="317"/>
      <c r="N446" s="317"/>
      <c r="O446" s="317"/>
      <c r="P446" s="317"/>
      <c r="Q446" s="321" t="s">
        <v>285</v>
      </c>
      <c r="R446" s="321"/>
      <c r="S446" s="321"/>
      <c r="T446" s="316">
        <f>VLOOKUP(Table2[[#This Row],[Course Title]],'TSD-Data'!$A$1:$E$80,4,FALSE)</f>
        <v>30</v>
      </c>
      <c r="U446" s="316">
        <f>VLOOKUP(Table2[[#This Row],[Course Title]],'TSD-Data'!$A$1:$F$80,6,FALSE)</f>
        <v>40</v>
      </c>
      <c r="V446" s="323">
        <f>VLOOKUP(Table2[[#This Row],[Course Title]],'TSD-Data'!$A$1:$F$80,5,FALSE)</f>
        <v>5</v>
      </c>
      <c r="W446" s="323">
        <v>178</v>
      </c>
      <c r="X446" s="316"/>
      <c r="Y446" s="316"/>
      <c r="Z446" s="323"/>
      <c r="AA446" s="323"/>
      <c r="AB446" s="316"/>
      <c r="AC446" s="316"/>
      <c r="AD446" s="316"/>
      <c r="AE446" s="316"/>
      <c r="AF446" s="323">
        <f ca="1">Table2[[#This Row],[End Date]]+2-TODAY()</f>
        <v>180</v>
      </c>
      <c r="AG446" s="316">
        <f>IF(ISBLANK(Table2[[#This Row],[Roster Received by]]),1,0)</f>
        <v>1</v>
      </c>
      <c r="AH446" s="316">
        <f ca="1">IF(Table2[[#This Row],[Start Date]]&gt;TODAY(),1,)</f>
        <v>1</v>
      </c>
      <c r="AI446" s="316">
        <f>IF(ISBLANK(Table2[[#This Row],[Primary Instructor]]),0,1)</f>
        <v>1</v>
      </c>
      <c r="AJ446" s="316">
        <f>IF(ISBLANK(Table2[[#This Row],[Instructor 2]]),0,1)</f>
        <v>0</v>
      </c>
      <c r="AK446" s="316">
        <f>Table2[[#This Row],[Course Length (Hours)]]/(SUM(Table2[[#This Row],[1]:[2]]))</f>
        <v>40</v>
      </c>
      <c r="AL446" s="124"/>
      <c r="AM446" s="316">
        <v>3</v>
      </c>
      <c r="AN446" s="363" t="str">
        <f>VLOOKUP(Table2[[#This Row],[Course Title]],'TSD-Data'!$A$1:$G$80,7,FALSE)</f>
        <v>N3</v>
      </c>
    </row>
    <row r="447" spans="2:40" s="428" customFormat="1" x14ac:dyDescent="0.25">
      <c r="B447" s="315"/>
      <c r="C447" s="364" t="s">
        <v>65</v>
      </c>
      <c r="D447" s="316" t="str">
        <f>VLOOKUP(Table2[[#This Row],[Course Title]],'TSD-Data'!$A$1:$E$80,2,FALSE)</f>
        <v>A-493-0099</v>
      </c>
      <c r="E447" s="316" t="str">
        <f>VLOOKUP(Table2[[#This Row],[Course Title]],'TSD-Data'!$A$1:$E$80,3,FALSE)</f>
        <v>12JW</v>
      </c>
      <c r="F447" s="315" t="s">
        <v>25</v>
      </c>
      <c r="G447" s="317">
        <v>46182</v>
      </c>
      <c r="H447" s="317">
        <v>46184</v>
      </c>
      <c r="I447" s="317" t="s">
        <v>163</v>
      </c>
      <c r="J447" s="318"/>
      <c r="K447" s="318">
        <v>0.33333333333333331</v>
      </c>
      <c r="L447" s="345">
        <v>0.20833333333333334</v>
      </c>
      <c r="M447" s="318">
        <v>0.625</v>
      </c>
      <c r="N447" s="318">
        <v>0.54166666666666663</v>
      </c>
      <c r="O447" s="318">
        <v>8.3333333333333329E-2</v>
      </c>
      <c r="P447" s="318">
        <v>0.875</v>
      </c>
      <c r="Q447" s="321" t="s">
        <v>273</v>
      </c>
      <c r="R447" s="321"/>
      <c r="S447" s="321"/>
      <c r="T447" s="316">
        <f>VLOOKUP(Table2[[#This Row],[Course Title]],'TSD-Data'!$A$1:$E$80,4,FALSE)</f>
        <v>45</v>
      </c>
      <c r="U447" s="316">
        <f>VLOOKUP(Table2[[#This Row],[Course Title]],'TSD-Data'!$A$1:$F$80,6,FALSE)</f>
        <v>24</v>
      </c>
      <c r="V447" s="323">
        <f>VLOOKUP(Table2[[#This Row],[Course Title]],'TSD-Data'!$A$1:$F$80,5,FALSE)</f>
        <v>3</v>
      </c>
      <c r="W447" s="323">
        <v>934</v>
      </c>
      <c r="X447" s="316"/>
      <c r="Y447" s="316"/>
      <c r="Z447" s="323"/>
      <c r="AA447" s="323"/>
      <c r="AB447" s="316"/>
      <c r="AC447" s="316"/>
      <c r="AD447" s="316"/>
      <c r="AE447" s="316"/>
      <c r="AF447" s="323">
        <f ca="1">Table2[[#This Row],[End Date]]+2-TODAY()</f>
        <v>179</v>
      </c>
      <c r="AG447" s="316">
        <f>IF(ISBLANK(Table2[[#This Row],[Roster Received by]]),1,0)</f>
        <v>1</v>
      </c>
      <c r="AH447" s="316">
        <f ca="1">IF(Table2[[#This Row],[Start Date]]&gt;TODAY(),1,)</f>
        <v>1</v>
      </c>
      <c r="AI447" s="316">
        <f>IF(ISBLANK(Table2[[#This Row],[Primary Instructor]]),0,1)</f>
        <v>1</v>
      </c>
      <c r="AJ447" s="316">
        <f>IF(ISBLANK(Table2[[#This Row],[Instructor 2]]),0,1)</f>
        <v>0</v>
      </c>
      <c r="AK447" s="316">
        <f>Table2[[#This Row],[Course Length (Hours)]]/(SUM(Table2[[#This Row],[1]:[2]]))</f>
        <v>24</v>
      </c>
      <c r="AL447" s="124"/>
      <c r="AM447" s="316">
        <v>3</v>
      </c>
      <c r="AN447" s="363" t="str">
        <f>VLOOKUP(Table2[[#This Row],[Course Title]],'TSD-Data'!$A$1:$G$80,7,FALSE)</f>
        <v>N5</v>
      </c>
    </row>
    <row r="448" spans="2:40" s="428" customFormat="1" x14ac:dyDescent="0.25">
      <c r="B448" s="315"/>
      <c r="C448" s="439" t="s">
        <v>94</v>
      </c>
      <c r="D448" s="316" t="str">
        <f>VLOOKUP(Table2[[#This Row],[Course Title]],'TSD-Data'!$A$1:$E$80,2,FALSE)</f>
        <v>A-493-0331</v>
      </c>
      <c r="E448" s="316" t="str">
        <f>VLOOKUP(Table2[[#This Row],[Course Title]],'TSD-Data'!$A$1:$E$80,3,FALSE)</f>
        <v>10UG</v>
      </c>
      <c r="F448" s="364" t="s">
        <v>25</v>
      </c>
      <c r="G448" s="344">
        <v>46182</v>
      </c>
      <c r="H448" s="344">
        <v>46184</v>
      </c>
      <c r="I448" s="317" t="s">
        <v>163</v>
      </c>
      <c r="J448" s="318"/>
      <c r="K448" s="345">
        <v>0.33333333333333331</v>
      </c>
      <c r="L448" s="345">
        <v>0.20833333333333334</v>
      </c>
      <c r="M448" s="345">
        <v>0.625</v>
      </c>
      <c r="N448" s="345">
        <v>0.54166666666666663</v>
      </c>
      <c r="O448" s="345">
        <v>8.3333333333333329E-2</v>
      </c>
      <c r="P448" s="345">
        <v>0.875</v>
      </c>
      <c r="Q448" s="321" t="s">
        <v>174</v>
      </c>
      <c r="R448" s="321"/>
      <c r="S448" s="321"/>
      <c r="T448" s="316">
        <f>VLOOKUP(Table2[[#This Row],[Course Title]],'TSD-Data'!$A$1:$E$80,4,FALSE)</f>
        <v>45</v>
      </c>
      <c r="U448" s="316">
        <f>VLOOKUP(Table2[[#This Row],[Course Title]],'TSD-Data'!$A$1:$F$80,6,FALSE)</f>
        <v>24</v>
      </c>
      <c r="V448" s="323">
        <f>VLOOKUP(Table2[[#This Row],[Course Title]],'TSD-Data'!$A$1:$F$80,5,FALSE)</f>
        <v>3</v>
      </c>
      <c r="W448" s="323">
        <v>470</v>
      </c>
      <c r="X448" s="316"/>
      <c r="Y448" s="316"/>
      <c r="Z448" s="323"/>
      <c r="AA448" s="323"/>
      <c r="AB448" s="316"/>
      <c r="AC448" s="316"/>
      <c r="AD448" s="316"/>
      <c r="AE448" s="316"/>
      <c r="AF448" s="323">
        <f ca="1">Table2[[#This Row],[End Date]]+2-TODAY()</f>
        <v>179</v>
      </c>
      <c r="AG448" s="316">
        <f>IF(ISBLANK(Table2[[#This Row],[Roster Received by]]),1,0)</f>
        <v>1</v>
      </c>
      <c r="AH448" s="316">
        <f ca="1">IF(Table2[[#This Row],[Start Date]]&gt;TODAY(),1,)</f>
        <v>1</v>
      </c>
      <c r="AI448" s="316">
        <f>IF(ISBLANK(Table2[[#This Row],[Primary Instructor]]),0,1)</f>
        <v>1</v>
      </c>
      <c r="AJ448" s="316">
        <f>IF(ISBLANK(Table2[[#This Row],[Instructor 2]]),0,1)</f>
        <v>0</v>
      </c>
      <c r="AK448" s="316">
        <f>Table2[[#This Row],[Course Length (Hours)]]/(SUM(Table2[[#This Row],[1]:[2]]))</f>
        <v>24</v>
      </c>
      <c r="AL448" s="124"/>
      <c r="AM448" s="316">
        <v>3</v>
      </c>
      <c r="AN448" s="363" t="str">
        <f>VLOOKUP(Table2[[#This Row],[Course Title]],'TSD-Data'!$A$1:$G$80,7,FALSE)</f>
        <v>N3</v>
      </c>
    </row>
    <row r="449" spans="2:40" s="428" customFormat="1" x14ac:dyDescent="0.25">
      <c r="B449" s="315"/>
      <c r="C449" s="364" t="s">
        <v>110</v>
      </c>
      <c r="D449" s="316" t="str">
        <f>VLOOKUP(Table2[[#This Row],[Course Title]],'TSD-Data'!$A$1:$E$80,2,FALSE)</f>
        <v>A-493-2501</v>
      </c>
      <c r="E449" s="316" t="str">
        <f>VLOOKUP(Table2[[#This Row],[Course Title]],'TSD-Data'!$A$1:$E$80,3,FALSE)</f>
        <v>05ZE</v>
      </c>
      <c r="F449" s="315" t="s">
        <v>259</v>
      </c>
      <c r="G449" s="317">
        <v>46183</v>
      </c>
      <c r="H449" s="317">
        <v>46183</v>
      </c>
      <c r="I449" s="341" t="s">
        <v>167</v>
      </c>
      <c r="J449" s="318">
        <v>0.33333333333333331</v>
      </c>
      <c r="K449" s="345"/>
      <c r="L449" s="344"/>
      <c r="M449" s="344"/>
      <c r="N449" s="344"/>
      <c r="O449" s="344"/>
      <c r="P449" s="344"/>
      <c r="Q449" s="321" t="s">
        <v>168</v>
      </c>
      <c r="R449" s="321"/>
      <c r="S449" s="321"/>
      <c r="T449" s="316">
        <f>VLOOKUP(Table2[[#This Row],[Course Title]],'TSD-Data'!$A$1:$E$80,4,FALSE)</f>
        <v>30</v>
      </c>
      <c r="U449" s="316">
        <f>VLOOKUP(Table2[[#This Row],[Course Title]],'TSD-Data'!$A$1:$F$80,6,FALSE)</f>
        <v>8</v>
      </c>
      <c r="V449" s="323">
        <f>VLOOKUP(Table2[[#This Row],[Course Title]],'TSD-Data'!$A$1:$F$80,5,FALSE)</f>
        <v>1</v>
      </c>
      <c r="W449" s="323">
        <v>25</v>
      </c>
      <c r="X449" s="316"/>
      <c r="Y449" s="316"/>
      <c r="Z449" s="323"/>
      <c r="AA449" s="323"/>
      <c r="AB449" s="363"/>
      <c r="AC449" s="363"/>
      <c r="AD449" s="316"/>
      <c r="AE449" s="316"/>
      <c r="AF449" s="323">
        <f ca="1">Table2[[#This Row],[End Date]]+2-TODAY()</f>
        <v>178</v>
      </c>
      <c r="AG449" s="316">
        <f>IF(ISBLANK(Table2[[#This Row],[Roster Received by]]),1,0)</f>
        <v>1</v>
      </c>
      <c r="AH449" s="316">
        <f ca="1">IF(Table2[[#This Row],[Start Date]]&gt;TODAY(),1,)</f>
        <v>1</v>
      </c>
      <c r="AI449" s="316">
        <f>IF(ISBLANK(Table2[[#This Row],[Primary Instructor]]),0,1)</f>
        <v>1</v>
      </c>
      <c r="AJ449" s="316">
        <f>IF(ISBLANK(Table2[[#This Row],[Instructor 2]]),0,1)</f>
        <v>0</v>
      </c>
      <c r="AK449" s="316">
        <f>Table2[[#This Row],[Course Length (Hours)]]/(SUM(Table2[[#This Row],[1]:[2]]))</f>
        <v>8</v>
      </c>
      <c r="AL449" s="638"/>
      <c r="AM449" s="316">
        <v>3</v>
      </c>
      <c r="AN449" s="363" t="str">
        <f>VLOOKUP(Table2[[#This Row],[Course Title]],'TSD-Data'!$A$1:$G$80,7,FALSE)</f>
        <v>N4</v>
      </c>
    </row>
    <row r="450" spans="2:40" s="428" customFormat="1" x14ac:dyDescent="0.25">
      <c r="B450" s="315"/>
      <c r="C450" s="364" t="s">
        <v>80</v>
      </c>
      <c r="D450" s="316" t="str">
        <f>VLOOKUP(Table2[[#This Row],[Course Title]],'TSD-Data'!$A$1:$E$80,2,FALSE)</f>
        <v>A-493-0083</v>
      </c>
      <c r="E450" s="316" t="str">
        <f>VLOOKUP(Table2[[#This Row],[Course Title]],'TSD-Data'!$A$1:$E$80,3,FALSE)</f>
        <v>339E</v>
      </c>
      <c r="F450" s="364" t="s">
        <v>476</v>
      </c>
      <c r="G450" s="344">
        <v>46184</v>
      </c>
      <c r="H450" s="344">
        <v>46184</v>
      </c>
      <c r="I450" s="341" t="s">
        <v>167</v>
      </c>
      <c r="J450" s="318">
        <v>0.33333333333333331</v>
      </c>
      <c r="K450" s="345"/>
      <c r="L450" s="317"/>
      <c r="M450" s="317"/>
      <c r="N450" s="317"/>
      <c r="O450" s="317"/>
      <c r="P450" s="317"/>
      <c r="Q450" s="321" t="s">
        <v>168</v>
      </c>
      <c r="R450" s="321"/>
      <c r="S450" s="321"/>
      <c r="T450" s="316">
        <f>VLOOKUP(Table2[[#This Row],[Course Title]],'TSD-Data'!$A$1:$E$80,4,FALSE)</f>
        <v>30</v>
      </c>
      <c r="U450" s="316">
        <f>VLOOKUP(Table2[[#This Row],[Course Title]],'TSD-Data'!$A$1:$F$80,6,FALSE)</f>
        <v>8</v>
      </c>
      <c r="V450" s="323">
        <f>VLOOKUP(Table2[[#This Row],[Course Title]],'TSD-Data'!$A$1:$F$80,5,FALSE)</f>
        <v>1</v>
      </c>
      <c r="W450" s="323">
        <v>17</v>
      </c>
      <c r="X450" s="316"/>
      <c r="Y450" s="316"/>
      <c r="Z450" s="323"/>
      <c r="AA450" s="323"/>
      <c r="AB450" s="363"/>
      <c r="AC450" s="363"/>
      <c r="AD450" s="316"/>
      <c r="AE450" s="316"/>
      <c r="AF450" s="323">
        <f ca="1">Table2[[#This Row],[End Date]]+2-TODAY()</f>
        <v>179</v>
      </c>
      <c r="AG450" s="316">
        <f>IF(ISBLANK(Table2[[#This Row],[Roster Received by]]),1,0)</f>
        <v>1</v>
      </c>
      <c r="AH450" s="316">
        <f ca="1">IF(Table2[[#This Row],[Start Date]]&gt;TODAY(),1,)</f>
        <v>1</v>
      </c>
      <c r="AI450" s="316">
        <f>IF(ISBLANK(Table2[[#This Row],[Primary Instructor]]),0,1)</f>
        <v>1</v>
      </c>
      <c r="AJ450" s="316">
        <f>IF(ISBLANK(Table2[[#This Row],[Instructor 2]]),0,1)</f>
        <v>0</v>
      </c>
      <c r="AK450" s="316">
        <f>Table2[[#This Row],[Course Length (Hours)]]/(SUM(Table2[[#This Row],[1]:[2]]))</f>
        <v>8</v>
      </c>
      <c r="AL450" s="638"/>
      <c r="AM450" s="316">
        <v>3</v>
      </c>
      <c r="AN450" s="363" t="str">
        <f>VLOOKUP(Table2[[#This Row],[Course Title]],'TSD-Data'!$A$1:$G$80,7,FALSE)</f>
        <v>N4</v>
      </c>
    </row>
    <row r="451" spans="2:40" s="428" customFormat="1" x14ac:dyDescent="0.25">
      <c r="B451" s="364"/>
      <c r="C451" s="364" t="s">
        <v>110</v>
      </c>
      <c r="D451" s="316" t="str">
        <f>VLOOKUP(Table2[[#This Row],[Course Title]],'TSD-Data'!$A$1:$E$80,2,FALSE)</f>
        <v>A-493-2501</v>
      </c>
      <c r="E451" s="316" t="str">
        <f>VLOOKUP(Table2[[#This Row],[Course Title]],'TSD-Data'!$A$1:$E$80,3,FALSE)</f>
        <v>05ZE</v>
      </c>
      <c r="F451" s="315" t="s">
        <v>498</v>
      </c>
      <c r="G451" s="317">
        <v>46185</v>
      </c>
      <c r="H451" s="317">
        <v>46185</v>
      </c>
      <c r="I451" s="341" t="s">
        <v>167</v>
      </c>
      <c r="J451" s="318">
        <v>0.33333333333333331</v>
      </c>
      <c r="K451" s="345"/>
      <c r="L451" s="344"/>
      <c r="M451" s="344"/>
      <c r="N451" s="344"/>
      <c r="O451" s="344"/>
      <c r="P451" s="344"/>
      <c r="Q451" s="321" t="s">
        <v>168</v>
      </c>
      <c r="R451" s="321"/>
      <c r="S451" s="321"/>
      <c r="T451" s="316">
        <f>VLOOKUP(Table2[[#This Row],[Course Title]],'TSD-Data'!$A$1:$E$80,4,FALSE)</f>
        <v>30</v>
      </c>
      <c r="U451" s="316">
        <f>VLOOKUP(Table2[[#This Row],[Course Title]],'TSD-Data'!$A$1:$F$80,6,FALSE)</f>
        <v>8</v>
      </c>
      <c r="V451" s="323">
        <f>VLOOKUP(Table2[[#This Row],[Course Title]],'TSD-Data'!$A$1:$F$80,5,FALSE)</f>
        <v>1</v>
      </c>
      <c r="W451" s="323">
        <v>20</v>
      </c>
      <c r="X451" s="316"/>
      <c r="Y451" s="316"/>
      <c r="Z451" s="323"/>
      <c r="AA451" s="323"/>
      <c r="AB451" s="363"/>
      <c r="AC451" s="363"/>
      <c r="AD451" s="316"/>
      <c r="AE451" s="316"/>
      <c r="AF451" s="323">
        <f ca="1">Table2[[#This Row],[End Date]]+2-TODAY()</f>
        <v>180</v>
      </c>
      <c r="AG451" s="316">
        <f>IF(ISBLANK(Table2[[#This Row],[Roster Received by]]),1,0)</f>
        <v>1</v>
      </c>
      <c r="AH451" s="316">
        <f ca="1">IF(Table2[[#This Row],[Start Date]]&gt;TODAY(),1,)</f>
        <v>1</v>
      </c>
      <c r="AI451" s="316">
        <f>IF(ISBLANK(Table2[[#This Row],[Primary Instructor]]),0,1)</f>
        <v>1</v>
      </c>
      <c r="AJ451" s="316">
        <f>IF(ISBLANK(Table2[[#This Row],[Instructor 2]]),0,1)</f>
        <v>0</v>
      </c>
      <c r="AK451" s="316">
        <f>Table2[[#This Row],[Course Length (Hours)]]/(SUM(Table2[[#This Row],[1]:[2]]))</f>
        <v>8</v>
      </c>
      <c r="AL451" s="638"/>
      <c r="AM451" s="316">
        <v>3</v>
      </c>
      <c r="AN451" s="363" t="str">
        <f>VLOOKUP(Table2[[#This Row],[Course Title]],'TSD-Data'!$A$1:$G$80,7,FALSE)</f>
        <v>N4</v>
      </c>
    </row>
    <row r="452" spans="2:40" s="428" customFormat="1" x14ac:dyDescent="0.25">
      <c r="B452" s="364"/>
      <c r="C452" s="364" t="s">
        <v>48</v>
      </c>
      <c r="D452" s="363" t="str">
        <f>VLOOKUP(Table2[[#This Row],[Course Title]],'TSD-Data'!$A$1:$E$80,2,FALSE)</f>
        <v>A-493-0103</v>
      </c>
      <c r="E452" s="363" t="str">
        <f>VLOOKUP(Table2[[#This Row],[Course Title]],'TSD-Data'!$A$1:$E$80,3,FALSE)</f>
        <v>12JY</v>
      </c>
      <c r="F452" s="443" t="s">
        <v>279</v>
      </c>
      <c r="G452" s="317">
        <v>46188</v>
      </c>
      <c r="H452" s="317">
        <v>46192</v>
      </c>
      <c r="I452" s="317" t="s">
        <v>163</v>
      </c>
      <c r="J452" s="318">
        <v>0.33333333333333331</v>
      </c>
      <c r="K452" s="345"/>
      <c r="L452" s="317"/>
      <c r="M452" s="317"/>
      <c r="N452" s="317"/>
      <c r="O452" s="317"/>
      <c r="P452" s="317"/>
      <c r="Q452" s="321" t="s">
        <v>275</v>
      </c>
      <c r="R452" s="321"/>
      <c r="S452" s="321"/>
      <c r="T452" s="316">
        <f>VLOOKUP(Table2[[#This Row],[Course Title]],'TSD-Data'!$A$1:$E$80,4,FALSE)</f>
        <v>25</v>
      </c>
      <c r="U452" s="363">
        <f>VLOOKUP(Table2[[#This Row],[Course Title]],'TSD-Data'!$A$1:$F$80,6,FALSE)</f>
        <v>40</v>
      </c>
      <c r="V452" s="323">
        <f>VLOOKUP(Table2[[#This Row],[Course Title]],'TSD-Data'!$A$1:$F$80,5,FALSE)</f>
        <v>5</v>
      </c>
      <c r="W452" s="323">
        <v>225</v>
      </c>
      <c r="X452" s="316"/>
      <c r="Y452" s="316"/>
      <c r="Z452" s="323"/>
      <c r="AA452" s="323"/>
      <c r="AB452" s="363"/>
      <c r="AC452" s="363"/>
      <c r="AD452" s="316"/>
      <c r="AE452" s="316"/>
      <c r="AF452" s="323">
        <f ca="1">Table2[[#This Row],[End Date]]+2-TODAY()</f>
        <v>187</v>
      </c>
      <c r="AG452" s="316">
        <f>IF(ISBLANK(Table2[[#This Row],[Roster Received by]]),1,0)</f>
        <v>1</v>
      </c>
      <c r="AH452" s="316">
        <f ca="1">IF(Table2[[#This Row],[Start Date]]&gt;TODAY(),1,)</f>
        <v>1</v>
      </c>
      <c r="AI452" s="316">
        <f>IF(ISBLANK(Table2[[#This Row],[Primary Instructor]]),0,1)</f>
        <v>1</v>
      </c>
      <c r="AJ452" s="316">
        <f>IF(ISBLANK(Table2[[#This Row],[Instructor 2]]),0,1)</f>
        <v>0</v>
      </c>
      <c r="AK452" s="316">
        <f>Table2[[#This Row],[Course Length (Hours)]]/(SUM(Table2[[#This Row],[1]:[2]]))</f>
        <v>40</v>
      </c>
      <c r="AL452" s="638"/>
      <c r="AM452" s="316">
        <v>3</v>
      </c>
      <c r="AN452" s="363" t="str">
        <f>VLOOKUP(Table2[[#This Row],[Course Title]],'TSD-Data'!$A$1:$G$80,7,FALSE)</f>
        <v>N5</v>
      </c>
    </row>
    <row r="453" spans="2:40" s="428" customFormat="1" x14ac:dyDescent="0.25">
      <c r="B453" s="315"/>
      <c r="C453" s="448" t="s">
        <v>119</v>
      </c>
      <c r="D453" s="363" t="str">
        <f>VLOOKUP(Table2[[#This Row],[Course Title]],'TSD-Data'!$A$1:$E$80,2,FALSE)</f>
        <v>A-493-2098</v>
      </c>
      <c r="E453" s="363" t="str">
        <f>VLOOKUP(Table2[[#This Row],[Course Title]],'TSD-Data'!$A$1:$E$80,3,FALSE)</f>
        <v>09WW</v>
      </c>
      <c r="F453" s="430" t="s">
        <v>25</v>
      </c>
      <c r="G453" s="344">
        <v>46188</v>
      </c>
      <c r="H453" s="344">
        <v>46190</v>
      </c>
      <c r="I453" s="317" t="s">
        <v>163</v>
      </c>
      <c r="J453" s="318"/>
      <c r="K453" s="345">
        <v>0.5</v>
      </c>
      <c r="L453" s="431">
        <v>0.375</v>
      </c>
      <c r="M453" s="431">
        <v>0.79166666666666663</v>
      </c>
      <c r="N453" s="431">
        <v>0.75</v>
      </c>
      <c r="O453" s="431">
        <v>0.25</v>
      </c>
      <c r="P453" s="431">
        <v>4.1666666666666664E-2</v>
      </c>
      <c r="Q453" s="321" t="s">
        <v>164</v>
      </c>
      <c r="R453" s="321"/>
      <c r="S453" s="321"/>
      <c r="T453" s="316">
        <f>VLOOKUP(Table2[[#This Row],[Course Title]],'TSD-Data'!$A$1:$E$80,4,FALSE)</f>
        <v>100</v>
      </c>
      <c r="U453" s="363">
        <f>VLOOKUP(Table2[[#This Row],[Course Title]],'TSD-Data'!$A$1:$F$80,6,FALSE)</f>
        <v>16</v>
      </c>
      <c r="V453" s="323">
        <f>VLOOKUP(Table2[[#This Row],[Course Title]],'TSD-Data'!$A$1:$F$80,5,FALSE)</f>
        <v>3</v>
      </c>
      <c r="W453" s="323"/>
      <c r="X453" s="316"/>
      <c r="Y453" s="316"/>
      <c r="Z453" s="323"/>
      <c r="AA453" s="323"/>
      <c r="AB453" s="363"/>
      <c r="AC453" s="363"/>
      <c r="AD453" s="316"/>
      <c r="AE453" s="316"/>
      <c r="AF453" s="323">
        <f ca="1">Table2[[#This Row],[End Date]]+2-TODAY()</f>
        <v>185</v>
      </c>
      <c r="AG453" s="316">
        <f>IF(ISBLANK(Table2[[#This Row],[Roster Received by]]),1,0)</f>
        <v>1</v>
      </c>
      <c r="AH453" s="316">
        <f ca="1">IF(Table2[[#This Row],[Start Date]]&gt;TODAY(),1,)</f>
        <v>1</v>
      </c>
      <c r="AI453" s="316">
        <f>IF(ISBLANK(Table2[[#This Row],[Primary Instructor]]),0,1)</f>
        <v>1</v>
      </c>
      <c r="AJ453" s="316">
        <f>IF(ISBLANK(Table2[[#This Row],[Instructor 2]]),0,1)</f>
        <v>0</v>
      </c>
      <c r="AK453" s="316">
        <f>Table2[[#This Row],[Course Length (Hours)]]/(SUM(Table2[[#This Row],[1]:[2]]))</f>
        <v>16</v>
      </c>
      <c r="AL453" s="638"/>
      <c r="AM453" s="316">
        <v>3</v>
      </c>
      <c r="AN453" s="363" t="str">
        <f>VLOOKUP(Table2[[#This Row],[Course Title]],'TSD-Data'!$A$1:$G$80,7,FALSE)</f>
        <v>N8</v>
      </c>
    </row>
    <row r="454" spans="2:40" s="428" customFormat="1" x14ac:dyDescent="0.25">
      <c r="B454" s="315"/>
      <c r="C454" s="448" t="s">
        <v>100</v>
      </c>
      <c r="D454" s="316" t="str">
        <f>VLOOKUP(Table2[[#This Row],[Course Title]],'TSD-Data'!$A$1:$E$80,2,FALSE)</f>
        <v>A-493-0550</v>
      </c>
      <c r="E454" s="316" t="str">
        <f>VLOOKUP(Table2[[#This Row],[Course Title]],'TSD-Data'!$A$1:$E$80,3,FALSE)</f>
        <v>09K5</v>
      </c>
      <c r="F454" s="364" t="s">
        <v>25</v>
      </c>
      <c r="G454" s="317">
        <v>46188</v>
      </c>
      <c r="H454" s="317">
        <v>46191</v>
      </c>
      <c r="I454" s="317" t="s">
        <v>163</v>
      </c>
      <c r="J454" s="318"/>
      <c r="K454" s="345">
        <v>0.79166666666666663</v>
      </c>
      <c r="L454" s="429">
        <v>0.66666666666666663</v>
      </c>
      <c r="M454" s="429">
        <v>8.3333333333333329E-2</v>
      </c>
      <c r="N454" s="429">
        <v>0</v>
      </c>
      <c r="O454" s="429">
        <v>0.54166666666666663</v>
      </c>
      <c r="P454" s="429">
        <v>0.33333333333333331</v>
      </c>
      <c r="Q454" s="321" t="s">
        <v>426</v>
      </c>
      <c r="R454" s="321"/>
      <c r="S454" s="321"/>
      <c r="T454" s="316">
        <f>VLOOKUP(Table2[[#This Row],[Course Title]],'TSD-Data'!$A$1:$E$80,4,FALSE)</f>
        <v>45</v>
      </c>
      <c r="U454" s="316">
        <f>VLOOKUP(Table2[[#This Row],[Course Title]],'TSD-Data'!$A$1:$F$80,6,FALSE)</f>
        <v>32</v>
      </c>
      <c r="V454" s="323">
        <f>VLOOKUP(Table2[[#This Row],[Course Title]],'TSD-Data'!$A$1:$F$80,5,FALSE)</f>
        <v>4</v>
      </c>
      <c r="W454" s="323">
        <v>180</v>
      </c>
      <c r="X454" s="316"/>
      <c r="Y454" s="316"/>
      <c r="Z454" s="323"/>
      <c r="AA454" s="323"/>
      <c r="AB454" s="316"/>
      <c r="AC454" s="316"/>
      <c r="AD454" s="316"/>
      <c r="AE454" s="316"/>
      <c r="AF454" s="323">
        <f ca="1">Table2[[#This Row],[End Date]]+2-TODAY()</f>
        <v>186</v>
      </c>
      <c r="AG454" s="316">
        <f>IF(ISBLANK(Table2[[#This Row],[Roster Received by]]),1,0)</f>
        <v>1</v>
      </c>
      <c r="AH454" s="316">
        <f ca="1">IF(Table2[[#This Row],[Start Date]]&gt;TODAY(),1,)</f>
        <v>1</v>
      </c>
      <c r="AI454" s="316">
        <f>IF(ISBLANK(Table2[[#This Row],[Primary Instructor]]),0,1)</f>
        <v>1</v>
      </c>
      <c r="AJ454" s="316">
        <f>IF(ISBLANK(Table2[[#This Row],[Instructor 2]]),0,1)</f>
        <v>0</v>
      </c>
      <c r="AK454" s="316">
        <f>Table2[[#This Row],[Course Length (Hours)]]/(SUM(Table2[[#This Row],[1]:[2]]))</f>
        <v>32</v>
      </c>
      <c r="AL454" s="124"/>
      <c r="AM454" s="316">
        <v>3</v>
      </c>
      <c r="AN454" s="363" t="str">
        <f>VLOOKUP(Table2[[#This Row],[Course Title]],'TSD-Data'!$A$1:$G$80,7,FALSE)</f>
        <v>N5</v>
      </c>
    </row>
    <row r="455" spans="2:40" s="428" customFormat="1" x14ac:dyDescent="0.25">
      <c r="B455" s="315"/>
      <c r="C455" s="448" t="s">
        <v>106</v>
      </c>
      <c r="D455" s="316" t="str">
        <f>VLOOKUP(Table2[[#This Row],[Course Title]],'TSD-Data'!$A$1:$E$80,2,FALSE)</f>
        <v>A-493-0078</v>
      </c>
      <c r="E455" s="316">
        <f>VLOOKUP(Table2[[#This Row],[Course Title]],'TSD-Data'!$A$1:$E$80,3,FALSE)</f>
        <v>1228</v>
      </c>
      <c r="F455" s="364" t="s">
        <v>25</v>
      </c>
      <c r="G455" s="317">
        <v>46188</v>
      </c>
      <c r="H455" s="317">
        <v>46191</v>
      </c>
      <c r="I455" s="317" t="s">
        <v>163</v>
      </c>
      <c r="J455" s="318"/>
      <c r="K455" s="319">
        <v>0.79166666666666663</v>
      </c>
      <c r="L455" s="429">
        <v>0.66666666666666663</v>
      </c>
      <c r="M455" s="429">
        <v>8.3333333333333329E-2</v>
      </c>
      <c r="N455" s="429">
        <v>0</v>
      </c>
      <c r="O455" s="429">
        <v>0.54166666666666663</v>
      </c>
      <c r="P455" s="429">
        <v>0.33333333333333331</v>
      </c>
      <c r="Q455" s="321" t="s">
        <v>172</v>
      </c>
      <c r="R455" s="321"/>
      <c r="S455" s="321"/>
      <c r="T455" s="316">
        <f>VLOOKUP(Table2[[#This Row],[Course Title]],'TSD-Data'!$A$1:$E$80,4,FALSE)</f>
        <v>45</v>
      </c>
      <c r="U455" s="316">
        <f>VLOOKUP(Table2[[#This Row],[Course Title]],'TSD-Data'!$A$1:$F$80,6,FALSE)</f>
        <v>32</v>
      </c>
      <c r="V455" s="323">
        <f>VLOOKUP(Table2[[#This Row],[Course Title]],'TSD-Data'!$A$1:$F$80,5,FALSE)</f>
        <v>4</v>
      </c>
      <c r="W455" s="323">
        <v>181</v>
      </c>
      <c r="X455" s="316"/>
      <c r="Y455" s="316"/>
      <c r="Z455" s="323"/>
      <c r="AA455" s="323"/>
      <c r="AB455" s="316"/>
      <c r="AC455" s="316"/>
      <c r="AD455" s="316"/>
      <c r="AE455" s="316"/>
      <c r="AF455" s="323">
        <f ca="1">Table2[[#This Row],[End Date]]+2-TODAY()</f>
        <v>186</v>
      </c>
      <c r="AG455" s="316">
        <f>IF(ISBLANK(Table2[[#This Row],[Roster Received by]]),1,0)</f>
        <v>1</v>
      </c>
      <c r="AH455" s="316">
        <f ca="1">IF(Table2[[#This Row],[Start Date]]&gt;TODAY(),1,)</f>
        <v>1</v>
      </c>
      <c r="AI455" s="316">
        <f>IF(ISBLANK(Table2[[#This Row],[Primary Instructor]]),0,1)</f>
        <v>1</v>
      </c>
      <c r="AJ455" s="316">
        <f>IF(ISBLANK(Table2[[#This Row],[Instructor 2]]),0,1)</f>
        <v>0</v>
      </c>
      <c r="AK455" s="316">
        <f>Table2[[#This Row],[Course Length (Hours)]]/(SUM(Table2[[#This Row],[1]:[2]]))</f>
        <v>32</v>
      </c>
      <c r="AL455" s="124"/>
      <c r="AM455" s="316">
        <v>3</v>
      </c>
      <c r="AN455" s="363" t="str">
        <f>VLOOKUP(Table2[[#This Row],[Course Title]],'TSD-Data'!$A$1:$G$80,7,FALSE)</f>
        <v>N5</v>
      </c>
    </row>
    <row r="456" spans="2:40" s="428" customFormat="1" x14ac:dyDescent="0.25">
      <c r="B456" s="315"/>
      <c r="C456" s="692" t="s">
        <v>92</v>
      </c>
      <c r="D456" s="316" t="str">
        <f>VLOOKUP(Table2[[#This Row],[Course Title]],'TSD-Data'!$A$1:$E$80,2,FALSE)</f>
        <v>A-493-0092</v>
      </c>
      <c r="E456" s="316">
        <f>VLOOKUP(Table2[[#This Row],[Course Title]],'TSD-Data'!$A$1:$E$80,3,FALSE)</f>
        <v>5891</v>
      </c>
      <c r="F456" s="315" t="s">
        <v>258</v>
      </c>
      <c r="G456" s="344">
        <v>46189</v>
      </c>
      <c r="H456" s="344">
        <v>46191</v>
      </c>
      <c r="I456" s="317" t="s">
        <v>163</v>
      </c>
      <c r="J456" s="318">
        <v>0.33333333333333331</v>
      </c>
      <c r="K456" s="319"/>
      <c r="L456" s="344"/>
      <c r="M456" s="344"/>
      <c r="N456" s="344"/>
      <c r="O456" s="344"/>
      <c r="P456" s="344"/>
      <c r="Q456" s="321" t="s">
        <v>445</v>
      </c>
      <c r="R456" s="321"/>
      <c r="S456" s="321" t="s">
        <v>454</v>
      </c>
      <c r="T456" s="316">
        <f>VLOOKUP(Table2[[#This Row],[Course Title]],'TSD-Data'!$A$1:$E$80,4,FALSE)</f>
        <v>25</v>
      </c>
      <c r="U456" s="316">
        <f>VLOOKUP(Table2[[#This Row],[Course Title]],'TSD-Data'!$A$1:$F$80,6,FALSE)</f>
        <v>24</v>
      </c>
      <c r="V456" s="323">
        <f>VLOOKUP(Table2[[#This Row],[Course Title]],'TSD-Data'!$A$1:$F$80,5,FALSE)</f>
        <v>3</v>
      </c>
      <c r="W456" s="323">
        <v>49</v>
      </c>
      <c r="X456" s="316"/>
      <c r="Y456" s="316"/>
      <c r="Z456" s="323"/>
      <c r="AA456" s="323"/>
      <c r="AB456" s="316"/>
      <c r="AC456" s="316"/>
      <c r="AD456" s="316"/>
      <c r="AE456" s="316"/>
      <c r="AF456" s="323">
        <f ca="1">Table2[[#This Row],[End Date]]+2-TODAY()</f>
        <v>186</v>
      </c>
      <c r="AG456" s="316">
        <f>IF(ISBLANK(Table2[[#This Row],[Roster Received by]]),1,0)</f>
        <v>1</v>
      </c>
      <c r="AH456" s="316">
        <f ca="1">IF(Table2[[#This Row],[Start Date]]&gt;TODAY(),1,)</f>
        <v>1</v>
      </c>
      <c r="AI456" s="316">
        <f>IF(ISBLANK(Table2[[#This Row],[Primary Instructor]]),0,1)</f>
        <v>1</v>
      </c>
      <c r="AJ456" s="316">
        <f>IF(ISBLANK(Table2[[#This Row],[Instructor 2]]),0,1)</f>
        <v>0</v>
      </c>
      <c r="AK456" s="316">
        <f>Table2[[#This Row],[Course Length (Hours)]]/(SUM(Table2[[#This Row],[1]:[2]]))</f>
        <v>24</v>
      </c>
      <c r="AL456" s="124"/>
      <c r="AM456" s="316">
        <v>3</v>
      </c>
      <c r="AN456" s="363" t="str">
        <f>VLOOKUP(Table2[[#This Row],[Course Title]],'TSD-Data'!$A$1:$G$80,7,FALSE)</f>
        <v>N3</v>
      </c>
    </row>
    <row r="457" spans="2:40" s="428" customFormat="1" x14ac:dyDescent="0.25">
      <c r="B457" s="315" t="s">
        <v>246</v>
      </c>
      <c r="C457" s="448" t="s">
        <v>238</v>
      </c>
      <c r="D457" s="316" t="str">
        <f>VLOOKUP(Table2[[#This Row],[Course Title]],'TSD-Data'!$A$1:$E$80,2,FALSE)</f>
        <v>Holiday</v>
      </c>
      <c r="E457" s="316" t="str">
        <f>VLOOKUP(Table2[[#This Row],[Course Title]],'TSD-Data'!$A$1:$E$80,3,FALSE)</f>
        <v>Holiday</v>
      </c>
      <c r="F457" s="315" t="s">
        <v>238</v>
      </c>
      <c r="G457" s="317">
        <v>46192</v>
      </c>
      <c r="H457" s="317">
        <v>46192</v>
      </c>
      <c r="I457" s="317" t="s">
        <v>433</v>
      </c>
      <c r="J457" s="318"/>
      <c r="K457" s="318"/>
      <c r="L457" s="317"/>
      <c r="M457" s="317"/>
      <c r="N457" s="317"/>
      <c r="O457" s="317"/>
      <c r="P457" s="317"/>
      <c r="Q457" s="321" t="s">
        <v>434</v>
      </c>
      <c r="R457" s="321"/>
      <c r="S457" s="445"/>
      <c r="T457" s="316">
        <f>VLOOKUP(Table2[[#This Row],[Course Title]],'TSD-Data'!$A$1:$E$80,4,FALSE)</f>
        <v>0</v>
      </c>
      <c r="U457" s="316">
        <f>VLOOKUP(Table2[[#This Row],[Course Title]],'TSD-Data'!$A$1:$F$80,6,FALSE)</f>
        <v>0</v>
      </c>
      <c r="V457" s="323">
        <f>VLOOKUP(Table2[[#This Row],[Course Title]],'TSD-Data'!$A$1:$F$80,5,FALSE)</f>
        <v>0</v>
      </c>
      <c r="W457" s="323">
        <v>0</v>
      </c>
      <c r="X457" s="316">
        <v>0</v>
      </c>
      <c r="Y457" s="316">
        <v>0</v>
      </c>
      <c r="Z457" s="316">
        <v>0</v>
      </c>
      <c r="AA457" s="316">
        <v>0</v>
      </c>
      <c r="AB457" s="316">
        <v>0</v>
      </c>
      <c r="AC457" s="316">
        <v>0</v>
      </c>
      <c r="AD457" s="316">
        <v>0</v>
      </c>
      <c r="AE457" s="316" t="s">
        <v>435</v>
      </c>
      <c r="AF457" s="323">
        <f ca="1">Table2[[#This Row],[End Date]]+2-TODAY()</f>
        <v>187</v>
      </c>
      <c r="AG457" s="316">
        <f>IF(ISBLANK(Table2[[#This Row],[Roster Received by]]),1,0)</f>
        <v>0</v>
      </c>
      <c r="AH457" s="316">
        <f ca="1">IF(Table2[[#This Row],[Start Date]]&gt;TODAY(),1,)</f>
        <v>1</v>
      </c>
      <c r="AI457" s="316">
        <f>IF(ISBLANK(Table2[[#This Row],[Primary Instructor]]),0,1)</f>
        <v>1</v>
      </c>
      <c r="AJ457" s="316">
        <f>IF(ISBLANK(Table2[[#This Row],[Instructor 2]]),0,1)</f>
        <v>0</v>
      </c>
      <c r="AK457" s="316">
        <f>Table2[[#This Row],[Course Length (Hours)]]/(SUM(Table2[[#This Row],[1]:[2]]))</f>
        <v>0</v>
      </c>
      <c r="AL457" s="124"/>
      <c r="AM457" s="316">
        <v>3</v>
      </c>
      <c r="AN457" s="363" t="str">
        <f>VLOOKUP(Table2[[#This Row],[Course Title]],'TSD-Data'!$A$1:$G$80,7,FALSE)</f>
        <v>TSD</v>
      </c>
    </row>
    <row r="458" spans="2:40" s="428" customFormat="1" x14ac:dyDescent="0.25">
      <c r="B458" s="315"/>
      <c r="C458" s="448" t="s">
        <v>48</v>
      </c>
      <c r="D458" s="316" t="str">
        <f>VLOOKUP(Table2[[#This Row],[Course Title]],'TSD-Data'!$A$1:$E$80,2,FALSE)</f>
        <v>A-493-0103</v>
      </c>
      <c r="E458" s="316" t="str">
        <f>VLOOKUP(Table2[[#This Row],[Course Title]],'TSD-Data'!$A$1:$E$80,3,FALSE)</f>
        <v>12JY</v>
      </c>
      <c r="F458" s="364" t="s">
        <v>170</v>
      </c>
      <c r="G458" s="317">
        <v>46195</v>
      </c>
      <c r="H458" s="317">
        <v>46199</v>
      </c>
      <c r="I458" s="317" t="s">
        <v>163</v>
      </c>
      <c r="J458" s="318">
        <v>0.33333333333333331</v>
      </c>
      <c r="K458" s="345"/>
      <c r="L458" s="344"/>
      <c r="M458" s="344"/>
      <c r="N458" s="344"/>
      <c r="O458" s="344"/>
      <c r="P458" s="344"/>
      <c r="Q458" s="321" t="s">
        <v>275</v>
      </c>
      <c r="R458" s="321"/>
      <c r="S458" s="321"/>
      <c r="T458" s="316">
        <f>VLOOKUP(Table2[[#This Row],[Course Title]],'TSD-Data'!$A$1:$E$80,4,FALSE)</f>
        <v>25</v>
      </c>
      <c r="U458" s="316">
        <f>VLOOKUP(Table2[[#This Row],[Course Title]],'TSD-Data'!$A$1:$F$80,6,FALSE)</f>
        <v>40</v>
      </c>
      <c r="V458" s="323">
        <f>VLOOKUP(Table2[[#This Row],[Course Title]],'TSD-Data'!$A$1:$F$80,5,FALSE)</f>
        <v>5</v>
      </c>
      <c r="W458" s="323">
        <v>107</v>
      </c>
      <c r="X458" s="316"/>
      <c r="Y458" s="316"/>
      <c r="Z458" s="323"/>
      <c r="AA458" s="323"/>
      <c r="AB458" s="316"/>
      <c r="AC458" s="316"/>
      <c r="AD458" s="316"/>
      <c r="AE458" s="316"/>
      <c r="AF458" s="323">
        <f ca="1">Table2[[#This Row],[End Date]]+2-TODAY()</f>
        <v>194</v>
      </c>
      <c r="AG458" s="316">
        <f>IF(ISBLANK(Table2[[#This Row],[Roster Received by]]),1,0)</f>
        <v>1</v>
      </c>
      <c r="AH458" s="316">
        <f ca="1">IF(Table2[[#This Row],[Start Date]]&gt;TODAY(),1,)</f>
        <v>1</v>
      </c>
      <c r="AI458" s="316">
        <f>IF(ISBLANK(Table2[[#This Row],[Primary Instructor]]),0,1)</f>
        <v>1</v>
      </c>
      <c r="AJ458" s="316">
        <f>IF(ISBLANK(Table2[[#This Row],[Instructor 2]]),0,1)</f>
        <v>0</v>
      </c>
      <c r="AK458" s="316">
        <f>Table2[[#This Row],[Course Length (Hours)]]/(SUM(Table2[[#This Row],[1]:[2]]))</f>
        <v>40</v>
      </c>
      <c r="AL458" s="124"/>
      <c r="AM458" s="316">
        <v>3</v>
      </c>
      <c r="AN458" s="363" t="str">
        <f>VLOOKUP(Table2[[#This Row],[Course Title]],'TSD-Data'!$A$1:$G$80,7,FALSE)</f>
        <v>N5</v>
      </c>
    </row>
    <row r="459" spans="2:40" s="428" customFormat="1" x14ac:dyDescent="0.25">
      <c r="B459" s="315"/>
      <c r="C459" s="448" t="s">
        <v>23</v>
      </c>
      <c r="D459" s="316" t="str">
        <f>VLOOKUP(Table2[[#This Row],[Course Title]],'TSD-Data'!$A$1:$E$80,2,FALSE)</f>
        <v>A-4J-0022</v>
      </c>
      <c r="E459" s="316" t="str">
        <f>VLOOKUP(Table2[[#This Row],[Course Title]],'TSD-Data'!$A$1:$E$80,3,FALSE)</f>
        <v>09ER</v>
      </c>
      <c r="F459" s="364" t="s">
        <v>25</v>
      </c>
      <c r="G459" s="317">
        <v>46195</v>
      </c>
      <c r="H459" s="317">
        <v>46199</v>
      </c>
      <c r="I459" s="317" t="s">
        <v>163</v>
      </c>
      <c r="J459" s="318"/>
      <c r="K459" s="345">
        <v>0.33333333333333331</v>
      </c>
      <c r="L459" s="345">
        <v>0.20833333333333334</v>
      </c>
      <c r="M459" s="345">
        <v>0.625</v>
      </c>
      <c r="N459" s="345">
        <v>0.54166666666666663</v>
      </c>
      <c r="O459" s="345">
        <v>8.3333333333333329E-2</v>
      </c>
      <c r="P459" s="345">
        <v>0.875</v>
      </c>
      <c r="Q459" s="321" t="s">
        <v>285</v>
      </c>
      <c r="R459" s="321"/>
      <c r="S459" s="321"/>
      <c r="T459" s="316">
        <f>VLOOKUP(Table2[[#This Row],[Course Title]],'TSD-Data'!$A$1:$E$80,4,FALSE)</f>
        <v>45</v>
      </c>
      <c r="U459" s="316">
        <f>VLOOKUP(Table2[[#This Row],[Course Title]],'TSD-Data'!$A$1:$F$80,6,FALSE)</f>
        <v>16</v>
      </c>
      <c r="V459" s="323">
        <f>VLOOKUP(Table2[[#This Row],[Course Title]],'TSD-Data'!$A$1:$F$80,5,FALSE)</f>
        <v>2</v>
      </c>
      <c r="W459" s="323">
        <v>141</v>
      </c>
      <c r="X459" s="316"/>
      <c r="Y459" s="316"/>
      <c r="Z459" s="323"/>
      <c r="AA459" s="323"/>
      <c r="AB459" s="316"/>
      <c r="AC459" s="316"/>
      <c r="AD459" s="316"/>
      <c r="AE459" s="316"/>
      <c r="AF459" s="323">
        <f ca="1">Table2[[#This Row],[End Date]]+2-TODAY()</f>
        <v>194</v>
      </c>
      <c r="AG459" s="316">
        <f>IF(ISBLANK(Table2[[#This Row],[Roster Received by]]),1,0)</f>
        <v>1</v>
      </c>
      <c r="AH459" s="316">
        <f ca="1">IF(Table2[[#This Row],[Start Date]]&gt;TODAY(),1,)</f>
        <v>1</v>
      </c>
      <c r="AI459" s="316">
        <f>IF(ISBLANK(Table2[[#This Row],[Primary Instructor]]),0,1)</f>
        <v>1</v>
      </c>
      <c r="AJ459" s="316">
        <f>IF(ISBLANK(Table2[[#This Row],[Instructor 2]]),0,1)</f>
        <v>0</v>
      </c>
      <c r="AK459" s="316">
        <f>Table2[[#This Row],[Course Length (Hours)]]/(SUM(Table2[[#This Row],[1]:[2]]))</f>
        <v>16</v>
      </c>
      <c r="AL459" s="124"/>
      <c r="AM459" s="316">
        <v>3</v>
      </c>
      <c r="AN459" s="363" t="str">
        <f>VLOOKUP(Table2[[#This Row],[Course Title]],'TSD-Data'!$A$1:$G$80,7,FALSE)</f>
        <v>N4</v>
      </c>
    </row>
    <row r="460" spans="2:40" s="428" customFormat="1" x14ac:dyDescent="0.25">
      <c r="B460" s="315"/>
      <c r="C460" s="448" t="s">
        <v>55</v>
      </c>
      <c r="D460" s="316" t="str">
        <f>VLOOKUP(Table2[[#This Row],[Course Title]],'TSD-Data'!$A$1:$E$80,2,FALSE)</f>
        <v>A-493-0021</v>
      </c>
      <c r="E460" s="316" t="str">
        <f>VLOOKUP(Table2[[#This Row],[Course Title]],'TSD-Data'!$A$1:$E$80,3,FALSE)</f>
        <v>18BN</v>
      </c>
      <c r="F460" s="315" t="s">
        <v>279</v>
      </c>
      <c r="G460" s="317">
        <v>46195</v>
      </c>
      <c r="H460" s="317">
        <v>46199</v>
      </c>
      <c r="I460" s="317" t="s">
        <v>163</v>
      </c>
      <c r="J460" s="318">
        <v>0.33333333333333331</v>
      </c>
      <c r="K460" s="318"/>
      <c r="L460" s="317"/>
      <c r="M460" s="317"/>
      <c r="N460" s="317"/>
      <c r="O460" s="317"/>
      <c r="P460" s="317"/>
      <c r="Q460" s="321" t="s">
        <v>275</v>
      </c>
      <c r="R460" s="321"/>
      <c r="S460" s="321"/>
      <c r="T460" s="316">
        <f>VLOOKUP(Table2[[#This Row],[Course Title]],'TSD-Data'!$A$1:$E$80,4,FALSE)</f>
        <v>35</v>
      </c>
      <c r="U460" s="316">
        <f>VLOOKUP(Table2[[#This Row],[Course Title]],'TSD-Data'!$A$1:$F$80,6,FALSE)</f>
        <v>30</v>
      </c>
      <c r="V460" s="323">
        <f>VLOOKUP(Table2[[#This Row],[Course Title]],'TSD-Data'!$A$1:$F$80,5,FALSE)</f>
        <v>5</v>
      </c>
      <c r="W460" s="323">
        <v>20</v>
      </c>
      <c r="X460" s="316"/>
      <c r="Y460" s="316"/>
      <c r="Z460" s="323"/>
      <c r="AA460" s="323"/>
      <c r="AB460" s="316"/>
      <c r="AC460" s="316"/>
      <c r="AD460" s="316"/>
      <c r="AE460" s="316"/>
      <c r="AF460" s="323">
        <f ca="1">Table2[[#This Row],[End Date]]+2-TODAY()</f>
        <v>194</v>
      </c>
      <c r="AG460" s="316">
        <f>IF(ISBLANK(Table2[[#This Row],[Roster Received by]]),1,0)</f>
        <v>1</v>
      </c>
      <c r="AH460" s="316">
        <f ca="1">IF(Table2[[#This Row],[Start Date]]&gt;TODAY(),1,)</f>
        <v>1</v>
      </c>
      <c r="AI460" s="316">
        <f>IF(ISBLANK(Table2[[#This Row],[Primary Instructor]]),0,1)</f>
        <v>1</v>
      </c>
      <c r="AJ460" s="316">
        <f>IF(ISBLANK(Table2[[#This Row],[Instructor 2]]),0,1)</f>
        <v>0</v>
      </c>
      <c r="AK460" s="316">
        <f>Table2[[#This Row],[Course Length (Hours)]]/(SUM(Table2[[#This Row],[1]:[2]]))</f>
        <v>30</v>
      </c>
      <c r="AL460" s="124"/>
      <c r="AM460" s="316">
        <v>3</v>
      </c>
      <c r="AN460" s="363" t="str">
        <f>VLOOKUP(Table2[[#This Row],[Course Title]],'TSD-Data'!$A$1:$G$80,7,FALSE)</f>
        <v>N5</v>
      </c>
    </row>
    <row r="461" spans="2:40" s="428" customFormat="1" x14ac:dyDescent="0.25">
      <c r="B461" s="315"/>
      <c r="C461" s="448" t="s">
        <v>71</v>
      </c>
      <c r="D461" s="316" t="str">
        <f>VLOOKUP(Table2[[#This Row],[Course Title]],'TSD-Data'!$A$1:$E$80,2,FALSE)</f>
        <v>A-493-0061</v>
      </c>
      <c r="E461" s="316" t="str">
        <f>VLOOKUP(Table2[[#This Row],[Course Title]],'TSD-Data'!$A$1:$E$80,3,FALSE)</f>
        <v>288E</v>
      </c>
      <c r="F461" s="315" t="s">
        <v>25</v>
      </c>
      <c r="G461" s="317">
        <v>46195</v>
      </c>
      <c r="H461" s="317">
        <v>46198</v>
      </c>
      <c r="I461" s="317" t="s">
        <v>163</v>
      </c>
      <c r="J461" s="318"/>
      <c r="K461" s="345">
        <v>0.33333333333333331</v>
      </c>
      <c r="L461" s="345">
        <v>0.20833333333333334</v>
      </c>
      <c r="M461" s="318">
        <v>0.625</v>
      </c>
      <c r="N461" s="318">
        <v>0.54166666666666663</v>
      </c>
      <c r="O461" s="318">
        <v>8.3333333333333329E-2</v>
      </c>
      <c r="P461" s="318">
        <v>0.875</v>
      </c>
      <c r="Q461" s="321" t="s">
        <v>272</v>
      </c>
      <c r="R461" s="321"/>
      <c r="S461" s="321"/>
      <c r="T461" s="316">
        <f>VLOOKUP(Table2[[#This Row],[Course Title]],'TSD-Data'!$A$1:$E$80,4,FALSE)</f>
        <v>45</v>
      </c>
      <c r="U461" s="316">
        <f>VLOOKUP(Table2[[#This Row],[Course Title]],'TSD-Data'!$A$1:$F$80,6,FALSE)</f>
        <v>30</v>
      </c>
      <c r="V461" s="323">
        <f>VLOOKUP(Table2[[#This Row],[Course Title]],'TSD-Data'!$A$1:$F$80,5,FALSE)</f>
        <v>4</v>
      </c>
      <c r="W461" s="323">
        <v>366</v>
      </c>
      <c r="X461" s="316"/>
      <c r="Y461" s="316"/>
      <c r="Z461" s="323"/>
      <c r="AA461" s="323"/>
      <c r="AB461" s="316"/>
      <c r="AC461" s="316"/>
      <c r="AD461" s="316"/>
      <c r="AE461" s="316"/>
      <c r="AF461" s="323">
        <f ca="1">Table2[[#This Row],[End Date]]+2-TODAY()</f>
        <v>193</v>
      </c>
      <c r="AG461" s="316">
        <f>IF(ISBLANK(Table2[[#This Row],[Roster Received by]]),1,0)</f>
        <v>1</v>
      </c>
      <c r="AH461" s="316">
        <f ca="1">IF(Table2[[#This Row],[Start Date]]&gt;TODAY(),1,)</f>
        <v>1</v>
      </c>
      <c r="AI461" s="316">
        <f>IF(ISBLANK(Table2[[#This Row],[Primary Instructor]]),0,1)</f>
        <v>1</v>
      </c>
      <c r="AJ461" s="316">
        <f>IF(ISBLANK(Table2[[#This Row],[Instructor 2]]),0,1)</f>
        <v>0</v>
      </c>
      <c r="AK461" s="316">
        <f>Table2[[#This Row],[Course Length (Hours)]]/(SUM(Table2[[#This Row],[1]:[2]]))</f>
        <v>30</v>
      </c>
      <c r="AL461" s="124"/>
      <c r="AM461" s="316">
        <v>3</v>
      </c>
      <c r="AN461" s="363" t="str">
        <f>VLOOKUP(Table2[[#This Row],[Course Title]],'TSD-Data'!$A$1:$G$80,7,FALSE)</f>
        <v>N5</v>
      </c>
    </row>
    <row r="462" spans="2:40" s="428" customFormat="1" x14ac:dyDescent="0.25">
      <c r="B462" s="315"/>
      <c r="C462" s="364" t="s">
        <v>97</v>
      </c>
      <c r="D462" s="316" t="str">
        <f>VLOOKUP(Table2[[#This Row],[Course Title]],'TSD-Data'!$A$1:$E$80,2,FALSE)</f>
        <v>A-493-0335</v>
      </c>
      <c r="E462" s="316" t="str">
        <f>VLOOKUP(Table2[[#This Row],[Course Title]],'TSD-Data'!$A$1:$E$80,3,FALSE)</f>
        <v>09ND</v>
      </c>
      <c r="F462" s="315" t="s">
        <v>25</v>
      </c>
      <c r="G462" s="317">
        <v>46195</v>
      </c>
      <c r="H462" s="317">
        <v>46198</v>
      </c>
      <c r="I462" s="317" t="s">
        <v>163</v>
      </c>
      <c r="J462" s="318"/>
      <c r="K462" s="345">
        <v>0.5</v>
      </c>
      <c r="L462" s="431">
        <v>0.375</v>
      </c>
      <c r="M462" s="431">
        <v>0.79166666666666663</v>
      </c>
      <c r="N462" s="431">
        <v>0.75</v>
      </c>
      <c r="O462" s="431">
        <v>0.25</v>
      </c>
      <c r="P462" s="431">
        <v>4.1666666666666664E-2</v>
      </c>
      <c r="Q462" s="321" t="s">
        <v>175</v>
      </c>
      <c r="R462" s="321"/>
      <c r="S462" s="321"/>
      <c r="T462" s="316">
        <f>VLOOKUP(Table2[[#This Row],[Course Title]],'TSD-Data'!$A$1:$E$80,4,FALSE)</f>
        <v>45</v>
      </c>
      <c r="U462" s="316">
        <f>VLOOKUP(Table2[[#This Row],[Course Title]],'TSD-Data'!$A$1:$F$80,6,FALSE)</f>
        <v>32</v>
      </c>
      <c r="V462" s="323">
        <f>VLOOKUP(Table2[[#This Row],[Course Title]],'TSD-Data'!$A$1:$F$80,5,FALSE)</f>
        <v>4</v>
      </c>
      <c r="W462" s="323">
        <v>537</v>
      </c>
      <c r="X462" s="316"/>
      <c r="Y462" s="316"/>
      <c r="Z462" s="323"/>
      <c r="AA462" s="323"/>
      <c r="AB462" s="316"/>
      <c r="AC462" s="316"/>
      <c r="AD462" s="316"/>
      <c r="AE462" s="316"/>
      <c r="AF462" s="323">
        <f ca="1">Table2[[#This Row],[End Date]]+2-TODAY()</f>
        <v>193</v>
      </c>
      <c r="AG462" s="316">
        <f>IF(ISBLANK(Table2[[#This Row],[Roster Received by]]),1,0)</f>
        <v>1</v>
      </c>
      <c r="AH462" s="316">
        <f ca="1">IF(Table2[[#This Row],[Start Date]]&gt;TODAY(),1,)</f>
        <v>1</v>
      </c>
      <c r="AI462" s="316">
        <f>IF(ISBLANK(Table2[[#This Row],[Primary Instructor]]),0,1)</f>
        <v>1</v>
      </c>
      <c r="AJ462" s="316">
        <f>IF(ISBLANK(Table2[[#This Row],[Instructor 2]]),0,1)</f>
        <v>0</v>
      </c>
      <c r="AK462" s="316">
        <f>Table2[[#This Row],[Course Length (Hours)]]/(SUM(Table2[[#This Row],[1]:[2]]))</f>
        <v>32</v>
      </c>
      <c r="AL462" s="124"/>
      <c r="AM462" s="316">
        <v>3</v>
      </c>
      <c r="AN462" s="363" t="str">
        <f>VLOOKUP(Table2[[#This Row],[Course Title]],'TSD-Data'!$A$1:$G$80,7,FALSE)</f>
        <v>N3</v>
      </c>
    </row>
    <row r="463" spans="2:40" s="428" customFormat="1" x14ac:dyDescent="0.25">
      <c r="B463" s="315"/>
      <c r="C463" s="364" t="s">
        <v>108</v>
      </c>
      <c r="D463" s="316" t="str">
        <f>VLOOKUP(Table2[[#This Row],[Course Title]],'TSD-Data'!$A$1:$E$80,2,FALSE)</f>
        <v>A-493-0085</v>
      </c>
      <c r="E463" s="316">
        <f>VLOOKUP(Table2[[#This Row],[Course Title]],'TSD-Data'!$A$1:$E$80,3,FALSE)</f>
        <v>3555</v>
      </c>
      <c r="F463" s="364" t="s">
        <v>25</v>
      </c>
      <c r="G463" s="344">
        <v>46195</v>
      </c>
      <c r="H463" s="344">
        <v>46198</v>
      </c>
      <c r="I463" s="317" t="s">
        <v>163</v>
      </c>
      <c r="J463" s="318"/>
      <c r="K463" s="345">
        <v>0.5</v>
      </c>
      <c r="L463" s="429">
        <v>0.375</v>
      </c>
      <c r="M463" s="429">
        <v>0.79166666666666663</v>
      </c>
      <c r="N463" s="429">
        <v>0.75</v>
      </c>
      <c r="O463" s="429">
        <v>0.25</v>
      </c>
      <c r="P463" s="429">
        <v>4.1666666666666664E-2</v>
      </c>
      <c r="Q463" s="321" t="s">
        <v>174</v>
      </c>
      <c r="R463" s="321"/>
      <c r="S463" s="321"/>
      <c r="T463" s="316">
        <f>VLOOKUP(Table2[[#This Row],[Course Title]],'TSD-Data'!$A$1:$E$80,4,FALSE)</f>
        <v>45</v>
      </c>
      <c r="U463" s="316">
        <f>VLOOKUP(Table2[[#This Row],[Course Title]],'TSD-Data'!$A$1:$F$80,6,FALSE)</f>
        <v>32</v>
      </c>
      <c r="V463" s="323">
        <f>VLOOKUP(Table2[[#This Row],[Course Title]],'TSD-Data'!$A$1:$F$80,5,FALSE)</f>
        <v>4</v>
      </c>
      <c r="W463" s="323">
        <v>688</v>
      </c>
      <c r="X463" s="316"/>
      <c r="Y463" s="316"/>
      <c r="Z463" s="323"/>
      <c r="AA463" s="323"/>
      <c r="AB463" s="316"/>
      <c r="AC463" s="316"/>
      <c r="AD463" s="316"/>
      <c r="AE463" s="316"/>
      <c r="AF463" s="323">
        <f ca="1">Table2[[#This Row],[End Date]]+2-TODAY()</f>
        <v>193</v>
      </c>
      <c r="AG463" s="316">
        <f>IF(ISBLANK(Table2[[#This Row],[Roster Received by]]),1,0)</f>
        <v>1</v>
      </c>
      <c r="AH463" s="316">
        <f ca="1">IF(Table2[[#This Row],[Start Date]]&gt;TODAY(),1,)</f>
        <v>1</v>
      </c>
      <c r="AI463" s="316">
        <f>IF(ISBLANK(Table2[[#This Row],[Primary Instructor]]),0,1)</f>
        <v>1</v>
      </c>
      <c r="AJ463" s="316">
        <f>IF(ISBLANK(Table2[[#This Row],[Instructor 2]]),0,1)</f>
        <v>0</v>
      </c>
      <c r="AK463" s="316">
        <f>Table2[[#This Row],[Course Length (Hours)]]/(SUM(Table2[[#This Row],[1]:[2]]))</f>
        <v>32</v>
      </c>
      <c r="AL463" s="124"/>
      <c r="AM463" s="316">
        <v>3</v>
      </c>
      <c r="AN463" s="363" t="str">
        <f>VLOOKUP(Table2[[#This Row],[Course Title]],'TSD-Data'!$A$1:$G$80,7,FALSE)</f>
        <v>N3</v>
      </c>
    </row>
    <row r="464" spans="2:40" s="428" customFormat="1" x14ac:dyDescent="0.25">
      <c r="B464" s="315"/>
      <c r="C464" s="364" t="s">
        <v>110</v>
      </c>
      <c r="D464" s="316" t="str">
        <f>VLOOKUP(Table2[[#This Row],[Course Title]],'TSD-Data'!$A$1:$E$80,2,FALSE)</f>
        <v>A-493-2501</v>
      </c>
      <c r="E464" s="316" t="str">
        <f>VLOOKUP(Table2[[#This Row],[Course Title]],'TSD-Data'!$A$1:$E$80,3,FALSE)</f>
        <v>05ZE</v>
      </c>
      <c r="F464" s="315" t="s">
        <v>328</v>
      </c>
      <c r="G464" s="317">
        <v>46195</v>
      </c>
      <c r="H464" s="317">
        <v>46195</v>
      </c>
      <c r="I464" s="341" t="s">
        <v>167</v>
      </c>
      <c r="J464" s="318">
        <v>0.33333333333333331</v>
      </c>
      <c r="K464" s="318"/>
      <c r="L464" s="317"/>
      <c r="M464" s="317"/>
      <c r="N464" s="317"/>
      <c r="O464" s="317"/>
      <c r="P464" s="317"/>
      <c r="Q464" s="321" t="s">
        <v>168</v>
      </c>
      <c r="R464" s="321"/>
      <c r="S464" s="321"/>
      <c r="T464" s="316">
        <f>VLOOKUP(Table2[[#This Row],[Course Title]],'TSD-Data'!$A$1:$E$80,4,FALSE)</f>
        <v>30</v>
      </c>
      <c r="U464" s="316">
        <f>VLOOKUP(Table2[[#This Row],[Course Title]],'TSD-Data'!$A$1:$F$80,6,FALSE)</f>
        <v>8</v>
      </c>
      <c r="V464" s="323">
        <f>VLOOKUP(Table2[[#This Row],[Course Title]],'TSD-Data'!$A$1:$F$80,5,FALSE)</f>
        <v>1</v>
      </c>
      <c r="W464" s="323">
        <v>30</v>
      </c>
      <c r="X464" s="316"/>
      <c r="Y464" s="316"/>
      <c r="Z464" s="323"/>
      <c r="AA464" s="323"/>
      <c r="AB464" s="363"/>
      <c r="AC464" s="363"/>
      <c r="AD464" s="316"/>
      <c r="AE464" s="316"/>
      <c r="AF464" s="323">
        <f ca="1">Table2[[#This Row],[End Date]]+2-TODAY()</f>
        <v>190</v>
      </c>
      <c r="AG464" s="316">
        <f>IF(ISBLANK(Table2[[#This Row],[Roster Received by]]),1,0)</f>
        <v>1</v>
      </c>
      <c r="AH464" s="316">
        <f ca="1">IF(Table2[[#This Row],[Start Date]]&gt;TODAY(),1,)</f>
        <v>1</v>
      </c>
      <c r="AI464" s="316">
        <f>IF(ISBLANK(Table2[[#This Row],[Primary Instructor]]),0,1)</f>
        <v>1</v>
      </c>
      <c r="AJ464" s="316">
        <f>IF(ISBLANK(Table2[[#This Row],[Instructor 2]]),0,1)</f>
        <v>0</v>
      </c>
      <c r="AK464" s="316">
        <f>Table2[[#This Row],[Course Length (Hours)]]/(SUM(Table2[[#This Row],[1]:[2]]))</f>
        <v>8</v>
      </c>
      <c r="AL464" s="638"/>
      <c r="AM464" s="316">
        <v>3</v>
      </c>
      <c r="AN464" s="363" t="str">
        <f>VLOOKUP(Table2[[#This Row],[Course Title]],'TSD-Data'!$A$1:$G$80,7,FALSE)</f>
        <v>N4</v>
      </c>
    </row>
    <row r="465" spans="2:40" s="428" customFormat="1" x14ac:dyDescent="0.25">
      <c r="B465" s="315"/>
      <c r="C465" s="364" t="s">
        <v>116</v>
      </c>
      <c r="D465" s="316" t="str">
        <f>VLOOKUP(Table2[[#This Row],[Course Title]],'TSD-Data'!$A$1:$E$80,2,FALSE)</f>
        <v>A-493-0072</v>
      </c>
      <c r="E465" s="316" t="str">
        <f>VLOOKUP(Table2[[#This Row],[Course Title]],'TSD-Data'!$A$1:$E$80,3,FALSE)</f>
        <v>713U</v>
      </c>
      <c r="F465" s="364" t="s">
        <v>258</v>
      </c>
      <c r="G465" s="344">
        <v>46195</v>
      </c>
      <c r="H465" s="344">
        <v>46199</v>
      </c>
      <c r="I465" s="317" t="s">
        <v>163</v>
      </c>
      <c r="J465" s="318">
        <v>0.33333333333333331</v>
      </c>
      <c r="K465" s="318"/>
      <c r="L465" s="344"/>
      <c r="M465" s="317"/>
      <c r="N465" s="317"/>
      <c r="O465" s="317"/>
      <c r="P465" s="344"/>
      <c r="Q465" s="321" t="s">
        <v>445</v>
      </c>
      <c r="R465" s="321"/>
      <c r="S465" s="321" t="s">
        <v>454</v>
      </c>
      <c r="T465" s="316">
        <f>VLOOKUP(Table2[[#This Row],[Course Title]],'TSD-Data'!$A$1:$E$80,4,FALSE)</f>
        <v>30</v>
      </c>
      <c r="U465" s="316">
        <f>VLOOKUP(Table2[[#This Row],[Course Title]],'TSD-Data'!$A$1:$F$80,6,FALSE)</f>
        <v>40</v>
      </c>
      <c r="V465" s="323">
        <f>VLOOKUP(Table2[[#This Row],[Course Title]],'TSD-Data'!$A$1:$F$80,5,FALSE)</f>
        <v>5</v>
      </c>
      <c r="W465" s="323">
        <v>56</v>
      </c>
      <c r="X465" s="316"/>
      <c r="Y465" s="316"/>
      <c r="Z465" s="323"/>
      <c r="AA465" s="323"/>
      <c r="AB465" s="316"/>
      <c r="AC465" s="316"/>
      <c r="AD465" s="316"/>
      <c r="AE465" s="316"/>
      <c r="AF465" s="323">
        <f ca="1">Table2[[#This Row],[End Date]]+2-TODAY()</f>
        <v>194</v>
      </c>
      <c r="AG465" s="316">
        <f>IF(ISBLANK(Table2[[#This Row],[Roster Received by]]),1,0)</f>
        <v>1</v>
      </c>
      <c r="AH465" s="316">
        <f ca="1">IF(Table2[[#This Row],[Start Date]]&gt;TODAY(),1,)</f>
        <v>1</v>
      </c>
      <c r="AI465" s="316">
        <f>IF(ISBLANK(Table2[[#This Row],[Primary Instructor]]),0,1)</f>
        <v>1</v>
      </c>
      <c r="AJ465" s="316">
        <f>IF(ISBLANK(Table2[[#This Row],[Instructor 2]]),0,1)</f>
        <v>0</v>
      </c>
      <c r="AK465" s="316">
        <f>Table2[[#This Row],[Course Length (Hours)]]/(SUM(Table2[[#This Row],[1]:[2]]))</f>
        <v>40</v>
      </c>
      <c r="AL465" s="124"/>
      <c r="AM465" s="316">
        <v>3</v>
      </c>
      <c r="AN465" s="363" t="str">
        <f>VLOOKUP(Table2[[#This Row],[Course Title]],'TSD-Data'!$A$1:$G$80,7,FALSE)</f>
        <v>N3</v>
      </c>
    </row>
    <row r="466" spans="2:40" s="428" customFormat="1" x14ac:dyDescent="0.25">
      <c r="B466" s="315" t="s">
        <v>489</v>
      </c>
      <c r="C466" s="364" t="s">
        <v>125</v>
      </c>
      <c r="D466" s="316" t="str">
        <f>VLOOKUP(Table2[[#This Row],[Course Title]],'TSD-Data'!$A$1:$E$80,2,FALSE)</f>
        <v>A-493-2017</v>
      </c>
      <c r="E466" s="316" t="str">
        <f>VLOOKUP(Table2[[#This Row],[Course Title]],'TSD-Data'!$A$1:$E$80,3,FALSE)</f>
        <v>12x3</v>
      </c>
      <c r="F466" s="315" t="s">
        <v>312</v>
      </c>
      <c r="G466" s="317">
        <v>46195</v>
      </c>
      <c r="H466" s="317">
        <v>46199</v>
      </c>
      <c r="I466" s="317" t="s">
        <v>163</v>
      </c>
      <c r="J466" s="318">
        <v>0.33333333333333331</v>
      </c>
      <c r="K466" s="318"/>
      <c r="L466" s="317"/>
      <c r="M466" s="317"/>
      <c r="N466" s="317"/>
      <c r="O466" s="317"/>
      <c r="P466" s="317"/>
      <c r="Q466" s="321" t="s">
        <v>168</v>
      </c>
      <c r="R466" s="321"/>
      <c r="S466" s="321"/>
      <c r="T466" s="316">
        <f>VLOOKUP(Table2[[#This Row],[Course Title]],'TSD-Data'!$A$1:$E$80,4,FALSE)</f>
        <v>25</v>
      </c>
      <c r="U466" s="316">
        <f>VLOOKUP(Table2[[#This Row],[Course Title]],'TSD-Data'!$A$1:$F$80,6,FALSE)</f>
        <v>40</v>
      </c>
      <c r="V466" s="323">
        <f>VLOOKUP(Table2[[#This Row],[Course Title]],'TSD-Data'!$A$1:$F$80,5,FALSE)</f>
        <v>5</v>
      </c>
      <c r="W466" s="323">
        <v>25</v>
      </c>
      <c r="X466" s="316"/>
      <c r="Y466" s="316"/>
      <c r="Z466" s="323"/>
      <c r="AA466" s="323"/>
      <c r="AB466" s="363"/>
      <c r="AC466" s="363"/>
      <c r="AD466" s="316"/>
      <c r="AE466" s="316"/>
      <c r="AF466" s="323">
        <f ca="1">Table2[[#This Row],[End Date]]+2-TODAY()</f>
        <v>194</v>
      </c>
      <c r="AG466" s="316">
        <f>IF(ISBLANK(Table2[[#This Row],[Roster Received by]]),1,0)</f>
        <v>1</v>
      </c>
      <c r="AH466" s="316">
        <f ca="1">IF(Table2[[#This Row],[Start Date]]&gt;TODAY(),1,)</f>
        <v>1</v>
      </c>
      <c r="AI466" s="316">
        <f>IF(ISBLANK(Table2[[#This Row],[Primary Instructor]]),0,1)</f>
        <v>1</v>
      </c>
      <c r="AJ466" s="316">
        <f>IF(ISBLANK(Table2[[#This Row],[Instructor 2]]),0,1)</f>
        <v>0</v>
      </c>
      <c r="AK466" s="316">
        <f>Table2[[#This Row],[Course Length (Hours)]]/(SUM(Table2[[#This Row],[1]:[2]]))</f>
        <v>40</v>
      </c>
      <c r="AL466" s="638"/>
      <c r="AM466" s="316">
        <v>3</v>
      </c>
      <c r="AN466" s="363" t="str">
        <f>VLOOKUP(Table2[[#This Row],[Course Title]],'TSD-Data'!$A$1:$G$80,7,FALSE)</f>
        <v>N4</v>
      </c>
    </row>
    <row r="467" spans="2:40" s="428" customFormat="1" x14ac:dyDescent="0.25">
      <c r="B467" s="315"/>
      <c r="C467" s="315" t="s">
        <v>74</v>
      </c>
      <c r="D467" s="316" t="str">
        <f>VLOOKUP(Table2[[#This Row],[Course Title]],'TSD-Data'!$A$1:$E$80,2,FALSE)</f>
        <v>A-322-2604</v>
      </c>
      <c r="E467" s="316" t="str">
        <f>VLOOKUP(Table2[[#This Row],[Course Title]],'TSD-Data'!$A$1:$E$80,3,FALSE)</f>
        <v>10ZZ</v>
      </c>
      <c r="F467" s="315" t="s">
        <v>25</v>
      </c>
      <c r="G467" s="317">
        <v>46196</v>
      </c>
      <c r="H467" s="317">
        <v>46198</v>
      </c>
      <c r="I467" s="317" t="s">
        <v>163</v>
      </c>
      <c r="J467" s="318"/>
      <c r="K467" s="332">
        <v>0.5</v>
      </c>
      <c r="L467" s="431">
        <v>0.375</v>
      </c>
      <c r="M467" s="431">
        <v>0.79166666666666663</v>
      </c>
      <c r="N467" s="431">
        <v>0.75</v>
      </c>
      <c r="O467" s="431">
        <v>0.25</v>
      </c>
      <c r="P467" s="431">
        <v>4.1666666666666664E-2</v>
      </c>
      <c r="Q467" s="321" t="s">
        <v>444</v>
      </c>
      <c r="R467" s="321"/>
      <c r="S467" s="321"/>
      <c r="T467" s="316">
        <f>VLOOKUP(Table2[[#This Row],[Course Title]],'TSD-Data'!$A$1:$E$80,4,FALSE)</f>
        <v>45</v>
      </c>
      <c r="U467" s="316">
        <f>VLOOKUP(Table2[[#This Row],[Course Title]],'TSD-Data'!$A$1:$F$80,6,FALSE)</f>
        <v>24</v>
      </c>
      <c r="V467" s="323">
        <f>VLOOKUP(Table2[[#This Row],[Course Title]],'TSD-Data'!$A$1:$F$80,5,FALSE)</f>
        <v>3</v>
      </c>
      <c r="W467" s="323">
        <v>621</v>
      </c>
      <c r="X467" s="316"/>
      <c r="Y467" s="316"/>
      <c r="Z467" s="323"/>
      <c r="AA467" s="323"/>
      <c r="AB467" s="316"/>
      <c r="AC467" s="316"/>
      <c r="AD467" s="316"/>
      <c r="AE467" s="316"/>
      <c r="AF467" s="323">
        <f ca="1">Table2[[#This Row],[End Date]]+2-TODAY()</f>
        <v>193</v>
      </c>
      <c r="AG467" s="316">
        <f>IF(ISBLANK(Table2[[#This Row],[Roster Received by]]),1,0)</f>
        <v>1</v>
      </c>
      <c r="AH467" s="316">
        <f ca="1">IF(Table2[[#This Row],[Start Date]]&gt;TODAY(),1,)</f>
        <v>1</v>
      </c>
      <c r="AI467" s="316">
        <f>IF(ISBLANK(Table2[[#This Row],[Primary Instructor]]),0,1)</f>
        <v>1</v>
      </c>
      <c r="AJ467" s="316">
        <f>IF(ISBLANK(Table2[[#This Row],[Instructor 2]]),0,1)</f>
        <v>0</v>
      </c>
      <c r="AK467" s="316">
        <f>Table2[[#This Row],[Course Length (Hours)]]/(SUM(Table2[[#This Row],[1]:[2]]))</f>
        <v>24</v>
      </c>
      <c r="AL467" s="124"/>
      <c r="AM467" s="316">
        <v>3</v>
      </c>
      <c r="AN467" s="363" t="str">
        <f>VLOOKUP(Table2[[#This Row],[Course Title]],'TSD-Data'!$A$1:$G$80,7,FALSE)</f>
        <v>N8</v>
      </c>
    </row>
    <row r="468" spans="2:40" s="428" customFormat="1" x14ac:dyDescent="0.25">
      <c r="B468" s="315" t="s">
        <v>499</v>
      </c>
      <c r="C468" s="364" t="s">
        <v>63</v>
      </c>
      <c r="D468" s="316" t="str">
        <f>VLOOKUP(Table2[[#This Row],[Course Title]],'TSD-Data'!$A$1:$E$80,2,FALSE)</f>
        <v>A-493-0013</v>
      </c>
      <c r="E468" s="316">
        <f>VLOOKUP(Table2[[#This Row],[Course Title]],'TSD-Data'!$A$1:$E$80,3,FALSE)</f>
        <v>3683</v>
      </c>
      <c r="F468" s="315" t="s">
        <v>330</v>
      </c>
      <c r="G468" s="317">
        <v>46196</v>
      </c>
      <c r="H468" s="317">
        <v>46198</v>
      </c>
      <c r="I468" s="341" t="s">
        <v>167</v>
      </c>
      <c r="J468" s="318">
        <v>0.33333333333333331</v>
      </c>
      <c r="K468" s="318"/>
      <c r="L468" s="344"/>
      <c r="M468" s="317"/>
      <c r="N468" s="317"/>
      <c r="O468" s="317"/>
      <c r="P468" s="317"/>
      <c r="Q468" s="321" t="s">
        <v>447</v>
      </c>
      <c r="R468" s="321"/>
      <c r="S468" s="321"/>
      <c r="T468" s="316">
        <f>VLOOKUP(Table2[[#This Row],[Course Title]],'TSD-Data'!$A$1:$E$80,4,FALSE)</f>
        <v>40</v>
      </c>
      <c r="U468" s="316">
        <f>VLOOKUP(Table2[[#This Row],[Course Title]],'TSD-Data'!$A$1:$F$80,6,FALSE)</f>
        <v>24</v>
      </c>
      <c r="V468" s="323">
        <f>VLOOKUP(Table2[[#This Row],[Course Title]],'TSD-Data'!$A$1:$F$80,5,FALSE)</f>
        <v>3</v>
      </c>
      <c r="W468" s="323">
        <v>30</v>
      </c>
      <c r="X468" s="316"/>
      <c r="Y468" s="316"/>
      <c r="Z468" s="323"/>
      <c r="AA468" s="323"/>
      <c r="AB468" s="363"/>
      <c r="AC468" s="363"/>
      <c r="AD468" s="316"/>
      <c r="AE468" s="316"/>
      <c r="AF468" s="323">
        <f ca="1">Table2[[#This Row],[End Date]]+2-TODAY()</f>
        <v>193</v>
      </c>
      <c r="AG468" s="316">
        <f>IF(ISBLANK(Table2[[#This Row],[Roster Received by]]),1,0)</f>
        <v>1</v>
      </c>
      <c r="AH468" s="316">
        <f ca="1">IF(Table2[[#This Row],[Start Date]]&gt;TODAY(),1,)</f>
        <v>1</v>
      </c>
      <c r="AI468" s="316">
        <f>IF(ISBLANK(Table2[[#This Row],[Primary Instructor]]),0,1)</f>
        <v>1</v>
      </c>
      <c r="AJ468" s="316">
        <f>IF(ISBLANK(Table2[[#This Row],[Instructor 2]]),0,1)</f>
        <v>0</v>
      </c>
      <c r="AK468" s="316">
        <f>Table2[[#This Row],[Course Length (Hours)]]/(SUM(Table2[[#This Row],[1]:[2]]))</f>
        <v>24</v>
      </c>
      <c r="AL468" s="638"/>
      <c r="AM468" s="316">
        <v>3</v>
      </c>
      <c r="AN468" s="363" t="str">
        <f>VLOOKUP(Table2[[#This Row],[Course Title]],'TSD-Data'!$A$1:$G$80,7,FALSE)</f>
        <v>N4</v>
      </c>
    </row>
    <row r="469" spans="2:40" s="428" customFormat="1" ht="15" customHeight="1" x14ac:dyDescent="0.25">
      <c r="B469" s="315"/>
      <c r="C469" s="364" t="s">
        <v>94</v>
      </c>
      <c r="D469" s="363" t="str">
        <f>VLOOKUP(Table2[[#This Row],[Course Title]],'TSD-Data'!$A$1:$E$80,2,FALSE)</f>
        <v>A-493-0331</v>
      </c>
      <c r="E469" s="363" t="str">
        <f>VLOOKUP(Table2[[#This Row],[Course Title]],'TSD-Data'!$A$1:$E$80,3,FALSE)</f>
        <v>10UG</v>
      </c>
      <c r="F469" s="364" t="s">
        <v>25</v>
      </c>
      <c r="G469" s="344">
        <v>46196</v>
      </c>
      <c r="H469" s="344">
        <v>46198</v>
      </c>
      <c r="I469" s="317" t="s">
        <v>163</v>
      </c>
      <c r="J469" s="318"/>
      <c r="K469" s="318">
        <v>0.5</v>
      </c>
      <c r="L469" s="429">
        <v>0.375</v>
      </c>
      <c r="M469" s="431">
        <v>0.79166666666666663</v>
      </c>
      <c r="N469" s="431">
        <v>0.75</v>
      </c>
      <c r="O469" s="431">
        <v>0.25</v>
      </c>
      <c r="P469" s="431">
        <v>4.1666666666666664E-2</v>
      </c>
      <c r="Q469" s="321" t="s">
        <v>436</v>
      </c>
      <c r="R469" s="321"/>
      <c r="S469" s="321"/>
      <c r="T469" s="316">
        <f>VLOOKUP(Table2[[#This Row],[Course Title]],'TSD-Data'!$A$1:$E$80,4,FALSE)</f>
        <v>45</v>
      </c>
      <c r="U469" s="363">
        <f>VLOOKUP(Table2[[#This Row],[Course Title]],'TSD-Data'!$A$1:$F$80,6,FALSE)</f>
        <v>24</v>
      </c>
      <c r="V469" s="323">
        <f>VLOOKUP(Table2[[#This Row],[Course Title]],'TSD-Data'!$A$1:$F$80,5,FALSE)</f>
        <v>3</v>
      </c>
      <c r="W469" s="323"/>
      <c r="X469" s="316"/>
      <c r="Y469" s="316"/>
      <c r="Z469" s="323"/>
      <c r="AA469" s="323"/>
      <c r="AB469" s="363"/>
      <c r="AC469" s="363"/>
      <c r="AD469" s="316"/>
      <c r="AE469" s="316"/>
      <c r="AF469" s="323">
        <f ca="1">Table2[[#This Row],[End Date]]+2-TODAY()</f>
        <v>193</v>
      </c>
      <c r="AG469" s="316">
        <f>IF(ISBLANK(Table2[[#This Row],[Roster Received by]]),1,0)</f>
        <v>1</v>
      </c>
      <c r="AH469" s="316">
        <f ca="1">IF(Table2[[#This Row],[Start Date]]&gt;TODAY(),1,)</f>
        <v>1</v>
      </c>
      <c r="AI469" s="316">
        <f>IF(ISBLANK(Table2[[#This Row],[Primary Instructor]]),0,1)</f>
        <v>1</v>
      </c>
      <c r="AJ469" s="316">
        <f>IF(ISBLANK(Table2[[#This Row],[Instructor 2]]),0,1)</f>
        <v>0</v>
      </c>
      <c r="AK469" s="316">
        <f>Table2[[#This Row],[Course Length (Hours)]]/(SUM(Table2[[#This Row],[1]:[2]]))</f>
        <v>24</v>
      </c>
      <c r="AL469" s="638"/>
      <c r="AM469" s="316">
        <v>3</v>
      </c>
      <c r="AN469" s="363" t="str">
        <f>VLOOKUP(Table2[[#This Row],[Course Title]],'TSD-Data'!$A$1:$G$80,7,FALSE)</f>
        <v>N3</v>
      </c>
    </row>
    <row r="470" spans="2:40" s="428" customFormat="1" x14ac:dyDescent="0.25">
      <c r="B470" s="315"/>
      <c r="C470" s="364" t="s">
        <v>110</v>
      </c>
      <c r="D470" s="316" t="str">
        <f>VLOOKUP(Table2[[#This Row],[Course Title]],'TSD-Data'!$A$1:$E$80,2,FALSE)</f>
        <v>A-493-2501</v>
      </c>
      <c r="E470" s="316" t="str">
        <f>VLOOKUP(Table2[[#This Row],[Course Title]],'TSD-Data'!$A$1:$E$80,3,FALSE)</f>
        <v>05ZE</v>
      </c>
      <c r="F470" s="315" t="s">
        <v>278</v>
      </c>
      <c r="G470" s="317">
        <v>46196</v>
      </c>
      <c r="H470" s="317">
        <v>46196</v>
      </c>
      <c r="I470" s="341" t="s">
        <v>167</v>
      </c>
      <c r="J470" s="318">
        <v>0.33333333333333331</v>
      </c>
      <c r="K470" s="318"/>
      <c r="L470" s="317"/>
      <c r="M470" s="317"/>
      <c r="N470" s="317"/>
      <c r="O470" s="317"/>
      <c r="P470" s="317"/>
      <c r="Q470" s="321" t="s">
        <v>168</v>
      </c>
      <c r="R470" s="321"/>
      <c r="S470" s="321"/>
      <c r="T470" s="316">
        <f>VLOOKUP(Table2[[#This Row],[Course Title]],'TSD-Data'!$A$1:$E$80,4,FALSE)</f>
        <v>30</v>
      </c>
      <c r="U470" s="316">
        <f>VLOOKUP(Table2[[#This Row],[Course Title]],'TSD-Data'!$A$1:$F$80,6,FALSE)</f>
        <v>8</v>
      </c>
      <c r="V470" s="323">
        <f>VLOOKUP(Table2[[#This Row],[Course Title]],'TSD-Data'!$A$1:$F$80,5,FALSE)</f>
        <v>1</v>
      </c>
      <c r="W470" s="323">
        <v>30</v>
      </c>
      <c r="X470" s="316"/>
      <c r="Y470" s="316"/>
      <c r="Z470" s="323"/>
      <c r="AA470" s="323"/>
      <c r="AB470" s="363"/>
      <c r="AC470" s="363"/>
      <c r="AD470" s="316"/>
      <c r="AE470" s="316"/>
      <c r="AF470" s="323">
        <f ca="1">Table2[[#This Row],[End Date]]+2-TODAY()</f>
        <v>191</v>
      </c>
      <c r="AG470" s="316">
        <f>IF(ISBLANK(Table2[[#This Row],[Roster Received by]]),1,0)</f>
        <v>1</v>
      </c>
      <c r="AH470" s="316">
        <f ca="1">IF(Table2[[#This Row],[Start Date]]&gt;TODAY(),1,)</f>
        <v>1</v>
      </c>
      <c r="AI470" s="316">
        <f>IF(ISBLANK(Table2[[#This Row],[Primary Instructor]]),0,1)</f>
        <v>1</v>
      </c>
      <c r="AJ470" s="316">
        <f>IF(ISBLANK(Table2[[#This Row],[Instructor 2]]),0,1)</f>
        <v>0</v>
      </c>
      <c r="AK470" s="316">
        <f>Table2[[#This Row],[Course Length (Hours)]]/(SUM(Table2[[#This Row],[1]:[2]]))</f>
        <v>8</v>
      </c>
      <c r="AL470" s="638"/>
      <c r="AM470" s="316">
        <v>3</v>
      </c>
      <c r="AN470" s="363" t="str">
        <f>VLOOKUP(Table2[[#This Row],[Course Title]],'TSD-Data'!$A$1:$G$80,7,FALSE)</f>
        <v>N4</v>
      </c>
    </row>
    <row r="471" spans="2:40" s="428" customFormat="1" x14ac:dyDescent="0.25">
      <c r="B471" s="315"/>
      <c r="C471" s="364" t="s">
        <v>65</v>
      </c>
      <c r="D471" s="316" t="str">
        <f>VLOOKUP(Table2[[#This Row],[Course Title]],'TSD-Data'!$A$1:$E$80,2,FALSE)</f>
        <v>A-493-0099</v>
      </c>
      <c r="E471" s="316" t="str">
        <f>VLOOKUP(Table2[[#This Row],[Course Title]],'TSD-Data'!$A$1:$E$80,3,FALSE)</f>
        <v>12JW</v>
      </c>
      <c r="F471" s="315" t="s">
        <v>25</v>
      </c>
      <c r="G471" s="317">
        <v>46197</v>
      </c>
      <c r="H471" s="317">
        <v>46199</v>
      </c>
      <c r="I471" s="317" t="s">
        <v>163</v>
      </c>
      <c r="J471" s="318"/>
      <c r="K471" s="318">
        <v>0.33333333333333331</v>
      </c>
      <c r="L471" s="318">
        <v>0.20833333333333334</v>
      </c>
      <c r="M471" s="318">
        <v>0.625</v>
      </c>
      <c r="N471" s="318">
        <v>0.54166666666666663</v>
      </c>
      <c r="O471" s="318">
        <v>8.3333333333333329E-2</v>
      </c>
      <c r="P471" s="318">
        <v>0.875</v>
      </c>
      <c r="Q471" s="321" t="s">
        <v>273</v>
      </c>
      <c r="R471" s="321"/>
      <c r="S471" s="321"/>
      <c r="T471" s="316">
        <f>VLOOKUP(Table2[[#This Row],[Course Title]],'TSD-Data'!$A$1:$E$80,4,FALSE)</f>
        <v>45</v>
      </c>
      <c r="U471" s="316">
        <f>VLOOKUP(Table2[[#This Row],[Course Title]],'TSD-Data'!$A$1:$F$80,6,FALSE)</f>
        <v>24</v>
      </c>
      <c r="V471" s="323">
        <f>VLOOKUP(Table2[[#This Row],[Course Title]],'TSD-Data'!$A$1:$F$80,5,FALSE)</f>
        <v>3</v>
      </c>
      <c r="W471" s="323">
        <v>406</v>
      </c>
      <c r="X471" s="316"/>
      <c r="Y471" s="316"/>
      <c r="Z471" s="323"/>
      <c r="AA471" s="323"/>
      <c r="AB471" s="316"/>
      <c r="AC471" s="316"/>
      <c r="AD471" s="316"/>
      <c r="AE471" s="316"/>
      <c r="AF471" s="323">
        <f ca="1">Table2[[#This Row],[End Date]]+2-TODAY()</f>
        <v>194</v>
      </c>
      <c r="AG471" s="316">
        <f>IF(ISBLANK(Table2[[#This Row],[Roster Received by]]),1,0)</f>
        <v>1</v>
      </c>
      <c r="AH471" s="316">
        <f ca="1">IF(Table2[[#This Row],[Start Date]]&gt;TODAY(),1,)</f>
        <v>1</v>
      </c>
      <c r="AI471" s="316">
        <f>IF(ISBLANK(Table2[[#This Row],[Primary Instructor]]),0,1)</f>
        <v>1</v>
      </c>
      <c r="AJ471" s="316">
        <f>IF(ISBLANK(Table2[[#This Row],[Instructor 2]]),0,1)</f>
        <v>0</v>
      </c>
      <c r="AK471" s="316">
        <f>Table2[[#This Row],[Course Length (Hours)]]/(SUM(Table2[[#This Row],[1]:[2]]))</f>
        <v>24</v>
      </c>
      <c r="AL471" s="124"/>
      <c r="AM471" s="316">
        <v>3</v>
      </c>
      <c r="AN471" s="363" t="str">
        <f>VLOOKUP(Table2[[#This Row],[Course Title]],'TSD-Data'!$A$1:$G$80,7,FALSE)</f>
        <v>N5</v>
      </c>
    </row>
    <row r="472" spans="2:40" s="428" customFormat="1" x14ac:dyDescent="0.25">
      <c r="B472" s="315"/>
      <c r="C472" s="315" t="s">
        <v>110</v>
      </c>
      <c r="D472" s="316" t="str">
        <f>VLOOKUP(Table2[[#This Row],[Course Title]],'TSD-Data'!$A$1:$E$80,2,FALSE)</f>
        <v>A-493-2501</v>
      </c>
      <c r="E472" s="316" t="str">
        <f>VLOOKUP(Table2[[#This Row],[Course Title]],'TSD-Data'!$A$1:$E$80,3,FALSE)</f>
        <v>05ZE</v>
      </c>
      <c r="F472" s="315" t="s">
        <v>330</v>
      </c>
      <c r="G472" s="317">
        <v>46198</v>
      </c>
      <c r="H472" s="317">
        <v>46198</v>
      </c>
      <c r="I472" s="341" t="s">
        <v>167</v>
      </c>
      <c r="J472" s="318">
        <v>0.33333333333333331</v>
      </c>
      <c r="K472" s="318"/>
      <c r="L472" s="317"/>
      <c r="M472" s="317"/>
      <c r="N472" s="317"/>
      <c r="O472" s="317"/>
      <c r="P472" s="317"/>
      <c r="Q472" s="321" t="s">
        <v>168</v>
      </c>
      <c r="R472" s="321"/>
      <c r="S472" s="321"/>
      <c r="T472" s="316">
        <f>VLOOKUP(Table2[[#This Row],[Course Title]],'TSD-Data'!$A$1:$E$80,4,FALSE)</f>
        <v>30</v>
      </c>
      <c r="U472" s="316">
        <f>VLOOKUP(Table2[[#This Row],[Course Title]],'TSD-Data'!$A$1:$F$80,6,FALSE)</f>
        <v>8</v>
      </c>
      <c r="V472" s="323">
        <f>VLOOKUP(Table2[[#This Row],[Course Title]],'TSD-Data'!$A$1:$F$80,5,FALSE)</f>
        <v>1</v>
      </c>
      <c r="W472" s="323">
        <v>30</v>
      </c>
      <c r="X472" s="316"/>
      <c r="Y472" s="316"/>
      <c r="Z472" s="323"/>
      <c r="AA472" s="323"/>
      <c r="AB472" s="363"/>
      <c r="AC472" s="363"/>
      <c r="AD472" s="316"/>
      <c r="AE472" s="316"/>
      <c r="AF472" s="323">
        <f ca="1">Table2[[#This Row],[End Date]]+2-TODAY()</f>
        <v>193</v>
      </c>
      <c r="AG472" s="316">
        <f>IF(ISBLANK(Table2[[#This Row],[Roster Received by]]),1,0)</f>
        <v>1</v>
      </c>
      <c r="AH472" s="316">
        <f ca="1">IF(Table2[[#This Row],[Start Date]]&gt;TODAY(),1,)</f>
        <v>1</v>
      </c>
      <c r="AI472" s="316">
        <f>IF(ISBLANK(Table2[[#This Row],[Primary Instructor]]),0,1)</f>
        <v>1</v>
      </c>
      <c r="AJ472" s="316">
        <f>IF(ISBLANK(Table2[[#This Row],[Instructor 2]]),0,1)</f>
        <v>0</v>
      </c>
      <c r="AK472" s="316">
        <f>Table2[[#This Row],[Course Length (Hours)]]/(SUM(Table2[[#This Row],[1]:[2]]))</f>
        <v>8</v>
      </c>
      <c r="AL472" s="638"/>
      <c r="AM472" s="316">
        <v>3</v>
      </c>
      <c r="AN472" s="363" t="str">
        <f>VLOOKUP(Table2[[#This Row],[Course Title]],'TSD-Data'!$A$1:$G$80,7,FALSE)</f>
        <v>N4</v>
      </c>
    </row>
    <row r="473" spans="2:40" s="428" customFormat="1" x14ac:dyDescent="0.25">
      <c r="B473" s="315"/>
      <c r="C473" s="364" t="s">
        <v>74</v>
      </c>
      <c r="D473" s="316" t="str">
        <f>VLOOKUP(Table2[[#This Row],[Course Title]],'TSD-Data'!$A$1:$E$80,2,FALSE)</f>
        <v>A-322-2604</v>
      </c>
      <c r="E473" s="316" t="str">
        <f>VLOOKUP(Table2[[#This Row],[Course Title]],'TSD-Data'!$A$1:$E$80,3,FALSE)</f>
        <v>10ZZ</v>
      </c>
      <c r="F473" s="315" t="s">
        <v>25</v>
      </c>
      <c r="G473" s="317">
        <v>46202</v>
      </c>
      <c r="H473" s="317">
        <v>46204</v>
      </c>
      <c r="I473" s="317" t="s">
        <v>163</v>
      </c>
      <c r="J473" s="318"/>
      <c r="K473" s="714">
        <v>0.5</v>
      </c>
      <c r="L473" s="429">
        <v>0.375</v>
      </c>
      <c r="M473" s="429">
        <v>0.79166666666666663</v>
      </c>
      <c r="N473" s="429">
        <v>0.75</v>
      </c>
      <c r="O473" s="429">
        <v>0.25</v>
      </c>
      <c r="P473" s="429">
        <v>4.1666666666666664E-2</v>
      </c>
      <c r="Q473" s="321" t="s">
        <v>431</v>
      </c>
      <c r="R473" s="321"/>
      <c r="S473" s="321"/>
      <c r="T473" s="316">
        <f>VLOOKUP(Table2[[#This Row],[Course Title]],'TSD-Data'!$A$1:$E$80,4,FALSE)</f>
        <v>45</v>
      </c>
      <c r="U473" s="316">
        <f>VLOOKUP(Table2[[#This Row],[Course Title]],'TSD-Data'!$A$1:$F$80,6,FALSE)</f>
        <v>24</v>
      </c>
      <c r="V473" s="323">
        <f>VLOOKUP(Table2[[#This Row],[Course Title]],'TSD-Data'!$A$1:$F$80,5,FALSE)</f>
        <v>3</v>
      </c>
      <c r="W473" s="323">
        <v>621</v>
      </c>
      <c r="X473" s="316"/>
      <c r="Y473" s="316"/>
      <c r="Z473" s="323"/>
      <c r="AA473" s="323"/>
      <c r="AB473" s="316"/>
      <c r="AC473" s="316"/>
      <c r="AD473" s="316"/>
      <c r="AE473" s="316"/>
      <c r="AF473" s="323">
        <f ca="1">Table2[[#This Row],[End Date]]+2-TODAY()</f>
        <v>199</v>
      </c>
      <c r="AG473" s="316">
        <f>IF(ISBLANK(Table2[[#This Row],[Roster Received by]]),1,0)</f>
        <v>1</v>
      </c>
      <c r="AH473" s="316">
        <f ca="1">IF(Table2[[#This Row],[Start Date]]&gt;TODAY(),1,)</f>
        <v>1</v>
      </c>
      <c r="AI473" s="316">
        <f>IF(ISBLANK(Table2[[#This Row],[Primary Instructor]]),0,1)</f>
        <v>1</v>
      </c>
      <c r="AJ473" s="316">
        <f>IF(ISBLANK(Table2[[#This Row],[Instructor 2]]),0,1)</f>
        <v>0</v>
      </c>
      <c r="AK473" s="316">
        <f>Table2[[#This Row],[Course Length (Hours)]]/(SUM(Table2[[#This Row],[1]:[2]]))</f>
        <v>24</v>
      </c>
      <c r="AL473" s="124"/>
      <c r="AM473" s="316">
        <v>3</v>
      </c>
      <c r="AN473" s="363" t="str">
        <f>VLOOKUP(Table2[[#This Row],[Course Title]],'TSD-Data'!$A$1:$G$80,7,FALSE)</f>
        <v>N8</v>
      </c>
    </row>
    <row r="474" spans="2:40" s="428" customFormat="1" x14ac:dyDescent="0.25">
      <c r="B474" s="364" t="s">
        <v>336</v>
      </c>
      <c r="C474" s="364" t="s">
        <v>63</v>
      </c>
      <c r="D474" s="316" t="str">
        <f>VLOOKUP(Table2[[#This Row],[Course Title]],'TSD-Data'!$A$1:$E$80,2,FALSE)</f>
        <v>A-493-0013</v>
      </c>
      <c r="E474" s="316">
        <f>VLOOKUP(Table2[[#This Row],[Course Title]],'TSD-Data'!$A$1:$E$80,3,FALSE)</f>
        <v>3683</v>
      </c>
      <c r="F474" s="315" t="s">
        <v>337</v>
      </c>
      <c r="G474" s="317">
        <v>46202</v>
      </c>
      <c r="H474" s="317">
        <v>46204</v>
      </c>
      <c r="I474" s="341" t="s">
        <v>167</v>
      </c>
      <c r="J474" s="318">
        <v>0.33333333333333331</v>
      </c>
      <c r="K474" s="318"/>
      <c r="L474" s="344"/>
      <c r="M474" s="317"/>
      <c r="N474" s="317"/>
      <c r="O474" s="317"/>
      <c r="P474" s="317"/>
      <c r="Q474" s="321" t="s">
        <v>453</v>
      </c>
      <c r="R474" s="321"/>
      <c r="S474" s="321"/>
      <c r="T474" s="316">
        <f>VLOOKUP(Table2[[#This Row],[Course Title]],'TSD-Data'!$A$1:$E$80,4,FALSE)</f>
        <v>40</v>
      </c>
      <c r="U474" s="316">
        <f>VLOOKUP(Table2[[#This Row],[Course Title]],'TSD-Data'!$A$1:$F$80,6,FALSE)</f>
        <v>24</v>
      </c>
      <c r="V474" s="323">
        <f>VLOOKUP(Table2[[#This Row],[Course Title]],'TSD-Data'!$A$1:$F$80,5,FALSE)</f>
        <v>3</v>
      </c>
      <c r="W474" s="323">
        <v>15</v>
      </c>
      <c r="X474" s="316"/>
      <c r="Y474" s="316"/>
      <c r="Z474" s="323"/>
      <c r="AA474" s="323"/>
      <c r="AB474" s="363"/>
      <c r="AC474" s="363"/>
      <c r="AD474" s="316"/>
      <c r="AE474" s="316"/>
      <c r="AF474" s="323">
        <f ca="1">Table2[[#This Row],[End Date]]+2-TODAY()</f>
        <v>199</v>
      </c>
      <c r="AG474" s="316">
        <f>IF(ISBLANK(Table2[[#This Row],[Roster Received by]]),1,0)</f>
        <v>1</v>
      </c>
      <c r="AH474" s="316">
        <f ca="1">IF(Table2[[#This Row],[Start Date]]&gt;TODAY(),1,)</f>
        <v>1</v>
      </c>
      <c r="AI474" s="316">
        <f>IF(ISBLANK(Table2[[#This Row],[Primary Instructor]]),0,1)</f>
        <v>1</v>
      </c>
      <c r="AJ474" s="316">
        <f>IF(ISBLANK(Table2[[#This Row],[Instructor 2]]),0,1)</f>
        <v>0</v>
      </c>
      <c r="AK474" s="316">
        <f>Table2[[#This Row],[Course Length (Hours)]]/(SUM(Table2[[#This Row],[1]:[2]]))</f>
        <v>24</v>
      </c>
      <c r="AL474" s="638"/>
      <c r="AM474" s="316">
        <v>3</v>
      </c>
      <c r="AN474" s="363" t="str">
        <f>VLOOKUP(Table2[[#This Row],[Course Title]],'TSD-Data'!$A$1:$G$80,7,FALSE)</f>
        <v>N4</v>
      </c>
    </row>
    <row r="475" spans="2:40" s="428" customFormat="1" x14ac:dyDescent="0.25">
      <c r="B475" s="315"/>
      <c r="C475" s="364" t="s">
        <v>100</v>
      </c>
      <c r="D475" s="316" t="str">
        <f>VLOOKUP(Table2[[#This Row],[Course Title]],'TSD-Data'!$A$1:$E$80,2,FALSE)</f>
        <v>A-493-0550</v>
      </c>
      <c r="E475" s="316" t="str">
        <f>VLOOKUP(Table2[[#This Row],[Course Title]],'TSD-Data'!$A$1:$E$80,3,FALSE)</f>
        <v>09K5</v>
      </c>
      <c r="F475" s="315" t="s">
        <v>25</v>
      </c>
      <c r="G475" s="317">
        <v>46202</v>
      </c>
      <c r="H475" s="317">
        <v>46205</v>
      </c>
      <c r="I475" s="317" t="s">
        <v>163</v>
      </c>
      <c r="J475" s="318"/>
      <c r="K475" s="345">
        <v>0.33333333333333331</v>
      </c>
      <c r="L475" s="345">
        <v>0.20833333333333334</v>
      </c>
      <c r="M475" s="345">
        <v>0.625</v>
      </c>
      <c r="N475" s="345">
        <v>0.54166666666666663</v>
      </c>
      <c r="O475" s="345">
        <v>8.3333333333333329E-2</v>
      </c>
      <c r="P475" s="345">
        <v>0.875</v>
      </c>
      <c r="Q475" s="321" t="s">
        <v>426</v>
      </c>
      <c r="R475" s="321"/>
      <c r="S475" s="321"/>
      <c r="T475" s="316">
        <f>VLOOKUP(Table2[[#This Row],[Course Title]],'TSD-Data'!$A$1:$E$80,4,FALSE)</f>
        <v>45</v>
      </c>
      <c r="U475" s="316">
        <f>VLOOKUP(Table2[[#This Row],[Course Title]],'TSD-Data'!$A$1:$F$80,6,FALSE)</f>
        <v>32</v>
      </c>
      <c r="V475" s="323">
        <f>VLOOKUP(Table2[[#This Row],[Course Title]],'TSD-Data'!$A$1:$F$80,5,FALSE)</f>
        <v>4</v>
      </c>
      <c r="W475" s="323">
        <v>455</v>
      </c>
      <c r="X475" s="316"/>
      <c r="Y475" s="316"/>
      <c r="Z475" s="323"/>
      <c r="AA475" s="323"/>
      <c r="AB475" s="316"/>
      <c r="AC475" s="316"/>
      <c r="AD475" s="316"/>
      <c r="AE475" s="316"/>
      <c r="AF475" s="323">
        <f ca="1">Table2[[#This Row],[End Date]]+2-TODAY()</f>
        <v>200</v>
      </c>
      <c r="AG475" s="316">
        <f>IF(ISBLANK(Table2[[#This Row],[Roster Received by]]),1,0)</f>
        <v>1</v>
      </c>
      <c r="AH475" s="316">
        <f ca="1">IF(Table2[[#This Row],[Start Date]]&gt;TODAY(),1,)</f>
        <v>1</v>
      </c>
      <c r="AI475" s="316">
        <f>IF(ISBLANK(Table2[[#This Row],[Primary Instructor]]),0,1)</f>
        <v>1</v>
      </c>
      <c r="AJ475" s="316">
        <f>IF(ISBLANK(Table2[[#This Row],[Instructor 2]]),0,1)</f>
        <v>0</v>
      </c>
      <c r="AK475" s="316">
        <f>Table2[[#This Row],[Course Length (Hours)]]/(SUM(Table2[[#This Row],[1]:[2]]))</f>
        <v>32</v>
      </c>
      <c r="AL475" s="124"/>
      <c r="AM475" s="316">
        <v>3</v>
      </c>
      <c r="AN475" s="363" t="str">
        <f>VLOOKUP(Table2[[#This Row],[Course Title]],'TSD-Data'!$A$1:$G$80,7,FALSE)</f>
        <v>N5</v>
      </c>
    </row>
    <row r="476" spans="2:40" s="428" customFormat="1" x14ac:dyDescent="0.25">
      <c r="B476" s="364"/>
      <c r="C476" s="364" t="s">
        <v>106</v>
      </c>
      <c r="D476" s="316" t="str">
        <f>VLOOKUP(Table2[[#This Row],[Course Title]],'TSD-Data'!$A$1:$E$80,2,FALSE)</f>
        <v>A-493-0078</v>
      </c>
      <c r="E476" s="316">
        <f>VLOOKUP(Table2[[#This Row],[Course Title]],'TSD-Data'!$A$1:$E$80,3,FALSE)</f>
        <v>1228</v>
      </c>
      <c r="F476" s="364" t="s">
        <v>25</v>
      </c>
      <c r="G476" s="317">
        <v>46202</v>
      </c>
      <c r="H476" s="317">
        <v>46205</v>
      </c>
      <c r="I476" s="317" t="s">
        <v>163</v>
      </c>
      <c r="J476" s="318"/>
      <c r="K476" s="318">
        <v>0.33333333333333331</v>
      </c>
      <c r="L476" s="318">
        <v>0.20833333333333334</v>
      </c>
      <c r="M476" s="318">
        <v>0.625</v>
      </c>
      <c r="N476" s="318">
        <v>0.54166666666666663</v>
      </c>
      <c r="O476" s="318">
        <v>8.3333333333333329E-2</v>
      </c>
      <c r="P476" s="318">
        <v>0.875</v>
      </c>
      <c r="Q476" s="321" t="s">
        <v>172</v>
      </c>
      <c r="R476" s="321"/>
      <c r="S476" s="321"/>
      <c r="T476" s="316">
        <f>VLOOKUP(Table2[[#This Row],[Course Title]],'TSD-Data'!$A$1:$E$80,4,FALSE)</f>
        <v>45</v>
      </c>
      <c r="U476" s="316">
        <f>VLOOKUP(Table2[[#This Row],[Course Title]],'TSD-Data'!$A$1:$F$80,6,FALSE)</f>
        <v>32</v>
      </c>
      <c r="V476" s="323">
        <f>VLOOKUP(Table2[[#This Row],[Course Title]],'TSD-Data'!$A$1:$F$80,5,FALSE)</f>
        <v>4</v>
      </c>
      <c r="W476" s="323">
        <v>454</v>
      </c>
      <c r="X476" s="316"/>
      <c r="Y476" s="316"/>
      <c r="Z476" s="323"/>
      <c r="AA476" s="323"/>
      <c r="AB476" s="316"/>
      <c r="AC476" s="316"/>
      <c r="AD476" s="316"/>
      <c r="AE476" s="316"/>
      <c r="AF476" s="323">
        <f ca="1">Table2[[#This Row],[End Date]]+2-TODAY()</f>
        <v>200</v>
      </c>
      <c r="AG476" s="316">
        <f>IF(ISBLANK(Table2[[#This Row],[Roster Received by]]),1,0)</f>
        <v>1</v>
      </c>
      <c r="AH476" s="316">
        <f ca="1">IF(Table2[[#This Row],[Start Date]]&gt;TODAY(),1,)</f>
        <v>1</v>
      </c>
      <c r="AI476" s="316">
        <f>IF(ISBLANK(Table2[[#This Row],[Primary Instructor]]),0,1)</f>
        <v>1</v>
      </c>
      <c r="AJ476" s="316">
        <f>IF(ISBLANK(Table2[[#This Row],[Instructor 2]]),0,1)</f>
        <v>0</v>
      </c>
      <c r="AK476" s="316">
        <f>Table2[[#This Row],[Course Length (Hours)]]/(SUM(Table2[[#This Row],[1]:[2]]))</f>
        <v>32</v>
      </c>
      <c r="AL476" s="124"/>
      <c r="AM476" s="316">
        <v>3</v>
      </c>
      <c r="AN476" s="363" t="str">
        <f>VLOOKUP(Table2[[#This Row],[Course Title]],'TSD-Data'!$A$1:$G$80,7,FALSE)</f>
        <v>N5</v>
      </c>
    </row>
    <row r="477" spans="2:40" s="428" customFormat="1" x14ac:dyDescent="0.25">
      <c r="B477" s="315" t="s">
        <v>234</v>
      </c>
      <c r="C477" s="439" t="s">
        <v>227</v>
      </c>
      <c r="D477" s="316" t="str">
        <f>VLOOKUP(Table2[[#This Row],[Course Title]],'TSD-Data'!$A$1:$E$80,2,FALSE)</f>
        <v>Function</v>
      </c>
      <c r="E477" s="316" t="str">
        <f>VLOOKUP(Table2[[#This Row],[Course Title]],'TSD-Data'!$A$1:$E$80,3,FALSE)</f>
        <v>Function</v>
      </c>
      <c r="F477" s="315" t="s">
        <v>229</v>
      </c>
      <c r="G477" s="344">
        <v>46203</v>
      </c>
      <c r="H477" s="344">
        <v>46203</v>
      </c>
      <c r="I477" s="317" t="s">
        <v>433</v>
      </c>
      <c r="J477" s="318"/>
      <c r="K477" s="318"/>
      <c r="L477" s="345"/>
      <c r="M477" s="318"/>
      <c r="N477" s="318"/>
      <c r="O477" s="318"/>
      <c r="P477" s="318"/>
      <c r="Q477" s="321" t="s">
        <v>434</v>
      </c>
      <c r="R477" s="321"/>
      <c r="S477" s="445"/>
      <c r="T477" s="316">
        <f>VLOOKUP(Table2[[#This Row],[Course Title]],'TSD-Data'!$A$1:$E$80,4,FALSE)</f>
        <v>0</v>
      </c>
      <c r="U477" s="316">
        <f>VLOOKUP(Table2[[#This Row],[Course Title]],'TSD-Data'!$A$1:$F$80,6,FALSE)</f>
        <v>0</v>
      </c>
      <c r="V477" s="323">
        <f>VLOOKUP(Table2[[#This Row],[Course Title]],'TSD-Data'!$A$1:$F$80,5,FALSE)</f>
        <v>0</v>
      </c>
      <c r="W477" s="323">
        <v>0</v>
      </c>
      <c r="X477" s="316">
        <v>0</v>
      </c>
      <c r="Y477" s="316">
        <v>0</v>
      </c>
      <c r="Z477" s="316">
        <v>0</v>
      </c>
      <c r="AA477" s="316">
        <v>0</v>
      </c>
      <c r="AB477" s="316">
        <v>0</v>
      </c>
      <c r="AC477" s="316">
        <v>0</v>
      </c>
      <c r="AD477" s="316">
        <v>0</v>
      </c>
      <c r="AE477" s="316" t="s">
        <v>435</v>
      </c>
      <c r="AF477" s="323">
        <f ca="1">Table2[[#This Row],[End Date]]+2-TODAY()</f>
        <v>198</v>
      </c>
      <c r="AG477" s="316">
        <f>IF(ISBLANK(Table2[[#This Row],[Roster Received by]]),1,0)</f>
        <v>0</v>
      </c>
      <c r="AH477" s="316">
        <f ca="1">IF(Table2[[#This Row],[Start Date]]&gt;TODAY(),1,)</f>
        <v>1</v>
      </c>
      <c r="AI477" s="316">
        <f>IF(ISBLANK(Table2[[#This Row],[Primary Instructor]]),0,1)</f>
        <v>1</v>
      </c>
      <c r="AJ477" s="316">
        <f>IF(ISBLANK(Table2[[#This Row],[Instructor 2]]),0,1)</f>
        <v>0</v>
      </c>
      <c r="AK477" s="316">
        <f>Table2[[#This Row],[Course Length (Hours)]]/(SUM(Table2[[#This Row],[1]:[2]]))</f>
        <v>0</v>
      </c>
      <c r="AL477" s="124">
        <f>Table2[[#This Row],[Quotas]]-Table2[[#This Row],[Registered]]</f>
        <v>0</v>
      </c>
      <c r="AM477" s="316">
        <v>3</v>
      </c>
      <c r="AN477" s="363" t="str">
        <f>VLOOKUP(Table2[[#This Row],[Course Title]],'TSD-Data'!$A$1:$G$80,7,FALSE)</f>
        <v>TSD</v>
      </c>
    </row>
    <row r="478" spans="2:40" s="428" customFormat="1" x14ac:dyDescent="0.25">
      <c r="B478" s="364" t="s">
        <v>247</v>
      </c>
      <c r="C478" s="364" t="s">
        <v>238</v>
      </c>
      <c r="D478" s="316" t="str">
        <f>VLOOKUP(Table2[[#This Row],[Course Title]],'TSD-Data'!$A$1:$E$80,2,FALSE)</f>
        <v>Holiday</v>
      </c>
      <c r="E478" s="316" t="str">
        <f>VLOOKUP(Table2[[#This Row],[Course Title]],'TSD-Data'!$A$1:$E$80,3,FALSE)</f>
        <v>Holiday</v>
      </c>
      <c r="F478" s="315" t="s">
        <v>238</v>
      </c>
      <c r="G478" s="317">
        <v>46206</v>
      </c>
      <c r="H478" s="317">
        <v>46206</v>
      </c>
      <c r="I478" s="317" t="s">
        <v>433</v>
      </c>
      <c r="J478" s="318"/>
      <c r="K478" s="318"/>
      <c r="L478" s="317"/>
      <c r="M478" s="317"/>
      <c r="N478" s="317"/>
      <c r="O478" s="317"/>
      <c r="P478" s="317"/>
      <c r="Q478" s="321" t="s">
        <v>434</v>
      </c>
      <c r="R478" s="321"/>
      <c r="S478" s="445"/>
      <c r="T478" s="316">
        <f>VLOOKUP(Table2[[#This Row],[Course Title]],'TSD-Data'!$A$1:$E$80,4,FALSE)</f>
        <v>0</v>
      </c>
      <c r="U478" s="316">
        <f>VLOOKUP(Table2[[#This Row],[Course Title]],'TSD-Data'!$A$1:$F$80,6,FALSE)</f>
        <v>0</v>
      </c>
      <c r="V478" s="323">
        <f>VLOOKUP(Table2[[#This Row],[Course Title]],'TSD-Data'!$A$1:$F$80,5,FALSE)</f>
        <v>0</v>
      </c>
      <c r="W478" s="323">
        <v>0</v>
      </c>
      <c r="X478" s="316">
        <v>0</v>
      </c>
      <c r="Y478" s="316">
        <v>0</v>
      </c>
      <c r="Z478" s="316">
        <v>0</v>
      </c>
      <c r="AA478" s="316">
        <v>0</v>
      </c>
      <c r="AB478" s="316">
        <v>0</v>
      </c>
      <c r="AC478" s="316">
        <v>0</v>
      </c>
      <c r="AD478" s="316">
        <v>0</v>
      </c>
      <c r="AE478" s="316" t="s">
        <v>435</v>
      </c>
      <c r="AF478" s="323">
        <f ca="1">Table2[[#This Row],[End Date]]+2-TODAY()</f>
        <v>201</v>
      </c>
      <c r="AG478" s="316">
        <f>IF(ISBLANK(Table2[[#This Row],[Roster Received by]]),1,0)</f>
        <v>0</v>
      </c>
      <c r="AH478" s="316">
        <f ca="1">IF(Table2[[#This Row],[Start Date]]&gt;TODAY(),1,)</f>
        <v>1</v>
      </c>
      <c r="AI478" s="316">
        <f>IF(ISBLANK(Table2[[#This Row],[Primary Instructor]]),0,1)</f>
        <v>1</v>
      </c>
      <c r="AJ478" s="316">
        <f>IF(ISBLANK(Table2[[#This Row],[Instructor 2]]),0,1)</f>
        <v>0</v>
      </c>
      <c r="AK478" s="316">
        <f>Table2[[#This Row],[Course Length (Hours)]]/(SUM(Table2[[#This Row],[1]:[2]]))</f>
        <v>0</v>
      </c>
      <c r="AL478" s="124"/>
      <c r="AM478" s="444">
        <v>4</v>
      </c>
      <c r="AN478" s="363" t="str">
        <f>VLOOKUP(Table2[[#This Row],[Course Title]],'TSD-Data'!$A$1:$G$80,7,FALSE)</f>
        <v>TSD</v>
      </c>
    </row>
    <row r="479" spans="2:40" s="428" customFormat="1" x14ac:dyDescent="0.25">
      <c r="B479" s="364"/>
      <c r="C479" s="364" t="s">
        <v>44</v>
      </c>
      <c r="D479" s="316" t="str">
        <f>VLOOKUP(Table2[[#This Row],[Course Title]],'TSD-Data'!$A$1:$E$80,2,FALSE)</f>
        <v>A-493-0665</v>
      </c>
      <c r="E479" s="316" t="str">
        <f>VLOOKUP(Table2[[#This Row],[Course Title]],'TSD-Data'!$A$1:$E$80,3,FALSE)</f>
        <v>10KW</v>
      </c>
      <c r="F479" s="315" t="s">
        <v>25</v>
      </c>
      <c r="G479" s="344">
        <v>46209</v>
      </c>
      <c r="H479" s="344">
        <v>46211</v>
      </c>
      <c r="I479" s="317" t="s">
        <v>163</v>
      </c>
      <c r="J479" s="318"/>
      <c r="K479" s="345">
        <v>0.5</v>
      </c>
      <c r="L479" s="429">
        <v>0.375</v>
      </c>
      <c r="M479" s="431">
        <v>0.79166666666666663</v>
      </c>
      <c r="N479" s="431">
        <v>0.75</v>
      </c>
      <c r="O479" s="431">
        <v>0.25</v>
      </c>
      <c r="P479" s="431">
        <v>4.1666666666666664E-2</v>
      </c>
      <c r="Q479" s="321" t="s">
        <v>444</v>
      </c>
      <c r="R479" s="321"/>
      <c r="S479" s="321"/>
      <c r="T479" s="316">
        <f>VLOOKUP(Table2[[#This Row],[Course Title]],'TSD-Data'!$A$1:$E$80,4,FALSE)</f>
        <v>45</v>
      </c>
      <c r="U479" s="316">
        <f>VLOOKUP(Table2[[#This Row],[Course Title]],'TSD-Data'!$A$1:$F$80,6,FALSE)</f>
        <v>24</v>
      </c>
      <c r="V479" s="323">
        <f>VLOOKUP(Table2[[#This Row],[Course Title]],'TSD-Data'!$A$1:$F$80,5,FALSE)</f>
        <v>3</v>
      </c>
      <c r="W479" s="323">
        <v>337</v>
      </c>
      <c r="X479" s="316"/>
      <c r="Y479" s="316"/>
      <c r="Z479" s="323"/>
      <c r="AA479" s="323"/>
      <c r="AB479" s="316"/>
      <c r="AC479" s="316"/>
      <c r="AD479" s="316"/>
      <c r="AE479" s="316"/>
      <c r="AF479" s="323">
        <f ca="1">Table2[[#This Row],[End Date]]+2-TODAY()</f>
        <v>206</v>
      </c>
      <c r="AG479" s="316">
        <f>IF(ISBLANK(Table2[[#This Row],[Roster Received by]]),1,0)</f>
        <v>1</v>
      </c>
      <c r="AH479" s="316">
        <f ca="1">IF(Table2[[#This Row],[Start Date]]&gt;TODAY(),1,)</f>
        <v>1</v>
      </c>
      <c r="AI479" s="316">
        <f>IF(ISBLANK(Table2[[#This Row],[Primary Instructor]]),0,1)</f>
        <v>1</v>
      </c>
      <c r="AJ479" s="316">
        <f>IF(ISBLANK(Table2[[#This Row],[Instructor 2]]),0,1)</f>
        <v>0</v>
      </c>
      <c r="AK479" s="316">
        <f>Table2[[#This Row],[Course Length (Hours)]]/(SUM(Table2[[#This Row],[1]:[2]]))</f>
        <v>24</v>
      </c>
      <c r="AL479" s="124"/>
      <c r="AM479" s="444">
        <v>4</v>
      </c>
      <c r="AN479" s="363" t="str">
        <f>VLOOKUP(Table2[[#This Row],[Course Title]],'TSD-Data'!$A$1:$G$80,7,FALSE)</f>
        <v>N8</v>
      </c>
    </row>
    <row r="480" spans="2:40" s="428" customFormat="1" x14ac:dyDescent="0.25">
      <c r="B480" s="682"/>
      <c r="C480" s="315" t="s">
        <v>110</v>
      </c>
      <c r="D480" s="316" t="str">
        <f>VLOOKUP(Table2[[#This Row],[Course Title]],'TSD-Data'!$A$1:$E$80,2,FALSE)</f>
        <v>A-493-2501</v>
      </c>
      <c r="E480" s="316" t="str">
        <f>VLOOKUP(Table2[[#This Row],[Course Title]],'TSD-Data'!$A$1:$E$80,3,FALSE)</f>
        <v>05ZE</v>
      </c>
      <c r="F480" s="315" t="s">
        <v>293</v>
      </c>
      <c r="G480" s="317">
        <v>46209</v>
      </c>
      <c r="H480" s="317">
        <v>46209</v>
      </c>
      <c r="I480" s="341" t="s">
        <v>167</v>
      </c>
      <c r="J480" s="318">
        <v>0.33333333333333331</v>
      </c>
      <c r="K480" s="318"/>
      <c r="L480" s="317"/>
      <c r="M480" s="317"/>
      <c r="N480" s="317"/>
      <c r="O480" s="317"/>
      <c r="P480" s="317"/>
      <c r="Q480" s="321" t="s">
        <v>168</v>
      </c>
      <c r="R480" s="321"/>
      <c r="S480" s="321"/>
      <c r="T480" s="316">
        <f>VLOOKUP(Table2[[#This Row],[Course Title]],'TSD-Data'!$A$1:$E$80,4,FALSE)</f>
        <v>30</v>
      </c>
      <c r="U480" s="316">
        <f>VLOOKUP(Table2[[#This Row],[Course Title]],'TSD-Data'!$A$1:$F$80,6,FALSE)</f>
        <v>8</v>
      </c>
      <c r="V480" s="323">
        <f>VLOOKUP(Table2[[#This Row],[Course Title]],'TSD-Data'!$A$1:$F$80,5,FALSE)</f>
        <v>1</v>
      </c>
      <c r="W480" s="323">
        <v>54</v>
      </c>
      <c r="X480" s="316"/>
      <c r="Y480" s="316"/>
      <c r="Z480" s="323"/>
      <c r="AA480" s="323"/>
      <c r="AB480" s="363"/>
      <c r="AC480" s="363"/>
      <c r="AD480" s="316"/>
      <c r="AE480" s="316"/>
      <c r="AF480" s="323">
        <f ca="1">Table2[[#This Row],[End Date]]+2-TODAY()</f>
        <v>204</v>
      </c>
      <c r="AG480" s="316">
        <f>IF(ISBLANK(Table2[[#This Row],[Roster Received by]]),1,0)</f>
        <v>1</v>
      </c>
      <c r="AH480" s="316">
        <f ca="1">IF(Table2[[#This Row],[Start Date]]&gt;TODAY(),1,)</f>
        <v>1</v>
      </c>
      <c r="AI480" s="316">
        <f>IF(ISBLANK(Table2[[#This Row],[Primary Instructor]]),0,1)</f>
        <v>1</v>
      </c>
      <c r="AJ480" s="316">
        <f>IF(ISBLANK(Table2[[#This Row],[Instructor 2]]),0,1)</f>
        <v>0</v>
      </c>
      <c r="AK480" s="316">
        <f>Table2[[#This Row],[Course Length (Hours)]]/(SUM(Table2[[#This Row],[1]:[2]]))</f>
        <v>8</v>
      </c>
      <c r="AL480" s="638"/>
      <c r="AM480" s="444">
        <v>4</v>
      </c>
      <c r="AN480" s="363" t="str">
        <f>VLOOKUP(Table2[[#This Row],[Course Title]],'TSD-Data'!$A$1:$G$80,7,FALSE)</f>
        <v>N4</v>
      </c>
    </row>
    <row r="481" spans="2:40" s="428" customFormat="1" x14ac:dyDescent="0.25">
      <c r="B481" s="315"/>
      <c r="C481" s="364" t="s">
        <v>113</v>
      </c>
      <c r="D481" s="316" t="str">
        <f>VLOOKUP(Table2[[#This Row],[Course Title]],'TSD-Data'!$A$1:$E$80,2,FALSE)</f>
        <v>A-570-0100</v>
      </c>
      <c r="E481" s="316" t="str">
        <f>VLOOKUP(Table2[[#This Row],[Course Title]],'TSD-Data'!$A$1:$E$80,3,FALSE)</f>
        <v>18B7</v>
      </c>
      <c r="F481" s="315" t="s">
        <v>25</v>
      </c>
      <c r="G481" s="317">
        <v>46209</v>
      </c>
      <c r="H481" s="317">
        <v>46210</v>
      </c>
      <c r="I481" s="317" t="s">
        <v>163</v>
      </c>
      <c r="J481" s="318"/>
      <c r="K481" s="345">
        <v>0.33333333333333331</v>
      </c>
      <c r="L481" s="345">
        <v>0.20833333333333334</v>
      </c>
      <c r="M481" s="345">
        <v>0.625</v>
      </c>
      <c r="N481" s="345">
        <v>0.54166666666666663</v>
      </c>
      <c r="O481" s="345">
        <v>8.3333333333333329E-2</v>
      </c>
      <c r="P481" s="345">
        <v>0.875</v>
      </c>
      <c r="Q481" s="321" t="s">
        <v>431</v>
      </c>
      <c r="R481" s="321"/>
      <c r="S481" s="321"/>
      <c r="T481" s="316">
        <f>VLOOKUP(Table2[[#This Row],[Course Title]],'TSD-Data'!$A$1:$E$80,4,FALSE)</f>
        <v>45</v>
      </c>
      <c r="U481" s="316">
        <f>VLOOKUP(Table2[[#This Row],[Course Title]],'TSD-Data'!$A$1:$F$80,6,FALSE)</f>
        <v>16</v>
      </c>
      <c r="V481" s="323">
        <f>VLOOKUP(Table2[[#This Row],[Course Title]],'TSD-Data'!$A$1:$F$80,5,FALSE)</f>
        <v>2</v>
      </c>
      <c r="W481" s="323">
        <v>326</v>
      </c>
      <c r="X481" s="316"/>
      <c r="Y481" s="316"/>
      <c r="Z481" s="323"/>
      <c r="AA481" s="323"/>
      <c r="AB481" s="316"/>
      <c r="AC481" s="316"/>
      <c r="AD481" s="316"/>
      <c r="AE481" s="316"/>
      <c r="AF481" s="323">
        <f ca="1">Table2[[#This Row],[End Date]]+2-TODAY()</f>
        <v>205</v>
      </c>
      <c r="AG481" s="316">
        <f>IF(ISBLANK(Table2[[#This Row],[Roster Received by]]),1,0)</f>
        <v>1</v>
      </c>
      <c r="AH481" s="316">
        <f ca="1">IF(Table2[[#This Row],[Start Date]]&gt;TODAY(),1,)</f>
        <v>1</v>
      </c>
      <c r="AI481" s="316">
        <f>IF(ISBLANK(Table2[[#This Row],[Primary Instructor]]),0,1)</f>
        <v>1</v>
      </c>
      <c r="AJ481" s="316">
        <f>IF(ISBLANK(Table2[[#This Row],[Instructor 2]]),0,1)</f>
        <v>0</v>
      </c>
      <c r="AK481" s="316">
        <f>Table2[[#This Row],[Course Length (Hours)]]/(SUM(Table2[[#This Row],[1]:[2]]))</f>
        <v>16</v>
      </c>
      <c r="AL481" s="124"/>
      <c r="AM481" s="444">
        <v>4</v>
      </c>
      <c r="AN481" s="363" t="str">
        <f>VLOOKUP(Table2[[#This Row],[Course Title]],'TSD-Data'!$A$1:$G$80,7,FALSE)</f>
        <v>N8</v>
      </c>
    </row>
    <row r="482" spans="2:40" s="428" customFormat="1" x14ac:dyDescent="0.25">
      <c r="B482" s="315" t="s">
        <v>500</v>
      </c>
      <c r="C482" s="364" t="s">
        <v>63</v>
      </c>
      <c r="D482" s="316" t="str">
        <f>VLOOKUP(Table2[[#This Row],[Course Title]],'TSD-Data'!$A$1:$E$80,2,FALSE)</f>
        <v>A-493-0013</v>
      </c>
      <c r="E482" s="316">
        <f>VLOOKUP(Table2[[#This Row],[Course Title]],'TSD-Data'!$A$1:$E$80,3,FALSE)</f>
        <v>3683</v>
      </c>
      <c r="F482" s="315" t="s">
        <v>278</v>
      </c>
      <c r="G482" s="317">
        <v>46210</v>
      </c>
      <c r="H482" s="317">
        <v>46212</v>
      </c>
      <c r="I482" s="341" t="s">
        <v>167</v>
      </c>
      <c r="J482" s="318">
        <v>0.33333333333333331</v>
      </c>
      <c r="K482" s="318"/>
      <c r="L482" s="344"/>
      <c r="M482" s="317"/>
      <c r="N482" s="317"/>
      <c r="O482" s="317"/>
      <c r="P482" s="317"/>
      <c r="Q482" s="321" t="s">
        <v>447</v>
      </c>
      <c r="R482" s="321"/>
      <c r="S482" s="321"/>
      <c r="T482" s="316">
        <f>VLOOKUP(Table2[[#This Row],[Course Title]],'TSD-Data'!$A$1:$E$80,4,FALSE)</f>
        <v>40</v>
      </c>
      <c r="U482" s="316">
        <f>VLOOKUP(Table2[[#This Row],[Course Title]],'TSD-Data'!$A$1:$F$80,6,FALSE)</f>
        <v>24</v>
      </c>
      <c r="V482" s="323">
        <f>VLOOKUP(Table2[[#This Row],[Course Title]],'TSD-Data'!$A$1:$F$80,5,FALSE)</f>
        <v>3</v>
      </c>
      <c r="W482" s="323">
        <v>30</v>
      </c>
      <c r="X482" s="316"/>
      <c r="Y482" s="316"/>
      <c r="Z482" s="323"/>
      <c r="AA482" s="323"/>
      <c r="AB482" s="363"/>
      <c r="AC482" s="363"/>
      <c r="AD482" s="316"/>
      <c r="AE482" s="316"/>
      <c r="AF482" s="323">
        <f ca="1">Table2[[#This Row],[End Date]]+2-TODAY()</f>
        <v>207</v>
      </c>
      <c r="AG482" s="316">
        <f>IF(ISBLANK(Table2[[#This Row],[Roster Received by]]),1,0)</f>
        <v>1</v>
      </c>
      <c r="AH482" s="316">
        <f ca="1">IF(Table2[[#This Row],[Start Date]]&gt;TODAY(),1,)</f>
        <v>1</v>
      </c>
      <c r="AI482" s="316">
        <f>IF(ISBLANK(Table2[[#This Row],[Primary Instructor]]),0,1)</f>
        <v>1</v>
      </c>
      <c r="AJ482" s="316">
        <f>IF(ISBLANK(Table2[[#This Row],[Instructor 2]]),0,1)</f>
        <v>0</v>
      </c>
      <c r="AK482" s="316">
        <f>Table2[[#This Row],[Course Length (Hours)]]/(SUM(Table2[[#This Row],[1]:[2]]))</f>
        <v>24</v>
      </c>
      <c r="AL482" s="638"/>
      <c r="AM482" s="444">
        <v>4</v>
      </c>
      <c r="AN482" s="363" t="str">
        <f>VLOOKUP(Table2[[#This Row],[Course Title]],'TSD-Data'!$A$1:$G$80,7,FALSE)</f>
        <v>N4</v>
      </c>
    </row>
    <row r="483" spans="2:40" s="428" customFormat="1" x14ac:dyDescent="0.25">
      <c r="B483" s="315"/>
      <c r="C483" s="315" t="s">
        <v>77</v>
      </c>
      <c r="D483" s="316" t="str">
        <f>VLOOKUP(Table2[[#This Row],[Course Title]],'TSD-Data'!$A$1:$E$80,2,FALSE)</f>
        <v>A-493-0077</v>
      </c>
      <c r="E483" s="316" t="str">
        <f>VLOOKUP(Table2[[#This Row],[Course Title]],'TSD-Data'!$A$1:$E$80,3,FALSE)</f>
        <v>0381</v>
      </c>
      <c r="F483" s="315" t="s">
        <v>307</v>
      </c>
      <c r="G483" s="317">
        <v>46210</v>
      </c>
      <c r="H483" s="317">
        <v>46212</v>
      </c>
      <c r="I483" s="341" t="s">
        <v>167</v>
      </c>
      <c r="J483" s="318">
        <v>0.33333333333333331</v>
      </c>
      <c r="K483" s="318"/>
      <c r="L483" s="317"/>
      <c r="M483" s="317"/>
      <c r="N483" s="317"/>
      <c r="O483" s="317"/>
      <c r="P483" s="317"/>
      <c r="Q483" s="321" t="s">
        <v>168</v>
      </c>
      <c r="R483" s="321"/>
      <c r="S483" s="321"/>
      <c r="T483" s="316">
        <f>VLOOKUP(Table2[[#This Row],[Course Title]],'TSD-Data'!$A$1:$E$80,4,FALSE)</f>
        <v>25</v>
      </c>
      <c r="U483" s="316">
        <f>VLOOKUP(Table2[[#This Row],[Course Title]],'TSD-Data'!$A$1:$F$80,6,FALSE)</f>
        <v>24</v>
      </c>
      <c r="V483" s="323">
        <f>VLOOKUP(Table2[[#This Row],[Course Title]],'TSD-Data'!$A$1:$F$80,5,FALSE)</f>
        <v>3</v>
      </c>
      <c r="W483" s="323">
        <v>25</v>
      </c>
      <c r="X483" s="316"/>
      <c r="Y483" s="316"/>
      <c r="Z483" s="323"/>
      <c r="AA483" s="323"/>
      <c r="AB483" s="363"/>
      <c r="AC483" s="363"/>
      <c r="AD483" s="316"/>
      <c r="AE483" s="316"/>
      <c r="AF483" s="323">
        <f ca="1">Table2[[#This Row],[End Date]]+2-TODAY()</f>
        <v>207</v>
      </c>
      <c r="AG483" s="316">
        <f>IF(ISBLANK(Table2[[#This Row],[Roster Received by]]),1,0)</f>
        <v>1</v>
      </c>
      <c r="AH483" s="316">
        <f ca="1">IF(Table2[[#This Row],[Start Date]]&gt;TODAY(),1,)</f>
        <v>1</v>
      </c>
      <c r="AI483" s="316">
        <f>IF(ISBLANK(Table2[[#This Row],[Primary Instructor]]),0,1)</f>
        <v>1</v>
      </c>
      <c r="AJ483" s="316">
        <f>IF(ISBLANK(Table2[[#This Row],[Instructor 2]]),0,1)</f>
        <v>0</v>
      </c>
      <c r="AK483" s="316">
        <f>Table2[[#This Row],[Course Length (Hours)]]/(SUM(Table2[[#This Row],[1]:[2]]))</f>
        <v>24</v>
      </c>
      <c r="AL483" s="638"/>
      <c r="AM483" s="444">
        <v>4</v>
      </c>
      <c r="AN483" s="363" t="str">
        <f>VLOOKUP(Table2[[#This Row],[Course Title]],'TSD-Data'!$A$1:$G$80,7,FALSE)</f>
        <v>N4</v>
      </c>
    </row>
    <row r="484" spans="2:40" s="428" customFormat="1" x14ac:dyDescent="0.25">
      <c r="B484" s="315"/>
      <c r="C484" s="439" t="s">
        <v>94</v>
      </c>
      <c r="D484" s="421" t="str">
        <f>VLOOKUP(Table2[[#This Row],[Course Title]],'TSD-Data'!$A$1:$E$80,2,FALSE)</f>
        <v>A-493-0331</v>
      </c>
      <c r="E484" s="421" t="str">
        <f>VLOOKUP(Table2[[#This Row],[Course Title]],'TSD-Data'!$A$1:$E$80,3,FALSE)</f>
        <v>10UG</v>
      </c>
      <c r="F484" s="364" t="s">
        <v>25</v>
      </c>
      <c r="G484" s="344">
        <v>46210</v>
      </c>
      <c r="H484" s="344">
        <v>46212</v>
      </c>
      <c r="I484" s="317" t="s">
        <v>163</v>
      </c>
      <c r="J484" s="318"/>
      <c r="K484" s="318">
        <v>0.5</v>
      </c>
      <c r="L484" s="431">
        <v>0.375</v>
      </c>
      <c r="M484" s="431">
        <v>0.79166666666666663</v>
      </c>
      <c r="N484" s="431">
        <v>0.75</v>
      </c>
      <c r="O484" s="431">
        <v>0.25</v>
      </c>
      <c r="P484" s="431">
        <v>4.1666666666666664E-2</v>
      </c>
      <c r="Q484" s="321" t="s">
        <v>436</v>
      </c>
      <c r="R484" s="321"/>
      <c r="S484" s="321"/>
      <c r="T484" s="316">
        <f>VLOOKUP(Table2[[#This Row],[Course Title]],'TSD-Data'!$A$1:$E$80,4,FALSE)</f>
        <v>45</v>
      </c>
      <c r="U484" s="316">
        <f>VLOOKUP(Table2[[#This Row],[Course Title]],'TSD-Data'!$A$1:$F$80,6,FALSE)</f>
        <v>24</v>
      </c>
      <c r="V484" s="323">
        <f>VLOOKUP(Table2[[#This Row],[Course Title]],'TSD-Data'!$A$1:$F$80,5,FALSE)</f>
        <v>3</v>
      </c>
      <c r="W484" s="323">
        <v>844</v>
      </c>
      <c r="X484" s="316"/>
      <c r="Y484" s="316"/>
      <c r="Z484" s="323"/>
      <c r="AA484" s="323"/>
      <c r="AB484" s="316"/>
      <c r="AC484" s="316"/>
      <c r="AD484" s="316"/>
      <c r="AE484" s="316"/>
      <c r="AF484" s="323">
        <f ca="1">Table2[[#This Row],[End Date]]+2-TODAY()</f>
        <v>207</v>
      </c>
      <c r="AG484" s="316">
        <f>IF(ISBLANK(Table2[[#This Row],[Roster Received by]]),1,0)</f>
        <v>1</v>
      </c>
      <c r="AH484" s="316">
        <f ca="1">IF(Table2[[#This Row],[Start Date]]&gt;TODAY(),1,)</f>
        <v>1</v>
      </c>
      <c r="AI484" s="316">
        <f>IF(ISBLANK(Table2[[#This Row],[Primary Instructor]]),0,1)</f>
        <v>1</v>
      </c>
      <c r="AJ484" s="316">
        <f>IF(ISBLANK(Table2[[#This Row],[Instructor 2]]),0,1)</f>
        <v>0</v>
      </c>
      <c r="AK484" s="316">
        <f>Table2[[#This Row],[Course Length (Hours)]]/(SUM(Table2[[#This Row],[1]:[2]]))</f>
        <v>24</v>
      </c>
      <c r="AL484" s="124"/>
      <c r="AM484" s="444">
        <v>4</v>
      </c>
      <c r="AN484" s="363" t="str">
        <f>VLOOKUP(Table2[[#This Row],[Course Title]],'TSD-Data'!$A$1:$G$80,7,FALSE)</f>
        <v>N3</v>
      </c>
    </row>
    <row r="485" spans="2:40" s="428" customFormat="1" x14ac:dyDescent="0.25">
      <c r="B485" s="315"/>
      <c r="C485" s="315" t="s">
        <v>110</v>
      </c>
      <c r="D485" s="316" t="str">
        <f>VLOOKUP(Table2[[#This Row],[Course Title]],'TSD-Data'!$A$1:$E$80,2,FALSE)</f>
        <v>A-493-2501</v>
      </c>
      <c r="E485" s="316" t="str">
        <f>VLOOKUP(Table2[[#This Row],[Course Title]],'TSD-Data'!$A$1:$E$80,3,FALSE)</f>
        <v>05ZE</v>
      </c>
      <c r="F485" s="315" t="s">
        <v>266</v>
      </c>
      <c r="G485" s="317">
        <v>46210</v>
      </c>
      <c r="H485" s="317">
        <v>46210</v>
      </c>
      <c r="I485" s="341" t="s">
        <v>167</v>
      </c>
      <c r="J485" s="318">
        <v>0.33333333333333331</v>
      </c>
      <c r="K485" s="318"/>
      <c r="L485" s="344"/>
      <c r="M485" s="317"/>
      <c r="N485" s="317"/>
      <c r="O485" s="317"/>
      <c r="P485" s="317"/>
      <c r="Q485" s="321" t="s">
        <v>168</v>
      </c>
      <c r="R485" s="321"/>
      <c r="S485" s="321"/>
      <c r="T485" s="316">
        <f>VLOOKUP(Table2[[#This Row],[Course Title]],'TSD-Data'!$A$1:$E$80,4,FALSE)</f>
        <v>30</v>
      </c>
      <c r="U485" s="316">
        <f>VLOOKUP(Table2[[#This Row],[Course Title]],'TSD-Data'!$A$1:$F$80,6,FALSE)</f>
        <v>8</v>
      </c>
      <c r="V485" s="323">
        <f>VLOOKUP(Table2[[#This Row],[Course Title]],'TSD-Data'!$A$1:$F$80,5,FALSE)</f>
        <v>1</v>
      </c>
      <c r="W485" s="323">
        <v>31</v>
      </c>
      <c r="X485" s="316"/>
      <c r="Y485" s="316"/>
      <c r="Z485" s="323"/>
      <c r="AA485" s="323"/>
      <c r="AB485" s="363"/>
      <c r="AC485" s="363"/>
      <c r="AD485" s="316"/>
      <c r="AE485" s="316"/>
      <c r="AF485" s="323">
        <f ca="1">Table2[[#This Row],[End Date]]+2-TODAY()</f>
        <v>205</v>
      </c>
      <c r="AG485" s="316">
        <f>IF(ISBLANK(Table2[[#This Row],[Roster Received by]]),1,0)</f>
        <v>1</v>
      </c>
      <c r="AH485" s="316">
        <f ca="1">IF(Table2[[#This Row],[Start Date]]&gt;TODAY(),1,)</f>
        <v>1</v>
      </c>
      <c r="AI485" s="316">
        <f>IF(ISBLANK(Table2[[#This Row],[Primary Instructor]]),0,1)</f>
        <v>1</v>
      </c>
      <c r="AJ485" s="316">
        <f>IF(ISBLANK(Table2[[#This Row],[Instructor 2]]),0,1)</f>
        <v>0</v>
      </c>
      <c r="AK485" s="316">
        <f>Table2[[#This Row],[Course Length (Hours)]]/(SUM(Table2[[#This Row],[1]:[2]]))</f>
        <v>8</v>
      </c>
      <c r="AL485" s="638"/>
      <c r="AM485" s="444">
        <v>4</v>
      </c>
      <c r="AN485" s="363" t="str">
        <f>VLOOKUP(Table2[[#This Row],[Course Title]],'TSD-Data'!$A$1:$G$80,7,FALSE)</f>
        <v>N4</v>
      </c>
    </row>
    <row r="486" spans="2:40" s="428" customFormat="1" x14ac:dyDescent="0.25">
      <c r="B486" s="315"/>
      <c r="C486" s="364" t="s">
        <v>100</v>
      </c>
      <c r="D486" s="316" t="str">
        <f>VLOOKUP(Table2[[#This Row],[Course Title]],'TSD-Data'!$A$1:$E$80,2,FALSE)</f>
        <v>A-493-0550</v>
      </c>
      <c r="E486" s="316" t="str">
        <f>VLOOKUP(Table2[[#This Row],[Course Title]],'TSD-Data'!$A$1:$E$80,3,FALSE)</f>
        <v>09K5</v>
      </c>
      <c r="F486" s="315" t="s">
        <v>25</v>
      </c>
      <c r="G486" s="317">
        <v>46210</v>
      </c>
      <c r="H486" s="317">
        <v>46213</v>
      </c>
      <c r="I486" s="317" t="s">
        <v>163</v>
      </c>
      <c r="J486" s="318"/>
      <c r="K486" s="345">
        <v>0.5</v>
      </c>
      <c r="L486" s="429">
        <v>0.375</v>
      </c>
      <c r="M486" s="429">
        <v>0.79166666666666663</v>
      </c>
      <c r="N486" s="429">
        <v>0.75</v>
      </c>
      <c r="O486" s="429">
        <v>0.25</v>
      </c>
      <c r="P486" s="429">
        <v>4.1666666666666664E-2</v>
      </c>
      <c r="Q486" s="321" t="s">
        <v>426</v>
      </c>
      <c r="R486" s="321"/>
      <c r="S486" s="321"/>
      <c r="T486" s="316">
        <f>VLOOKUP(Table2[[#This Row],[Course Title]],'TSD-Data'!$A$1:$E$80,4,FALSE)</f>
        <v>45</v>
      </c>
      <c r="U486" s="316">
        <f>VLOOKUP(Table2[[#This Row],[Course Title]],'TSD-Data'!$A$1:$F$80,6,FALSE)</f>
        <v>32</v>
      </c>
      <c r="V486" s="323">
        <f>VLOOKUP(Table2[[#This Row],[Course Title]],'TSD-Data'!$A$1:$F$80,5,FALSE)</f>
        <v>4</v>
      </c>
      <c r="W486" s="323">
        <v>864</v>
      </c>
      <c r="X486" s="316"/>
      <c r="Y486" s="316"/>
      <c r="Z486" s="323"/>
      <c r="AA486" s="323"/>
      <c r="AB486" s="316"/>
      <c r="AC486" s="316"/>
      <c r="AD486" s="316"/>
      <c r="AE486" s="316"/>
      <c r="AF486" s="323">
        <f ca="1">Table2[[#This Row],[End Date]]+2-TODAY()</f>
        <v>208</v>
      </c>
      <c r="AG486" s="316">
        <f>IF(ISBLANK(Table2[[#This Row],[Roster Received by]]),1,0)</f>
        <v>1</v>
      </c>
      <c r="AH486" s="316">
        <f ca="1">IF(Table2[[#This Row],[Start Date]]&gt;TODAY(),1,)</f>
        <v>1</v>
      </c>
      <c r="AI486" s="316">
        <f>IF(ISBLANK(Table2[[#This Row],[Primary Instructor]]),0,1)</f>
        <v>1</v>
      </c>
      <c r="AJ486" s="316">
        <f>IF(ISBLANK(Table2[[#This Row],[Instructor 2]]),0,1)</f>
        <v>0</v>
      </c>
      <c r="AK486" s="316">
        <f>Table2[[#This Row],[Course Length (Hours)]]/(SUM(Table2[[#This Row],[1]:[2]]))</f>
        <v>32</v>
      </c>
      <c r="AL486" s="124"/>
      <c r="AM486" s="444">
        <v>4</v>
      </c>
      <c r="AN486" s="363" t="str">
        <f>VLOOKUP(Table2[[#This Row],[Course Title]],'TSD-Data'!$A$1:$G$80,7,FALSE)</f>
        <v>N5</v>
      </c>
    </row>
    <row r="487" spans="2:40" s="428" customFormat="1" x14ac:dyDescent="0.25">
      <c r="B487" s="315"/>
      <c r="C487" s="364" t="s">
        <v>65</v>
      </c>
      <c r="D487" s="316" t="str">
        <f>VLOOKUP(Table2[[#This Row],[Course Title]],'TSD-Data'!$A$1:$E$80,2,FALSE)</f>
        <v>A-493-0099</v>
      </c>
      <c r="E487" s="316" t="str">
        <f>VLOOKUP(Table2[[#This Row],[Course Title]],'TSD-Data'!$A$1:$E$80,3,FALSE)</f>
        <v>12JW</v>
      </c>
      <c r="F487" s="315" t="s">
        <v>25</v>
      </c>
      <c r="G487" s="317">
        <v>46211</v>
      </c>
      <c r="H487" s="317">
        <v>46213</v>
      </c>
      <c r="I487" s="317" t="s">
        <v>163</v>
      </c>
      <c r="J487" s="318"/>
      <c r="K487" s="318">
        <v>0.79166666666666663</v>
      </c>
      <c r="L487" s="429">
        <v>0.66666666666666663</v>
      </c>
      <c r="M487" s="431">
        <v>8.3333333333333329E-2</v>
      </c>
      <c r="N487" s="431">
        <v>0</v>
      </c>
      <c r="O487" s="431">
        <v>0.54166666666666663</v>
      </c>
      <c r="P487" s="431">
        <v>0.33333333333333331</v>
      </c>
      <c r="Q487" s="321" t="s">
        <v>273</v>
      </c>
      <c r="R487" s="321"/>
      <c r="S487" s="321"/>
      <c r="T487" s="316">
        <f>VLOOKUP(Table2[[#This Row],[Course Title]],'TSD-Data'!$A$1:$E$80,4,FALSE)</f>
        <v>45</v>
      </c>
      <c r="U487" s="316">
        <f>VLOOKUP(Table2[[#This Row],[Course Title]],'TSD-Data'!$A$1:$F$80,6,FALSE)</f>
        <v>24</v>
      </c>
      <c r="V487" s="323">
        <f>VLOOKUP(Table2[[#This Row],[Course Title]],'TSD-Data'!$A$1:$F$80,5,FALSE)</f>
        <v>3</v>
      </c>
      <c r="W487" s="323">
        <v>334</v>
      </c>
      <c r="X487" s="316"/>
      <c r="Y487" s="316"/>
      <c r="Z487" s="323"/>
      <c r="AA487" s="323"/>
      <c r="AB487" s="316"/>
      <c r="AC487" s="316"/>
      <c r="AD487" s="316"/>
      <c r="AE487" s="316"/>
      <c r="AF487" s="323">
        <f ca="1">Table2[[#This Row],[End Date]]+2-TODAY()</f>
        <v>208</v>
      </c>
      <c r="AG487" s="316">
        <f>IF(ISBLANK(Table2[[#This Row],[Roster Received by]]),1,0)</f>
        <v>1</v>
      </c>
      <c r="AH487" s="316">
        <f ca="1">IF(Table2[[#This Row],[Start Date]]&gt;TODAY(),1,)</f>
        <v>1</v>
      </c>
      <c r="AI487" s="316">
        <f>IF(ISBLANK(Table2[[#This Row],[Primary Instructor]]),0,1)</f>
        <v>1</v>
      </c>
      <c r="AJ487" s="316">
        <f>IF(ISBLANK(Table2[[#This Row],[Instructor 2]]),0,1)</f>
        <v>0</v>
      </c>
      <c r="AK487" s="316">
        <f>Table2[[#This Row],[Course Length (Hours)]]/(SUM(Table2[[#This Row],[1]:[2]]))</f>
        <v>24</v>
      </c>
      <c r="AL487" s="124"/>
      <c r="AM487" s="444">
        <v>4</v>
      </c>
      <c r="AN487" s="363" t="str">
        <f>VLOOKUP(Table2[[#This Row],[Course Title]],'TSD-Data'!$A$1:$G$80,7,FALSE)</f>
        <v>N5</v>
      </c>
    </row>
    <row r="488" spans="2:40" s="428" customFormat="1" x14ac:dyDescent="0.25">
      <c r="B488" s="364"/>
      <c r="C488" s="315" t="s">
        <v>80</v>
      </c>
      <c r="D488" s="316" t="str">
        <f>VLOOKUP(Table2[[#This Row],[Course Title]],'TSD-Data'!$A$1:$E$80,2,FALSE)</f>
        <v>A-493-0083</v>
      </c>
      <c r="E488" s="316" t="str">
        <f>VLOOKUP(Table2[[#This Row],[Course Title]],'TSD-Data'!$A$1:$E$80,3,FALSE)</f>
        <v>339E</v>
      </c>
      <c r="F488" s="364" t="s">
        <v>307</v>
      </c>
      <c r="G488" s="344">
        <v>46213</v>
      </c>
      <c r="H488" s="344">
        <v>46213</v>
      </c>
      <c r="I488" s="341" t="s">
        <v>167</v>
      </c>
      <c r="J488" s="318">
        <v>0.33333333333333331</v>
      </c>
      <c r="K488" s="318"/>
      <c r="L488" s="317"/>
      <c r="M488" s="317"/>
      <c r="N488" s="317"/>
      <c r="O488" s="317"/>
      <c r="P488" s="317"/>
      <c r="Q488" s="321" t="s">
        <v>168</v>
      </c>
      <c r="R488" s="321"/>
      <c r="S488" s="321"/>
      <c r="T488" s="316">
        <f>VLOOKUP(Table2[[#This Row],[Course Title]],'TSD-Data'!$A$1:$E$80,4,FALSE)</f>
        <v>30</v>
      </c>
      <c r="U488" s="316">
        <f>VLOOKUP(Table2[[#This Row],[Course Title]],'TSD-Data'!$A$1:$F$80,6,FALSE)</f>
        <v>8</v>
      </c>
      <c r="V488" s="323">
        <f>VLOOKUP(Table2[[#This Row],[Course Title]],'TSD-Data'!$A$1:$F$80,5,FALSE)</f>
        <v>1</v>
      </c>
      <c r="W488" s="323">
        <v>27</v>
      </c>
      <c r="X488" s="316"/>
      <c r="Y488" s="316"/>
      <c r="Z488" s="323"/>
      <c r="AA488" s="323"/>
      <c r="AB488" s="363"/>
      <c r="AC488" s="363"/>
      <c r="AD488" s="316"/>
      <c r="AE488" s="316"/>
      <c r="AF488" s="323">
        <f ca="1">Table2[[#This Row],[End Date]]+2-TODAY()</f>
        <v>208</v>
      </c>
      <c r="AG488" s="316">
        <f>IF(ISBLANK(Table2[[#This Row],[Roster Received by]]),1,0)</f>
        <v>1</v>
      </c>
      <c r="AH488" s="316">
        <f ca="1">IF(Table2[[#This Row],[Start Date]]&gt;TODAY(),1,)</f>
        <v>1</v>
      </c>
      <c r="AI488" s="316">
        <f>IF(ISBLANK(Table2[[#This Row],[Primary Instructor]]),0,1)</f>
        <v>1</v>
      </c>
      <c r="AJ488" s="316">
        <f>IF(ISBLANK(Table2[[#This Row],[Instructor 2]]),0,1)</f>
        <v>0</v>
      </c>
      <c r="AK488" s="316">
        <f>Table2[[#This Row],[Course Length (Hours)]]/(SUM(Table2[[#This Row],[1]:[2]]))</f>
        <v>8</v>
      </c>
      <c r="AL488" s="638"/>
      <c r="AM488" s="444">
        <v>4</v>
      </c>
      <c r="AN488" s="363" t="str">
        <f>VLOOKUP(Table2[[#This Row],[Course Title]],'TSD-Data'!$A$1:$G$80,7,FALSE)</f>
        <v>N4</v>
      </c>
    </row>
    <row r="489" spans="2:40" s="428" customFormat="1" x14ac:dyDescent="0.25">
      <c r="B489" s="315"/>
      <c r="C489" s="315" t="s">
        <v>110</v>
      </c>
      <c r="D489" s="316" t="str">
        <f>VLOOKUP(Table2[[#This Row],[Course Title]],'TSD-Data'!$A$1:$E$80,2,FALSE)</f>
        <v>A-493-2501</v>
      </c>
      <c r="E489" s="316" t="str">
        <f>VLOOKUP(Table2[[#This Row],[Course Title]],'TSD-Data'!$A$1:$E$80,3,FALSE)</f>
        <v>05ZE</v>
      </c>
      <c r="F489" s="315" t="s">
        <v>351</v>
      </c>
      <c r="G489" s="317">
        <v>46213</v>
      </c>
      <c r="H489" s="317">
        <v>46213</v>
      </c>
      <c r="I489" s="341" t="s">
        <v>167</v>
      </c>
      <c r="J489" s="318">
        <v>0.33333333333333331</v>
      </c>
      <c r="K489" s="318"/>
      <c r="L489" s="317"/>
      <c r="M489" s="317"/>
      <c r="N489" s="317"/>
      <c r="O489" s="317"/>
      <c r="P489" s="317"/>
      <c r="Q489" s="321" t="s">
        <v>168</v>
      </c>
      <c r="R489" s="321"/>
      <c r="S489" s="321"/>
      <c r="T489" s="316">
        <f>VLOOKUP(Table2[[#This Row],[Course Title]],'TSD-Data'!$A$1:$E$80,4,FALSE)</f>
        <v>30</v>
      </c>
      <c r="U489" s="316">
        <f>VLOOKUP(Table2[[#This Row],[Course Title]],'TSD-Data'!$A$1:$F$80,6,FALSE)</f>
        <v>8</v>
      </c>
      <c r="V489" s="323">
        <f>VLOOKUP(Table2[[#This Row],[Course Title]],'TSD-Data'!$A$1:$F$80,5,FALSE)</f>
        <v>1</v>
      </c>
      <c r="W489" s="323">
        <v>10</v>
      </c>
      <c r="X489" s="316"/>
      <c r="Y489" s="316"/>
      <c r="Z489" s="323"/>
      <c r="AA489" s="323"/>
      <c r="AB489" s="363"/>
      <c r="AC489" s="363"/>
      <c r="AD489" s="316"/>
      <c r="AE489" s="316"/>
      <c r="AF489" s="323">
        <f ca="1">Table2[[#This Row],[End Date]]+2-TODAY()</f>
        <v>208</v>
      </c>
      <c r="AG489" s="316">
        <f>IF(ISBLANK(Table2[[#This Row],[Roster Received by]]),1,0)</f>
        <v>1</v>
      </c>
      <c r="AH489" s="316">
        <f ca="1">IF(Table2[[#This Row],[Start Date]]&gt;TODAY(),1,)</f>
        <v>1</v>
      </c>
      <c r="AI489" s="316">
        <f>IF(ISBLANK(Table2[[#This Row],[Primary Instructor]]),0,1)</f>
        <v>1</v>
      </c>
      <c r="AJ489" s="316">
        <f>IF(ISBLANK(Table2[[#This Row],[Instructor 2]]),0,1)</f>
        <v>0</v>
      </c>
      <c r="AK489" s="316">
        <f>Table2[[#This Row],[Course Length (Hours)]]/(SUM(Table2[[#This Row],[1]:[2]]))</f>
        <v>8</v>
      </c>
      <c r="AL489" s="638"/>
      <c r="AM489" s="444">
        <v>4</v>
      </c>
      <c r="AN489" s="363" t="str">
        <f>VLOOKUP(Table2[[#This Row],[Course Title]],'TSD-Data'!$A$1:$G$80,7,FALSE)</f>
        <v>N4</v>
      </c>
    </row>
    <row r="490" spans="2:40" s="428" customFormat="1" x14ac:dyDescent="0.25">
      <c r="B490" s="315"/>
      <c r="C490" s="364" t="s">
        <v>48</v>
      </c>
      <c r="D490" s="316" t="str">
        <f>VLOOKUP(Table2[[#This Row],[Course Title]],'TSD-Data'!$A$1:$E$80,2,FALSE)</f>
        <v>A-493-0103</v>
      </c>
      <c r="E490" s="316" t="str">
        <f>VLOOKUP(Table2[[#This Row],[Course Title]],'TSD-Data'!$A$1:$E$80,3,FALSE)</f>
        <v>12JY</v>
      </c>
      <c r="F490" s="315" t="s">
        <v>266</v>
      </c>
      <c r="G490" s="317">
        <v>46216</v>
      </c>
      <c r="H490" s="317">
        <v>46220</v>
      </c>
      <c r="I490" s="317" t="s">
        <v>163</v>
      </c>
      <c r="J490" s="318">
        <v>0.33333333333333331</v>
      </c>
      <c r="K490" s="318"/>
      <c r="L490" s="344"/>
      <c r="M490" s="317"/>
      <c r="N490" s="317"/>
      <c r="O490" s="317"/>
      <c r="P490" s="317"/>
      <c r="Q490" s="321" t="s">
        <v>275</v>
      </c>
      <c r="R490" s="321"/>
      <c r="S490" s="321"/>
      <c r="T490" s="316">
        <f>VLOOKUP(Table2[[#This Row],[Course Title]],'TSD-Data'!$A$1:$E$80,4,FALSE)</f>
        <v>25</v>
      </c>
      <c r="U490" s="316">
        <f>VLOOKUP(Table2[[#This Row],[Course Title]],'TSD-Data'!$A$1:$F$80,6,FALSE)</f>
        <v>40</v>
      </c>
      <c r="V490" s="323">
        <f>VLOOKUP(Table2[[#This Row],[Course Title]],'TSD-Data'!$A$1:$F$80,5,FALSE)</f>
        <v>5</v>
      </c>
      <c r="W490" s="323">
        <v>55</v>
      </c>
      <c r="X490" s="316"/>
      <c r="Y490" s="316"/>
      <c r="Z490" s="323"/>
      <c r="AA490" s="323"/>
      <c r="AB490" s="316"/>
      <c r="AC490" s="316"/>
      <c r="AD490" s="316"/>
      <c r="AE490" s="316"/>
      <c r="AF490" s="323">
        <f ca="1">Table2[[#This Row],[End Date]]+2-TODAY()</f>
        <v>215</v>
      </c>
      <c r="AG490" s="316">
        <f>IF(ISBLANK(Table2[[#This Row],[Roster Received by]]),1,0)</f>
        <v>1</v>
      </c>
      <c r="AH490" s="316">
        <f ca="1">IF(Table2[[#This Row],[Start Date]]&gt;TODAY(),1,)</f>
        <v>1</v>
      </c>
      <c r="AI490" s="316">
        <f>IF(ISBLANK(Table2[[#This Row],[Primary Instructor]]),0,1)</f>
        <v>1</v>
      </c>
      <c r="AJ490" s="316">
        <f>IF(ISBLANK(Table2[[#This Row],[Instructor 2]]),0,1)</f>
        <v>0</v>
      </c>
      <c r="AK490" s="316">
        <f>Table2[[#This Row],[Course Length (Hours)]]/(SUM(Table2[[#This Row],[1]:[2]]))</f>
        <v>40</v>
      </c>
      <c r="AL490" s="124"/>
      <c r="AM490" s="444">
        <v>4</v>
      </c>
      <c r="AN490" s="363" t="str">
        <f>VLOOKUP(Table2[[#This Row],[Course Title]],'TSD-Data'!$A$1:$G$80,7,FALSE)</f>
        <v>N5</v>
      </c>
    </row>
    <row r="491" spans="2:40" s="428" customFormat="1" x14ac:dyDescent="0.25">
      <c r="B491" s="315"/>
      <c r="C491" s="315" t="s">
        <v>74</v>
      </c>
      <c r="D491" s="316" t="str">
        <f>VLOOKUP(Table2[[#This Row],[Course Title]],'TSD-Data'!$A$1:$E$80,2,FALSE)</f>
        <v>A-322-2604</v>
      </c>
      <c r="E491" s="316" t="str">
        <f>VLOOKUP(Table2[[#This Row],[Course Title]],'TSD-Data'!$A$1:$E$80,3,FALSE)</f>
        <v>10ZZ</v>
      </c>
      <c r="F491" s="315" t="s">
        <v>25</v>
      </c>
      <c r="G491" s="317">
        <v>46216</v>
      </c>
      <c r="H491" s="317">
        <v>46218</v>
      </c>
      <c r="I491" s="317" t="s">
        <v>163</v>
      </c>
      <c r="J491" s="318"/>
      <c r="K491" s="345">
        <v>0.33333333333333331</v>
      </c>
      <c r="L491" s="345">
        <v>0.20833333333333334</v>
      </c>
      <c r="M491" s="345">
        <v>0.625</v>
      </c>
      <c r="N491" s="345">
        <v>0.54166666666666663</v>
      </c>
      <c r="O491" s="345">
        <v>8.3333333333333329E-2</v>
      </c>
      <c r="P491" s="345">
        <v>0.875</v>
      </c>
      <c r="Q491" s="321" t="s">
        <v>444</v>
      </c>
      <c r="R491" s="321"/>
      <c r="S491" s="321"/>
      <c r="T491" s="316">
        <f>VLOOKUP(Table2[[#This Row],[Course Title]],'TSD-Data'!$A$1:$E$80,4,FALSE)</f>
        <v>45</v>
      </c>
      <c r="U491" s="316">
        <f>VLOOKUP(Table2[[#This Row],[Course Title]],'TSD-Data'!$A$1:$F$80,6,FALSE)</f>
        <v>24</v>
      </c>
      <c r="V491" s="323">
        <f>VLOOKUP(Table2[[#This Row],[Course Title]],'TSD-Data'!$A$1:$F$80,5,FALSE)</f>
        <v>3</v>
      </c>
      <c r="W491" s="323">
        <v>316</v>
      </c>
      <c r="X491" s="316"/>
      <c r="Y491" s="316"/>
      <c r="Z491" s="323"/>
      <c r="AA491" s="323"/>
      <c r="AB491" s="316"/>
      <c r="AC491" s="316"/>
      <c r="AD491" s="316"/>
      <c r="AE491" s="316"/>
      <c r="AF491" s="323">
        <f ca="1">Table2[[#This Row],[End Date]]+2-TODAY()</f>
        <v>213</v>
      </c>
      <c r="AG491" s="316">
        <f>IF(ISBLANK(Table2[[#This Row],[Roster Received by]]),1,0)</f>
        <v>1</v>
      </c>
      <c r="AH491" s="316">
        <f ca="1">IF(Table2[[#This Row],[Start Date]]&gt;TODAY(),1,)</f>
        <v>1</v>
      </c>
      <c r="AI491" s="316">
        <f>IF(ISBLANK(Table2[[#This Row],[Primary Instructor]]),0,1)</f>
        <v>1</v>
      </c>
      <c r="AJ491" s="316">
        <f>IF(ISBLANK(Table2[[#This Row],[Instructor 2]]),0,1)</f>
        <v>0</v>
      </c>
      <c r="AK491" s="316">
        <f>Table2[[#This Row],[Course Length (Hours)]]/(SUM(Table2[[#This Row],[1]:[2]]))</f>
        <v>24</v>
      </c>
      <c r="AL491" s="124"/>
      <c r="AM491" s="444">
        <v>4</v>
      </c>
      <c r="AN491" s="363" t="str">
        <f>VLOOKUP(Table2[[#This Row],[Course Title]],'TSD-Data'!$A$1:$G$80,7,FALSE)</f>
        <v>N8</v>
      </c>
    </row>
    <row r="492" spans="2:40" s="428" customFormat="1" x14ac:dyDescent="0.25">
      <c r="B492" s="315"/>
      <c r="C492" s="364" t="s">
        <v>23</v>
      </c>
      <c r="D492" s="316" t="str">
        <f>VLOOKUP(Table2[[#This Row],[Course Title]],'TSD-Data'!$A$1:$E$80,2,FALSE)</f>
        <v>A-4J-0022</v>
      </c>
      <c r="E492" s="316" t="str">
        <f>VLOOKUP(Table2[[#This Row],[Course Title]],'TSD-Data'!$A$1:$E$80,3,FALSE)</f>
        <v>09ER</v>
      </c>
      <c r="F492" s="364" t="s">
        <v>25</v>
      </c>
      <c r="G492" s="317">
        <v>46216</v>
      </c>
      <c r="H492" s="317">
        <v>46220</v>
      </c>
      <c r="I492" s="317" t="s">
        <v>163</v>
      </c>
      <c r="J492" s="318"/>
      <c r="K492" s="429">
        <v>0.5</v>
      </c>
      <c r="L492" s="429">
        <v>0.375</v>
      </c>
      <c r="M492" s="429">
        <v>0.79166666666666663</v>
      </c>
      <c r="N492" s="429">
        <v>0.75</v>
      </c>
      <c r="O492" s="429">
        <v>0.25</v>
      </c>
      <c r="P492" s="429">
        <v>4.1666666666666664E-2</v>
      </c>
      <c r="Q492" s="321" t="s">
        <v>436</v>
      </c>
      <c r="R492" s="321"/>
      <c r="S492" s="321"/>
      <c r="T492" s="316">
        <f>VLOOKUP(Table2[[#This Row],[Course Title]],'TSD-Data'!$A$1:$E$80,4,FALSE)</f>
        <v>45</v>
      </c>
      <c r="U492" s="316">
        <f>VLOOKUP(Table2[[#This Row],[Course Title]],'TSD-Data'!$A$1:$F$80,6,FALSE)</f>
        <v>16</v>
      </c>
      <c r="V492" s="323">
        <f>VLOOKUP(Table2[[#This Row],[Course Title]],'TSD-Data'!$A$1:$F$80,5,FALSE)</f>
        <v>2</v>
      </c>
      <c r="W492" s="323">
        <v>130</v>
      </c>
      <c r="X492" s="316"/>
      <c r="Y492" s="316"/>
      <c r="Z492" s="323"/>
      <c r="AA492" s="323"/>
      <c r="AB492" s="316"/>
      <c r="AC492" s="316"/>
      <c r="AD492" s="316"/>
      <c r="AE492" s="316"/>
      <c r="AF492" s="323">
        <f ca="1">Table2[[#This Row],[End Date]]+2-TODAY()</f>
        <v>215</v>
      </c>
      <c r="AG492" s="316">
        <f>IF(ISBLANK(Table2[[#This Row],[Roster Received by]]),1,0)</f>
        <v>1</v>
      </c>
      <c r="AH492" s="316">
        <f ca="1">IF(Table2[[#This Row],[Start Date]]&gt;TODAY(),1,)</f>
        <v>1</v>
      </c>
      <c r="AI492" s="316">
        <f>IF(ISBLANK(Table2[[#This Row],[Primary Instructor]]),0,1)</f>
        <v>1</v>
      </c>
      <c r="AJ492" s="316">
        <f>IF(ISBLANK(Table2[[#This Row],[Instructor 2]]),0,1)</f>
        <v>0</v>
      </c>
      <c r="AK492" s="316">
        <f>Table2[[#This Row],[Course Length (Hours)]]/(SUM(Table2[[#This Row],[1]:[2]]))</f>
        <v>16</v>
      </c>
      <c r="AL492" s="124"/>
      <c r="AM492" s="444">
        <v>4</v>
      </c>
      <c r="AN492" s="363" t="str">
        <f>VLOOKUP(Table2[[#This Row],[Course Title]],'TSD-Data'!$A$1:$G$80,7,FALSE)</f>
        <v>N4</v>
      </c>
    </row>
    <row r="493" spans="2:40" s="428" customFormat="1" x14ac:dyDescent="0.25">
      <c r="B493" s="315"/>
      <c r="C493" s="315" t="s">
        <v>119</v>
      </c>
      <c r="D493" s="316" t="str">
        <f>VLOOKUP(Table2[[#This Row],[Course Title]],'TSD-Data'!$A$1:$E$80,2,FALSE)</f>
        <v>A-493-2098</v>
      </c>
      <c r="E493" s="316" t="str">
        <f>VLOOKUP(Table2[[#This Row],[Course Title]],'TSD-Data'!$A$1:$E$80,3,FALSE)</f>
        <v>09WW</v>
      </c>
      <c r="F493" s="315" t="s">
        <v>25</v>
      </c>
      <c r="G493" s="317">
        <v>46216</v>
      </c>
      <c r="H493" s="317">
        <v>46218</v>
      </c>
      <c r="I493" s="317" t="s">
        <v>163</v>
      </c>
      <c r="J493" s="318"/>
      <c r="K493" s="318">
        <v>0.5</v>
      </c>
      <c r="L493" s="431">
        <v>0.375</v>
      </c>
      <c r="M493" s="431">
        <v>0.79166666666666663</v>
      </c>
      <c r="N493" s="431">
        <v>0.75</v>
      </c>
      <c r="O493" s="431">
        <v>0.25</v>
      </c>
      <c r="P493" s="431">
        <v>4.1666666666666664E-2</v>
      </c>
      <c r="Q493" s="321" t="s">
        <v>164</v>
      </c>
      <c r="R493" s="321"/>
      <c r="S493" s="321"/>
      <c r="T493" s="316">
        <f>VLOOKUP(Table2[[#This Row],[Course Title]],'TSD-Data'!$A$1:$E$80,4,FALSE)</f>
        <v>100</v>
      </c>
      <c r="U493" s="316">
        <f>VLOOKUP(Table2[[#This Row],[Course Title]],'TSD-Data'!$A$1:$F$80,6,FALSE)</f>
        <v>16</v>
      </c>
      <c r="V493" s="323">
        <f>VLOOKUP(Table2[[#This Row],[Course Title]],'TSD-Data'!$A$1:$F$80,5,FALSE)</f>
        <v>3</v>
      </c>
      <c r="W493" s="323">
        <v>1882</v>
      </c>
      <c r="X493" s="316"/>
      <c r="Y493" s="316"/>
      <c r="Z493" s="323"/>
      <c r="AA493" s="323"/>
      <c r="AB493" s="316"/>
      <c r="AC493" s="316"/>
      <c r="AD493" s="316"/>
      <c r="AE493" s="316"/>
      <c r="AF493" s="323">
        <f ca="1">Table2[[#This Row],[End Date]]+2-TODAY()</f>
        <v>213</v>
      </c>
      <c r="AG493" s="316">
        <f>IF(ISBLANK(Table2[[#This Row],[Roster Received by]]),1,0)</f>
        <v>1</v>
      </c>
      <c r="AH493" s="316">
        <f ca="1">IF(Table2[[#This Row],[Start Date]]&gt;TODAY(),1,)</f>
        <v>1</v>
      </c>
      <c r="AI493" s="316">
        <f>IF(ISBLANK(Table2[[#This Row],[Primary Instructor]]),0,1)</f>
        <v>1</v>
      </c>
      <c r="AJ493" s="316">
        <f>IF(ISBLANK(Table2[[#This Row],[Instructor 2]]),0,1)</f>
        <v>0</v>
      </c>
      <c r="AK493" s="316">
        <f>Table2[[#This Row],[Course Length (Hours)]]/(SUM(Table2[[#This Row],[1]:[2]]))</f>
        <v>16</v>
      </c>
      <c r="AL493" s="124"/>
      <c r="AM493" s="444">
        <v>4</v>
      </c>
      <c r="AN493" s="363" t="str">
        <f>VLOOKUP(Table2[[#This Row],[Course Title]],'TSD-Data'!$A$1:$G$80,7,FALSE)</f>
        <v>N8</v>
      </c>
    </row>
    <row r="494" spans="2:40" s="428" customFormat="1" x14ac:dyDescent="0.25">
      <c r="B494" s="315" t="s">
        <v>489</v>
      </c>
      <c r="C494" s="315" t="s">
        <v>125</v>
      </c>
      <c r="D494" s="316" t="str">
        <f>VLOOKUP(Table2[[#This Row],[Course Title]],'TSD-Data'!$A$1:$E$80,2,FALSE)</f>
        <v>A-493-2017</v>
      </c>
      <c r="E494" s="316" t="str">
        <f>VLOOKUP(Table2[[#This Row],[Course Title]],'TSD-Data'!$A$1:$E$80,3,FALSE)</f>
        <v>12x3</v>
      </c>
      <c r="F494" s="364" t="s">
        <v>341</v>
      </c>
      <c r="G494" s="344">
        <v>46216</v>
      </c>
      <c r="H494" s="344">
        <v>46220</v>
      </c>
      <c r="I494" s="317" t="s">
        <v>163</v>
      </c>
      <c r="J494" s="318">
        <v>0.33333333333333331</v>
      </c>
      <c r="K494" s="318"/>
      <c r="L494" s="317"/>
      <c r="M494" s="317"/>
      <c r="N494" s="317"/>
      <c r="O494" s="317"/>
      <c r="P494" s="317"/>
      <c r="Q494" s="321" t="s">
        <v>168</v>
      </c>
      <c r="R494" s="321"/>
      <c r="S494" s="321"/>
      <c r="T494" s="316">
        <f>VLOOKUP(Table2[[#This Row],[Course Title]],'TSD-Data'!$A$1:$E$80,4,FALSE)</f>
        <v>25</v>
      </c>
      <c r="U494" s="316">
        <f>VLOOKUP(Table2[[#This Row],[Course Title]],'TSD-Data'!$A$1:$F$80,6,FALSE)</f>
        <v>40</v>
      </c>
      <c r="V494" s="323">
        <f>VLOOKUP(Table2[[#This Row],[Course Title]],'TSD-Data'!$A$1:$F$80,5,FALSE)</f>
        <v>5</v>
      </c>
      <c r="W494" s="323">
        <v>25</v>
      </c>
      <c r="X494" s="316"/>
      <c r="Y494" s="316"/>
      <c r="Z494" s="323"/>
      <c r="AA494" s="323"/>
      <c r="AB494" s="363"/>
      <c r="AC494" s="363"/>
      <c r="AD494" s="316"/>
      <c r="AE494" s="316"/>
      <c r="AF494" s="323">
        <f ca="1">Table2[[#This Row],[End Date]]+2-TODAY()</f>
        <v>215</v>
      </c>
      <c r="AG494" s="316">
        <f>IF(ISBLANK(Table2[[#This Row],[Roster Received by]]),1,0)</f>
        <v>1</v>
      </c>
      <c r="AH494" s="316">
        <f ca="1">IF(Table2[[#This Row],[Start Date]]&gt;TODAY(),1,)</f>
        <v>1</v>
      </c>
      <c r="AI494" s="316">
        <f>IF(ISBLANK(Table2[[#This Row],[Primary Instructor]]),0,1)</f>
        <v>1</v>
      </c>
      <c r="AJ494" s="316">
        <f>IF(ISBLANK(Table2[[#This Row],[Instructor 2]]),0,1)</f>
        <v>0</v>
      </c>
      <c r="AK494" s="316">
        <f>Table2[[#This Row],[Course Length (Hours)]]/(SUM(Table2[[#This Row],[1]:[2]]))</f>
        <v>40</v>
      </c>
      <c r="AL494" s="638"/>
      <c r="AM494" s="444">
        <v>4</v>
      </c>
      <c r="AN494" s="363" t="str">
        <f>VLOOKUP(Table2[[#This Row],[Course Title]],'TSD-Data'!$A$1:$G$80,7,FALSE)</f>
        <v>N4</v>
      </c>
    </row>
    <row r="495" spans="2:40" s="428" customFormat="1" x14ac:dyDescent="0.25">
      <c r="B495" s="315"/>
      <c r="C495" s="364" t="s">
        <v>106</v>
      </c>
      <c r="D495" s="316" t="str">
        <f>VLOOKUP(Table2[[#This Row],[Course Title]],'TSD-Data'!$A$1:$E$80,2,FALSE)</f>
        <v>A-493-0078</v>
      </c>
      <c r="E495" s="316">
        <f>VLOOKUP(Table2[[#This Row],[Course Title]],'TSD-Data'!$A$1:$E$80,3,FALSE)</f>
        <v>1228</v>
      </c>
      <c r="F495" s="364" t="s">
        <v>25</v>
      </c>
      <c r="G495" s="344">
        <v>46216</v>
      </c>
      <c r="H495" s="344">
        <v>46219</v>
      </c>
      <c r="I495" s="317" t="s">
        <v>163</v>
      </c>
      <c r="J495" s="318"/>
      <c r="K495" s="345">
        <v>0.5</v>
      </c>
      <c r="L495" s="429">
        <v>0.375</v>
      </c>
      <c r="M495" s="429">
        <v>0.79166666666666663</v>
      </c>
      <c r="N495" s="429">
        <v>0.75</v>
      </c>
      <c r="O495" s="429">
        <v>0.25</v>
      </c>
      <c r="P495" s="429">
        <v>4.1666666666666664E-2</v>
      </c>
      <c r="Q495" s="321" t="s">
        <v>172</v>
      </c>
      <c r="R495" s="321"/>
      <c r="S495" s="321"/>
      <c r="T495" s="316">
        <f>VLOOKUP(Table2[[#This Row],[Course Title]],'TSD-Data'!$A$1:$E$80,4,FALSE)</f>
        <v>45</v>
      </c>
      <c r="U495" s="316">
        <f>VLOOKUP(Table2[[#This Row],[Course Title]],'TSD-Data'!$A$1:$F$80,6,FALSE)</f>
        <v>32</v>
      </c>
      <c r="V495" s="323">
        <f>VLOOKUP(Table2[[#This Row],[Course Title]],'TSD-Data'!$A$1:$F$80,5,FALSE)</f>
        <v>4</v>
      </c>
      <c r="W495" s="323">
        <v>568</v>
      </c>
      <c r="X495" s="316"/>
      <c r="Y495" s="316"/>
      <c r="Z495" s="323"/>
      <c r="AA495" s="323"/>
      <c r="AB495" s="316"/>
      <c r="AC495" s="316"/>
      <c r="AD495" s="316"/>
      <c r="AE495" s="316"/>
      <c r="AF495" s="323">
        <f ca="1">Table2[[#This Row],[End Date]]+2-TODAY()</f>
        <v>214</v>
      </c>
      <c r="AG495" s="316">
        <f>IF(ISBLANK(Table2[[#This Row],[Roster Received by]]),1,0)</f>
        <v>1</v>
      </c>
      <c r="AH495" s="316">
        <f ca="1">IF(Table2[[#This Row],[Start Date]]&gt;TODAY(),1,)</f>
        <v>1</v>
      </c>
      <c r="AI495" s="316">
        <f>IF(ISBLANK(Table2[[#This Row],[Primary Instructor]]),0,1)</f>
        <v>1</v>
      </c>
      <c r="AJ495" s="316">
        <f>IF(ISBLANK(Table2[[#This Row],[Instructor 2]]),0,1)</f>
        <v>0</v>
      </c>
      <c r="AK495" s="316">
        <f>Table2[[#This Row],[Course Length (Hours)]]/(SUM(Table2[[#This Row],[1]:[2]]))</f>
        <v>32</v>
      </c>
      <c r="AL495" s="124"/>
      <c r="AM495" s="444">
        <v>4</v>
      </c>
      <c r="AN495" s="363" t="str">
        <f>VLOOKUP(Table2[[#This Row],[Course Title]],'TSD-Data'!$A$1:$G$80,7,FALSE)</f>
        <v>N5</v>
      </c>
    </row>
    <row r="496" spans="2:40" s="428" customFormat="1" x14ac:dyDescent="0.25">
      <c r="B496" s="315"/>
      <c r="C496" s="315" t="s">
        <v>77</v>
      </c>
      <c r="D496" s="316" t="str">
        <f>VLOOKUP(Table2[[#This Row],[Course Title]],'TSD-Data'!$A$1:$E$80,2,FALSE)</f>
        <v>A-493-0077</v>
      </c>
      <c r="E496" s="316" t="str">
        <f>VLOOKUP(Table2[[#This Row],[Course Title]],'TSD-Data'!$A$1:$E$80,3,FALSE)</f>
        <v>0381</v>
      </c>
      <c r="F496" s="364" t="s">
        <v>266</v>
      </c>
      <c r="G496" s="344">
        <v>46218</v>
      </c>
      <c r="H496" s="344">
        <v>46220</v>
      </c>
      <c r="I496" s="341" t="s">
        <v>167</v>
      </c>
      <c r="J496" s="318">
        <v>0.33333333333333331</v>
      </c>
      <c r="K496" s="318"/>
      <c r="L496" s="344"/>
      <c r="M496" s="317"/>
      <c r="N496" s="317"/>
      <c r="O496" s="317"/>
      <c r="P496" s="317"/>
      <c r="Q496" s="321" t="s">
        <v>168</v>
      </c>
      <c r="R496" s="321"/>
      <c r="S496" s="321"/>
      <c r="T496" s="316">
        <f>VLOOKUP(Table2[[#This Row],[Course Title]],'TSD-Data'!$A$1:$E$80,4,FALSE)</f>
        <v>25</v>
      </c>
      <c r="U496" s="316">
        <f>VLOOKUP(Table2[[#This Row],[Course Title]],'TSD-Data'!$A$1:$F$80,6,FALSE)</f>
        <v>24</v>
      </c>
      <c r="V496" s="323">
        <f>VLOOKUP(Table2[[#This Row],[Course Title]],'TSD-Data'!$A$1:$F$80,5,FALSE)</f>
        <v>3</v>
      </c>
      <c r="W496" s="323">
        <v>11</v>
      </c>
      <c r="X496" s="316"/>
      <c r="Y496" s="316"/>
      <c r="Z496" s="323"/>
      <c r="AA496" s="323"/>
      <c r="AB496" s="363"/>
      <c r="AC496" s="363"/>
      <c r="AD496" s="316"/>
      <c r="AE496" s="316"/>
      <c r="AF496" s="323">
        <f ca="1">Table2[[#This Row],[End Date]]+2-TODAY()</f>
        <v>215</v>
      </c>
      <c r="AG496" s="316">
        <f>IF(ISBLANK(Table2[[#This Row],[Roster Received by]]),1,0)</f>
        <v>1</v>
      </c>
      <c r="AH496" s="316">
        <f ca="1">IF(Table2[[#This Row],[Start Date]]&gt;TODAY(),1,)</f>
        <v>1</v>
      </c>
      <c r="AI496" s="316">
        <f>IF(ISBLANK(Table2[[#This Row],[Primary Instructor]]),0,1)</f>
        <v>1</v>
      </c>
      <c r="AJ496" s="316">
        <f>IF(ISBLANK(Table2[[#This Row],[Instructor 2]]),0,1)</f>
        <v>0</v>
      </c>
      <c r="AK496" s="316">
        <f>Table2[[#This Row],[Course Length (Hours)]]/(SUM(Table2[[#This Row],[1]:[2]]))</f>
        <v>24</v>
      </c>
      <c r="AL496" s="638"/>
      <c r="AM496" s="444">
        <v>4</v>
      </c>
      <c r="AN496" s="363" t="str">
        <f>VLOOKUP(Table2[[#This Row],[Course Title]],'TSD-Data'!$A$1:$G$80,7,FALSE)</f>
        <v>N4</v>
      </c>
    </row>
    <row r="497" spans="2:40" s="428" customFormat="1" x14ac:dyDescent="0.25">
      <c r="B497" s="315"/>
      <c r="C497" s="364" t="s">
        <v>48</v>
      </c>
      <c r="D497" s="316" t="str">
        <f>VLOOKUP(Table2[[#This Row],[Course Title]],'TSD-Data'!$A$1:$E$80,2,FALSE)</f>
        <v>A-493-0103</v>
      </c>
      <c r="E497" s="316" t="str">
        <f>VLOOKUP(Table2[[#This Row],[Course Title]],'TSD-Data'!$A$1:$E$80,3,FALSE)</f>
        <v>12JY</v>
      </c>
      <c r="F497" s="315" t="s">
        <v>259</v>
      </c>
      <c r="G497" s="317">
        <v>46223</v>
      </c>
      <c r="H497" s="317">
        <v>46227</v>
      </c>
      <c r="I497" s="317" t="s">
        <v>163</v>
      </c>
      <c r="J497" s="318">
        <v>0.33333333333333331</v>
      </c>
      <c r="K497" s="318"/>
      <c r="L497" s="344"/>
      <c r="M497" s="317"/>
      <c r="N497" s="317"/>
      <c r="O497" s="317"/>
      <c r="P497" s="317"/>
      <c r="Q497" s="321" t="s">
        <v>275</v>
      </c>
      <c r="R497" s="321"/>
      <c r="S497" s="321"/>
      <c r="T497" s="316">
        <f>VLOOKUP(Table2[[#This Row],[Course Title]],'TSD-Data'!$A$1:$E$80,4,FALSE)</f>
        <v>25</v>
      </c>
      <c r="U497" s="316">
        <f>VLOOKUP(Table2[[#This Row],[Course Title]],'TSD-Data'!$A$1:$F$80,6,FALSE)</f>
        <v>40</v>
      </c>
      <c r="V497" s="323">
        <f>VLOOKUP(Table2[[#This Row],[Course Title]],'TSD-Data'!$A$1:$F$80,5,FALSE)</f>
        <v>5</v>
      </c>
      <c r="W497" s="323">
        <v>67</v>
      </c>
      <c r="X497" s="316"/>
      <c r="Y497" s="316"/>
      <c r="Z497" s="323"/>
      <c r="AA497" s="323"/>
      <c r="AB497" s="316"/>
      <c r="AC497" s="316"/>
      <c r="AD497" s="316"/>
      <c r="AE497" s="316"/>
      <c r="AF497" s="323">
        <f ca="1">Table2[[#This Row],[End Date]]+2-TODAY()</f>
        <v>222</v>
      </c>
      <c r="AG497" s="316">
        <f>IF(ISBLANK(Table2[[#This Row],[Roster Received by]]),1,0)</f>
        <v>1</v>
      </c>
      <c r="AH497" s="316">
        <f ca="1">IF(Table2[[#This Row],[Start Date]]&gt;TODAY(),1,)</f>
        <v>1</v>
      </c>
      <c r="AI497" s="316">
        <f>IF(ISBLANK(Table2[[#This Row],[Primary Instructor]]),0,1)</f>
        <v>1</v>
      </c>
      <c r="AJ497" s="316">
        <f>IF(ISBLANK(Table2[[#This Row],[Instructor 2]]),0,1)</f>
        <v>0</v>
      </c>
      <c r="AK497" s="316">
        <f>Table2[[#This Row],[Course Length (Hours)]]/(SUM(Table2[[#This Row],[1]:[2]]))</f>
        <v>40</v>
      </c>
      <c r="AL497" s="124"/>
      <c r="AM497" s="444">
        <v>4</v>
      </c>
      <c r="AN497" s="363" t="str">
        <f>VLOOKUP(Table2[[#This Row],[Course Title]],'TSD-Data'!$A$1:$G$80,7,FALSE)</f>
        <v>N5</v>
      </c>
    </row>
    <row r="498" spans="2:40" s="428" customFormat="1" x14ac:dyDescent="0.25">
      <c r="B498" s="364"/>
      <c r="C498" s="364" t="s">
        <v>48</v>
      </c>
      <c r="D498" s="316" t="str">
        <f>VLOOKUP(Table2[[#This Row],[Course Title]],'TSD-Data'!$A$1:$E$80,2,FALSE)</f>
        <v>A-493-0103</v>
      </c>
      <c r="E498" s="316" t="str">
        <f>VLOOKUP(Table2[[#This Row],[Course Title]],'TSD-Data'!$A$1:$E$80,3,FALSE)</f>
        <v>12JY</v>
      </c>
      <c r="F498" s="315" t="s">
        <v>266</v>
      </c>
      <c r="G498" s="317">
        <v>46223</v>
      </c>
      <c r="H498" s="317">
        <v>46227</v>
      </c>
      <c r="I498" s="317" t="s">
        <v>163</v>
      </c>
      <c r="J498" s="318">
        <v>0.33333333333333331</v>
      </c>
      <c r="K498" s="345"/>
      <c r="L498" s="344"/>
      <c r="M498" s="344"/>
      <c r="N498" s="344"/>
      <c r="O498" s="344"/>
      <c r="P498" s="344"/>
      <c r="Q498" s="321" t="s">
        <v>275</v>
      </c>
      <c r="R498" s="321"/>
      <c r="S498" s="321"/>
      <c r="T498" s="316">
        <f>VLOOKUP(Table2[[#This Row],[Course Title]],'TSD-Data'!$A$1:$E$80,4,FALSE)</f>
        <v>25</v>
      </c>
      <c r="U498" s="316">
        <f>VLOOKUP(Table2[[#This Row],[Course Title]],'TSD-Data'!$A$1:$F$80,6,FALSE)</f>
        <v>40</v>
      </c>
      <c r="V498" s="323">
        <f>VLOOKUP(Table2[[#This Row],[Course Title]],'TSD-Data'!$A$1:$F$80,5,FALSE)</f>
        <v>5</v>
      </c>
      <c r="W498" s="323">
        <v>55</v>
      </c>
      <c r="X498" s="316"/>
      <c r="Y498" s="316"/>
      <c r="Z498" s="323"/>
      <c r="AA498" s="323"/>
      <c r="AB498" s="316"/>
      <c r="AC498" s="316"/>
      <c r="AD498" s="316"/>
      <c r="AE498" s="316"/>
      <c r="AF498" s="323">
        <f ca="1">Table2[[#This Row],[End Date]]+2-TODAY()</f>
        <v>222</v>
      </c>
      <c r="AG498" s="316">
        <f>IF(ISBLANK(Table2[[#This Row],[Roster Received by]]),1,0)</f>
        <v>1</v>
      </c>
      <c r="AH498" s="316">
        <f ca="1">IF(Table2[[#This Row],[Start Date]]&gt;TODAY(),1,)</f>
        <v>1</v>
      </c>
      <c r="AI498" s="316">
        <f>IF(ISBLANK(Table2[[#This Row],[Primary Instructor]]),0,1)</f>
        <v>1</v>
      </c>
      <c r="AJ498" s="316">
        <f>IF(ISBLANK(Table2[[#This Row],[Instructor 2]]),0,1)</f>
        <v>0</v>
      </c>
      <c r="AK498" s="316">
        <f>Table2[[#This Row],[Course Length (Hours)]]/(SUM(Table2[[#This Row],[1]:[2]]))</f>
        <v>40</v>
      </c>
      <c r="AL498" s="124"/>
      <c r="AM498" s="444">
        <v>4</v>
      </c>
      <c r="AN498" s="363" t="str">
        <f>VLOOKUP(Table2[[#This Row],[Course Title]],'TSD-Data'!$A$1:$G$80,7,FALSE)</f>
        <v>N5</v>
      </c>
    </row>
    <row r="499" spans="2:40" s="428" customFormat="1" x14ac:dyDescent="0.25">
      <c r="B499" s="315"/>
      <c r="C499" s="364" t="s">
        <v>55</v>
      </c>
      <c r="D499" s="316" t="str">
        <f>VLOOKUP(Table2[[#This Row],[Course Title]],'TSD-Data'!$A$1:$E$80,2,FALSE)</f>
        <v>A-493-0021</v>
      </c>
      <c r="E499" s="316" t="str">
        <f>VLOOKUP(Table2[[#This Row],[Course Title]],'TSD-Data'!$A$1:$E$80,3,FALSE)</f>
        <v>18BN</v>
      </c>
      <c r="F499" s="315" t="s">
        <v>264</v>
      </c>
      <c r="G499" s="317">
        <v>46223</v>
      </c>
      <c r="H499" s="317">
        <v>46227</v>
      </c>
      <c r="I499" s="317" t="s">
        <v>163</v>
      </c>
      <c r="J499" s="318">
        <v>0.33333333333333331</v>
      </c>
      <c r="K499" s="318"/>
      <c r="L499" s="344"/>
      <c r="M499" s="317"/>
      <c r="N499" s="317"/>
      <c r="O499" s="317"/>
      <c r="P499" s="317"/>
      <c r="Q499" s="321" t="s">
        <v>275</v>
      </c>
      <c r="R499" s="321"/>
      <c r="S499" s="321"/>
      <c r="T499" s="316">
        <f>VLOOKUP(Table2[[#This Row],[Course Title]],'TSD-Data'!$A$1:$E$80,4,FALSE)</f>
        <v>35</v>
      </c>
      <c r="U499" s="316">
        <f>VLOOKUP(Table2[[#This Row],[Course Title]],'TSD-Data'!$A$1:$F$80,6,FALSE)</f>
        <v>30</v>
      </c>
      <c r="V499" s="323">
        <f>VLOOKUP(Table2[[#This Row],[Course Title]],'TSD-Data'!$A$1:$F$80,5,FALSE)</f>
        <v>5</v>
      </c>
      <c r="W499" s="323">
        <v>11</v>
      </c>
      <c r="X499" s="316"/>
      <c r="Y499" s="316"/>
      <c r="Z499" s="323"/>
      <c r="AA499" s="323"/>
      <c r="AB499" s="316"/>
      <c r="AC499" s="316"/>
      <c r="AD499" s="316"/>
      <c r="AE499" s="316"/>
      <c r="AF499" s="323">
        <f ca="1">Table2[[#This Row],[End Date]]+2-TODAY()</f>
        <v>222</v>
      </c>
      <c r="AG499" s="316">
        <f>IF(ISBLANK(Table2[[#This Row],[Roster Received by]]),1,0)</f>
        <v>1</v>
      </c>
      <c r="AH499" s="316">
        <f ca="1">IF(Table2[[#This Row],[Start Date]]&gt;TODAY(),1,)</f>
        <v>1</v>
      </c>
      <c r="AI499" s="316">
        <f>IF(ISBLANK(Table2[[#This Row],[Primary Instructor]]),0,1)</f>
        <v>1</v>
      </c>
      <c r="AJ499" s="316">
        <f>IF(ISBLANK(Table2[[#This Row],[Instructor 2]]),0,1)</f>
        <v>0</v>
      </c>
      <c r="AK499" s="316">
        <f>Table2[[#This Row],[Course Length (Hours)]]/(SUM(Table2[[#This Row],[1]:[2]]))</f>
        <v>30</v>
      </c>
      <c r="AL499" s="124"/>
      <c r="AM499" s="444">
        <v>4</v>
      </c>
      <c r="AN499" s="363" t="str">
        <f>VLOOKUP(Table2[[#This Row],[Course Title]],'TSD-Data'!$A$1:$G$80,7,FALSE)</f>
        <v>N5</v>
      </c>
    </row>
    <row r="500" spans="2:40" s="428" customFormat="1" x14ac:dyDescent="0.25">
      <c r="B500" s="437" t="s">
        <v>302</v>
      </c>
      <c r="C500" s="343" t="s">
        <v>61</v>
      </c>
      <c r="D500" s="316" t="str">
        <f>VLOOKUP(Table2[[#This Row],[Course Title]],'TSD-Data'!$A$1:$E$80,2,FALSE)</f>
        <v>A-493-0012</v>
      </c>
      <c r="E500" s="316">
        <f>VLOOKUP(Table2[[#This Row],[Course Title]],'TSD-Data'!$A$1:$E$80,3,FALSE)</f>
        <v>3682</v>
      </c>
      <c r="F500" s="342" t="s">
        <v>303</v>
      </c>
      <c r="G500" s="344">
        <v>46223</v>
      </c>
      <c r="H500" s="344">
        <v>46227</v>
      </c>
      <c r="I500" s="341" t="s">
        <v>167</v>
      </c>
      <c r="J500" s="318">
        <v>0.33333333333333331</v>
      </c>
      <c r="K500" s="318"/>
      <c r="L500" s="344"/>
      <c r="M500" s="317"/>
      <c r="N500" s="317"/>
      <c r="O500" s="317"/>
      <c r="P500" s="317"/>
      <c r="Q500" s="321" t="s">
        <v>438</v>
      </c>
      <c r="R500" s="321"/>
      <c r="S500" s="321"/>
      <c r="T500" s="316">
        <f>VLOOKUP(Table2[[#This Row],[Course Title]],'TSD-Data'!$A$1:$E$80,4,FALSE)</f>
        <v>40</v>
      </c>
      <c r="U500" s="316">
        <f>VLOOKUP(Table2[[#This Row],[Course Title]],'TSD-Data'!$A$1:$F$80,6,FALSE)</f>
        <v>40</v>
      </c>
      <c r="V500" s="323">
        <f>VLOOKUP(Table2[[#This Row],[Course Title]],'TSD-Data'!$A$1:$F$80,5,FALSE)</f>
        <v>5</v>
      </c>
      <c r="W500" s="316">
        <v>10</v>
      </c>
      <c r="X500" s="316"/>
      <c r="Y500" s="316"/>
      <c r="Z500" s="323"/>
      <c r="AA500" s="323"/>
      <c r="AB500" s="316"/>
      <c r="AC500" s="316"/>
      <c r="AD500" s="316"/>
      <c r="AE500" s="316"/>
      <c r="AF500" s="323">
        <f ca="1">Table2[[#This Row],[End Date]]+2-TODAY()</f>
        <v>222</v>
      </c>
      <c r="AG500" s="316">
        <f>IF(ISBLANK(Table2[[#This Row],[Roster Received by]]),1,0)</f>
        <v>1</v>
      </c>
      <c r="AH500" s="316">
        <f ca="1">IF(Table2[[#This Row],[Start Date]]&gt;TODAY(),1,)</f>
        <v>1</v>
      </c>
      <c r="AI500" s="316">
        <f>IF(ISBLANK(Table2[[#This Row],[Primary Instructor]]),0,1)</f>
        <v>1</v>
      </c>
      <c r="AJ500" s="316">
        <f>IF(ISBLANK(Table2[[#This Row],[Instructor 2]]),0,1)</f>
        <v>0</v>
      </c>
      <c r="AK500" s="316">
        <f>Table2[[#This Row],[Course Length (Hours)]]/(SUM(Table2[[#This Row],[1]:[2]]))</f>
        <v>40</v>
      </c>
      <c r="AL500" s="124"/>
      <c r="AM500" s="444">
        <v>4</v>
      </c>
      <c r="AN500" s="363" t="str">
        <f>VLOOKUP(Table2[[#This Row],[Course Title]],'TSD-Data'!$A$1:$G$80,7,FALSE)</f>
        <v>N4</v>
      </c>
    </row>
    <row r="501" spans="2:40" s="428" customFormat="1" x14ac:dyDescent="0.25">
      <c r="B501" s="315" t="s">
        <v>501</v>
      </c>
      <c r="C501" s="364" t="s">
        <v>63</v>
      </c>
      <c r="D501" s="316" t="str">
        <f>VLOOKUP(Table2[[#This Row],[Course Title]],'TSD-Data'!$A$1:$E$80,2,FALSE)</f>
        <v>A-493-0013</v>
      </c>
      <c r="E501" s="316">
        <f>VLOOKUP(Table2[[#This Row],[Course Title]],'TSD-Data'!$A$1:$E$80,3,FALSE)</f>
        <v>3683</v>
      </c>
      <c r="F501" s="315" t="s">
        <v>266</v>
      </c>
      <c r="G501" s="317">
        <v>46223</v>
      </c>
      <c r="H501" s="317">
        <v>46225</v>
      </c>
      <c r="I501" s="341" t="s">
        <v>167</v>
      </c>
      <c r="J501" s="318">
        <v>0.33333333333333331</v>
      </c>
      <c r="K501" s="318"/>
      <c r="L501" s="344"/>
      <c r="M501" s="317"/>
      <c r="N501" s="317"/>
      <c r="O501" s="317"/>
      <c r="P501" s="317"/>
      <c r="Q501" s="321" t="s">
        <v>453</v>
      </c>
      <c r="R501" s="321"/>
      <c r="S501" s="321"/>
      <c r="T501" s="316">
        <f>VLOOKUP(Table2[[#This Row],[Course Title]],'TSD-Data'!$A$1:$E$80,4,FALSE)</f>
        <v>40</v>
      </c>
      <c r="U501" s="316">
        <f>VLOOKUP(Table2[[#This Row],[Course Title]],'TSD-Data'!$A$1:$F$80,6,FALSE)</f>
        <v>24</v>
      </c>
      <c r="V501" s="323">
        <f>VLOOKUP(Table2[[#This Row],[Course Title]],'TSD-Data'!$A$1:$F$80,5,FALSE)</f>
        <v>3</v>
      </c>
      <c r="W501" s="323">
        <v>29</v>
      </c>
      <c r="X501" s="316"/>
      <c r="Y501" s="316"/>
      <c r="Z501" s="323"/>
      <c r="AA501" s="323"/>
      <c r="AB501" s="363"/>
      <c r="AC501" s="363"/>
      <c r="AD501" s="316"/>
      <c r="AE501" s="316"/>
      <c r="AF501" s="323">
        <f ca="1">Table2[[#This Row],[End Date]]+2-TODAY()</f>
        <v>220</v>
      </c>
      <c r="AG501" s="316">
        <f>IF(ISBLANK(Table2[[#This Row],[Roster Received by]]),1,0)</f>
        <v>1</v>
      </c>
      <c r="AH501" s="316">
        <f ca="1">IF(Table2[[#This Row],[Start Date]]&gt;TODAY(),1,)</f>
        <v>1</v>
      </c>
      <c r="AI501" s="316">
        <f>IF(ISBLANK(Table2[[#This Row],[Primary Instructor]]),0,1)</f>
        <v>1</v>
      </c>
      <c r="AJ501" s="316">
        <f>IF(ISBLANK(Table2[[#This Row],[Instructor 2]]),0,1)</f>
        <v>0</v>
      </c>
      <c r="AK501" s="316">
        <f>Table2[[#This Row],[Course Length (Hours)]]/(SUM(Table2[[#This Row],[1]:[2]]))</f>
        <v>24</v>
      </c>
      <c r="AL501" s="638"/>
      <c r="AM501" s="444">
        <v>4</v>
      </c>
      <c r="AN501" s="363" t="str">
        <f>VLOOKUP(Table2[[#This Row],[Course Title]],'TSD-Data'!$A$1:$G$80,7,FALSE)</f>
        <v>N4</v>
      </c>
    </row>
    <row r="502" spans="2:40" s="428" customFormat="1" x14ac:dyDescent="0.25">
      <c r="B502" s="315"/>
      <c r="C502" s="364" t="s">
        <v>80</v>
      </c>
      <c r="D502" s="316" t="str">
        <f>VLOOKUP(Table2[[#This Row],[Course Title]],'TSD-Data'!$A$1:$E$80,2,FALSE)</f>
        <v>A-493-0083</v>
      </c>
      <c r="E502" s="316" t="str">
        <f>VLOOKUP(Table2[[#This Row],[Course Title]],'TSD-Data'!$A$1:$E$80,3,FALSE)</f>
        <v>339E</v>
      </c>
      <c r="F502" s="364" t="s">
        <v>255</v>
      </c>
      <c r="G502" s="344">
        <v>46223</v>
      </c>
      <c r="H502" s="344">
        <v>46223</v>
      </c>
      <c r="I502" s="341" t="s">
        <v>167</v>
      </c>
      <c r="J502" s="318">
        <v>0.33333333333333331</v>
      </c>
      <c r="K502" s="345"/>
      <c r="L502" s="344"/>
      <c r="M502" s="317"/>
      <c r="N502" s="317"/>
      <c r="O502" s="317"/>
      <c r="P502" s="317"/>
      <c r="Q502" s="321" t="s">
        <v>168</v>
      </c>
      <c r="R502" s="321"/>
      <c r="S502" s="321"/>
      <c r="T502" s="316">
        <f>VLOOKUP(Table2[[#This Row],[Course Title]],'TSD-Data'!$A$1:$E$80,4,FALSE)</f>
        <v>30</v>
      </c>
      <c r="U502" s="316">
        <f>VLOOKUP(Table2[[#This Row],[Course Title]],'TSD-Data'!$A$1:$F$80,6,FALSE)</f>
        <v>8</v>
      </c>
      <c r="V502" s="323">
        <f>VLOOKUP(Table2[[#This Row],[Course Title]],'TSD-Data'!$A$1:$F$80,5,FALSE)</f>
        <v>1</v>
      </c>
      <c r="W502" s="323">
        <v>0</v>
      </c>
      <c r="X502" s="316"/>
      <c r="Y502" s="316"/>
      <c r="Z502" s="323"/>
      <c r="AA502" s="323"/>
      <c r="AB502" s="363"/>
      <c r="AC502" s="363"/>
      <c r="AD502" s="316"/>
      <c r="AE502" s="316"/>
      <c r="AF502" s="323">
        <f ca="1">Table2[[#This Row],[End Date]]+2-TODAY()</f>
        <v>218</v>
      </c>
      <c r="AG502" s="316">
        <f>IF(ISBLANK(Table2[[#This Row],[Roster Received by]]),1,0)</f>
        <v>1</v>
      </c>
      <c r="AH502" s="316">
        <f ca="1">IF(Table2[[#This Row],[Start Date]]&gt;TODAY(),1,)</f>
        <v>1</v>
      </c>
      <c r="AI502" s="316">
        <f>IF(ISBLANK(Table2[[#This Row],[Primary Instructor]]),0,1)</f>
        <v>1</v>
      </c>
      <c r="AJ502" s="316">
        <f>IF(ISBLANK(Table2[[#This Row],[Instructor 2]]),0,1)</f>
        <v>0</v>
      </c>
      <c r="AK502" s="316">
        <f>Table2[[#This Row],[Course Length (Hours)]]/(SUM(Table2[[#This Row],[1]:[2]]))</f>
        <v>8</v>
      </c>
      <c r="AL502" s="638"/>
      <c r="AM502" s="444">
        <v>4</v>
      </c>
      <c r="AN502" s="363" t="str">
        <f>VLOOKUP(Table2[[#This Row],[Course Title]],'TSD-Data'!$A$1:$G$80,7,FALSE)</f>
        <v>N4</v>
      </c>
    </row>
    <row r="503" spans="2:40" s="428" customFormat="1" x14ac:dyDescent="0.25">
      <c r="B503" s="315"/>
      <c r="C503" s="364" t="s">
        <v>116</v>
      </c>
      <c r="D503" s="316" t="str">
        <f>VLOOKUP(Table2[[#This Row],[Course Title]],'TSD-Data'!$A$1:$E$80,2,FALSE)</f>
        <v>A-493-0072</v>
      </c>
      <c r="E503" s="316" t="str">
        <f>VLOOKUP(Table2[[#This Row],[Course Title]],'TSD-Data'!$A$1:$E$80,3,FALSE)</f>
        <v>713U</v>
      </c>
      <c r="F503" s="364" t="s">
        <v>170</v>
      </c>
      <c r="G503" s="317">
        <v>46223</v>
      </c>
      <c r="H503" s="317">
        <v>46227</v>
      </c>
      <c r="I503" s="317" t="s">
        <v>163</v>
      </c>
      <c r="J503" s="318">
        <v>0.33333333333333331</v>
      </c>
      <c r="K503" s="345"/>
      <c r="L503" s="344"/>
      <c r="M503" s="344"/>
      <c r="N503" s="344"/>
      <c r="O503" s="344"/>
      <c r="P503" s="344"/>
      <c r="Q503" s="321" t="s">
        <v>174</v>
      </c>
      <c r="R503" s="321"/>
      <c r="S503" s="321" t="s">
        <v>431</v>
      </c>
      <c r="T503" s="316">
        <f>VLOOKUP(Table2[[#This Row],[Course Title]],'TSD-Data'!$A$1:$E$80,4,FALSE)</f>
        <v>30</v>
      </c>
      <c r="U503" s="316">
        <f>VLOOKUP(Table2[[#This Row],[Course Title]],'TSD-Data'!$A$1:$F$80,6,FALSE)</f>
        <v>40</v>
      </c>
      <c r="V503" s="323">
        <f>VLOOKUP(Table2[[#This Row],[Course Title]],'TSD-Data'!$A$1:$F$80,5,FALSE)</f>
        <v>5</v>
      </c>
      <c r="W503" s="323">
        <v>78</v>
      </c>
      <c r="X503" s="316"/>
      <c r="Y503" s="316"/>
      <c r="Z503" s="323"/>
      <c r="AA503" s="323"/>
      <c r="AB503" s="316"/>
      <c r="AC503" s="316"/>
      <c r="AD503" s="316"/>
      <c r="AE503" s="316"/>
      <c r="AF503" s="323">
        <f ca="1">Table2[[#This Row],[End Date]]+2-TODAY()</f>
        <v>222</v>
      </c>
      <c r="AG503" s="316">
        <f>IF(ISBLANK(Table2[[#This Row],[Roster Received by]]),1,0)</f>
        <v>1</v>
      </c>
      <c r="AH503" s="316">
        <f ca="1">IF(Table2[[#This Row],[Start Date]]&gt;TODAY(),1,)</f>
        <v>1</v>
      </c>
      <c r="AI503" s="316">
        <f>IF(ISBLANK(Table2[[#This Row],[Primary Instructor]]),0,1)</f>
        <v>1</v>
      </c>
      <c r="AJ503" s="316">
        <f>IF(ISBLANK(Table2[[#This Row],[Instructor 2]]),0,1)</f>
        <v>0</v>
      </c>
      <c r="AK503" s="316">
        <f>Table2[[#This Row],[Course Length (Hours)]]/(SUM(Table2[[#This Row],[1]:[2]]))</f>
        <v>40</v>
      </c>
      <c r="AL503" s="124"/>
      <c r="AM503" s="444">
        <v>4</v>
      </c>
      <c r="AN503" s="363" t="str">
        <f>VLOOKUP(Table2[[#This Row],[Course Title]],'TSD-Data'!$A$1:$G$80,7,FALSE)</f>
        <v>N3</v>
      </c>
    </row>
    <row r="504" spans="2:40" s="428" customFormat="1" x14ac:dyDescent="0.25">
      <c r="B504" s="315" t="s">
        <v>502</v>
      </c>
      <c r="C504" s="364" t="s">
        <v>63</v>
      </c>
      <c r="D504" s="421" t="str">
        <f>VLOOKUP(Table2[[#This Row],[Course Title]],'TSD-Data'!$A$1:$E$80,2,FALSE)</f>
        <v>A-493-0013</v>
      </c>
      <c r="E504" s="421">
        <f>VLOOKUP(Table2[[#This Row],[Course Title]],'TSD-Data'!$A$1:$E$80,3,FALSE)</f>
        <v>3683</v>
      </c>
      <c r="F504" s="364" t="s">
        <v>327</v>
      </c>
      <c r="G504" s="344">
        <v>46224</v>
      </c>
      <c r="H504" s="344">
        <v>46226</v>
      </c>
      <c r="I504" s="341" t="s">
        <v>167</v>
      </c>
      <c r="J504" s="318">
        <v>0.33333333333333331</v>
      </c>
      <c r="K504" s="318"/>
      <c r="L504" s="317"/>
      <c r="M504" s="317"/>
      <c r="N504" s="317"/>
      <c r="O504" s="317"/>
      <c r="P504" s="317"/>
      <c r="Q504" s="321" t="s">
        <v>447</v>
      </c>
      <c r="R504" s="321"/>
      <c r="S504" s="321"/>
      <c r="T504" s="316">
        <f>VLOOKUP(Table2[[#This Row],[Course Title]],'TSD-Data'!$A$1:$E$80,4,FALSE)</f>
        <v>40</v>
      </c>
      <c r="U504" s="316">
        <f>VLOOKUP(Table2[[#This Row],[Course Title]],'TSD-Data'!$A$1:$F$80,6,FALSE)</f>
        <v>24</v>
      </c>
      <c r="V504" s="323">
        <f>VLOOKUP(Table2[[#This Row],[Course Title]],'TSD-Data'!$A$1:$F$80,5,FALSE)</f>
        <v>3</v>
      </c>
      <c r="W504" s="323">
        <v>32</v>
      </c>
      <c r="X504" s="316"/>
      <c r="Y504" s="316"/>
      <c r="Z504" s="323"/>
      <c r="AA504" s="323"/>
      <c r="AB504" s="363"/>
      <c r="AC504" s="363"/>
      <c r="AD504" s="316"/>
      <c r="AE504" s="316"/>
      <c r="AF504" s="323">
        <f ca="1">Table2[[#This Row],[End Date]]+2-TODAY()</f>
        <v>221</v>
      </c>
      <c r="AG504" s="316">
        <f>IF(ISBLANK(Table2[[#This Row],[Roster Received by]]),1,0)</f>
        <v>1</v>
      </c>
      <c r="AH504" s="316">
        <f ca="1">IF(Table2[[#This Row],[Start Date]]&gt;TODAY(),1,)</f>
        <v>1</v>
      </c>
      <c r="AI504" s="316">
        <f>IF(ISBLANK(Table2[[#This Row],[Primary Instructor]]),0,1)</f>
        <v>1</v>
      </c>
      <c r="AJ504" s="316">
        <f>IF(ISBLANK(Table2[[#This Row],[Instructor 2]]),0,1)</f>
        <v>0</v>
      </c>
      <c r="AK504" s="316">
        <f>Table2[[#This Row],[Course Length (Hours)]]/(SUM(Table2[[#This Row],[1]:[2]]))</f>
        <v>24</v>
      </c>
      <c r="AL504" s="638"/>
      <c r="AM504" s="444">
        <v>4</v>
      </c>
      <c r="AN504" s="363" t="str">
        <f>VLOOKUP(Table2[[#This Row],[Course Title]],'TSD-Data'!$A$1:$G$80,7,FALSE)</f>
        <v>N4</v>
      </c>
    </row>
    <row r="505" spans="2:40" s="428" customFormat="1" x14ac:dyDescent="0.25">
      <c r="B505" s="315"/>
      <c r="C505" s="315" t="s">
        <v>80</v>
      </c>
      <c r="D505" s="316" t="str">
        <f>VLOOKUP(Table2[[#This Row],[Course Title]],'TSD-Data'!$A$1:$E$80,2,FALSE)</f>
        <v>A-493-0083</v>
      </c>
      <c r="E505" s="316" t="str">
        <f>VLOOKUP(Table2[[#This Row],[Course Title]],'TSD-Data'!$A$1:$E$80,3,FALSE)</f>
        <v>339E</v>
      </c>
      <c r="F505" s="315" t="s">
        <v>255</v>
      </c>
      <c r="G505" s="317">
        <v>46224</v>
      </c>
      <c r="H505" s="317">
        <v>46224</v>
      </c>
      <c r="I505" s="341" t="s">
        <v>167</v>
      </c>
      <c r="J505" s="318">
        <v>0.33333333333333331</v>
      </c>
      <c r="K505" s="318"/>
      <c r="L505" s="344"/>
      <c r="M505" s="317"/>
      <c r="N505" s="317"/>
      <c r="O505" s="317"/>
      <c r="P505" s="317"/>
      <c r="Q505" s="321" t="s">
        <v>168</v>
      </c>
      <c r="R505" s="321"/>
      <c r="S505" s="321"/>
      <c r="T505" s="316">
        <f>VLOOKUP(Table2[[#This Row],[Course Title]],'TSD-Data'!$A$1:$E$80,4,FALSE)</f>
        <v>30</v>
      </c>
      <c r="U505" s="316">
        <f>VLOOKUP(Table2[[#This Row],[Course Title]],'TSD-Data'!$A$1:$F$80,6,FALSE)</f>
        <v>8</v>
      </c>
      <c r="V505" s="323">
        <f>VLOOKUP(Table2[[#This Row],[Course Title]],'TSD-Data'!$A$1:$F$80,5,FALSE)</f>
        <v>1</v>
      </c>
      <c r="W505" s="323">
        <v>0</v>
      </c>
      <c r="X505" s="316"/>
      <c r="Y505" s="316"/>
      <c r="Z505" s="323"/>
      <c r="AA505" s="323"/>
      <c r="AB505" s="363"/>
      <c r="AC505" s="363"/>
      <c r="AD505" s="316"/>
      <c r="AE505" s="316"/>
      <c r="AF505" s="323">
        <f ca="1">Table2[[#This Row],[End Date]]+2-TODAY()</f>
        <v>219</v>
      </c>
      <c r="AG505" s="316">
        <f>IF(ISBLANK(Table2[[#This Row],[Roster Received by]]),1,0)</f>
        <v>1</v>
      </c>
      <c r="AH505" s="316">
        <f ca="1">IF(Table2[[#This Row],[Start Date]]&gt;TODAY(),1,)</f>
        <v>1</v>
      </c>
      <c r="AI505" s="316">
        <f>IF(ISBLANK(Table2[[#This Row],[Primary Instructor]]),0,1)</f>
        <v>1</v>
      </c>
      <c r="AJ505" s="316">
        <f>IF(ISBLANK(Table2[[#This Row],[Instructor 2]]),0,1)</f>
        <v>0</v>
      </c>
      <c r="AK505" s="316">
        <f>Table2[[#This Row],[Course Length (Hours)]]/(SUM(Table2[[#This Row],[1]:[2]]))</f>
        <v>8</v>
      </c>
      <c r="AL505" s="638"/>
      <c r="AM505" s="444">
        <v>4</v>
      </c>
      <c r="AN505" s="363" t="str">
        <f>VLOOKUP(Table2[[#This Row],[Course Title]],'TSD-Data'!$A$1:$G$80,7,FALSE)</f>
        <v>N4</v>
      </c>
    </row>
    <row r="506" spans="2:40" s="428" customFormat="1" x14ac:dyDescent="0.25">
      <c r="B506" s="315"/>
      <c r="C506" s="439" t="s">
        <v>94</v>
      </c>
      <c r="D506" s="421" t="str">
        <f>VLOOKUP(Table2[[#This Row],[Course Title]],'TSD-Data'!$A$1:$E$80,2,FALSE)</f>
        <v>A-493-0331</v>
      </c>
      <c r="E506" s="421" t="str">
        <f>VLOOKUP(Table2[[#This Row],[Course Title]],'TSD-Data'!$A$1:$E$80,3,FALSE)</f>
        <v>10UG</v>
      </c>
      <c r="F506" s="364" t="s">
        <v>25</v>
      </c>
      <c r="G506" s="344">
        <v>46224</v>
      </c>
      <c r="H506" s="344">
        <v>46226</v>
      </c>
      <c r="I506" s="317" t="s">
        <v>163</v>
      </c>
      <c r="J506" s="318"/>
      <c r="K506" s="318">
        <v>0.79166666666666663</v>
      </c>
      <c r="L506" s="431">
        <v>0.66666666666666663</v>
      </c>
      <c r="M506" s="431">
        <v>8.3333333333333329E-2</v>
      </c>
      <c r="N506" s="431">
        <v>0</v>
      </c>
      <c r="O506" s="431">
        <v>0.54166666666666663</v>
      </c>
      <c r="P506" s="431">
        <v>0.33333333333333331</v>
      </c>
      <c r="Q506" s="321" t="s">
        <v>436</v>
      </c>
      <c r="R506" s="321"/>
      <c r="S506" s="321"/>
      <c r="T506" s="316">
        <f>VLOOKUP(Table2[[#This Row],[Course Title]],'TSD-Data'!$A$1:$E$80,4,FALSE)</f>
        <v>45</v>
      </c>
      <c r="U506" s="316">
        <f>VLOOKUP(Table2[[#This Row],[Course Title]],'TSD-Data'!$A$1:$F$80,6,FALSE)</f>
        <v>24</v>
      </c>
      <c r="V506" s="323">
        <f>VLOOKUP(Table2[[#This Row],[Course Title]],'TSD-Data'!$A$1:$F$80,5,FALSE)</f>
        <v>3</v>
      </c>
      <c r="W506" s="323">
        <v>183</v>
      </c>
      <c r="X506" s="316"/>
      <c r="Y506" s="316"/>
      <c r="Z506" s="323"/>
      <c r="AA506" s="323"/>
      <c r="AB506" s="316"/>
      <c r="AC506" s="316"/>
      <c r="AD506" s="316"/>
      <c r="AE506" s="316"/>
      <c r="AF506" s="323">
        <f ca="1">Table2[[#This Row],[End Date]]+2-TODAY()</f>
        <v>221</v>
      </c>
      <c r="AG506" s="316">
        <f>IF(ISBLANK(Table2[[#This Row],[Roster Received by]]),1,0)</f>
        <v>1</v>
      </c>
      <c r="AH506" s="316">
        <f ca="1">IF(Table2[[#This Row],[Start Date]]&gt;TODAY(),1,)</f>
        <v>1</v>
      </c>
      <c r="AI506" s="316">
        <f>IF(ISBLANK(Table2[[#This Row],[Primary Instructor]]),0,1)</f>
        <v>1</v>
      </c>
      <c r="AJ506" s="316">
        <f>IF(ISBLANK(Table2[[#This Row],[Instructor 2]]),0,1)</f>
        <v>0</v>
      </c>
      <c r="AK506" s="316">
        <f>Table2[[#This Row],[Course Length (Hours)]]/(SUM(Table2[[#This Row],[1]:[2]]))</f>
        <v>24</v>
      </c>
      <c r="AL506" s="124"/>
      <c r="AM506" s="444">
        <v>4</v>
      </c>
      <c r="AN506" s="363" t="str">
        <f>VLOOKUP(Table2[[#This Row],[Course Title]],'TSD-Data'!$A$1:$G$80,7,FALSE)</f>
        <v>N3</v>
      </c>
    </row>
    <row r="507" spans="2:40" s="428" customFormat="1" x14ac:dyDescent="0.25">
      <c r="B507" s="315"/>
      <c r="C507" s="315" t="s">
        <v>110</v>
      </c>
      <c r="D507" s="316" t="str">
        <f>VLOOKUP(Table2[[#This Row],[Course Title]],'TSD-Data'!$A$1:$E$80,2,FALSE)</f>
        <v>A-493-2501</v>
      </c>
      <c r="E507" s="316" t="str">
        <f>VLOOKUP(Table2[[#This Row],[Course Title]],'TSD-Data'!$A$1:$E$80,3,FALSE)</f>
        <v>05ZE</v>
      </c>
      <c r="F507" s="315" t="s">
        <v>343</v>
      </c>
      <c r="G507" s="317">
        <v>46224</v>
      </c>
      <c r="H507" s="317">
        <v>46224</v>
      </c>
      <c r="I507" s="341" t="s">
        <v>167</v>
      </c>
      <c r="J507" s="318">
        <v>0.33333333333333331</v>
      </c>
      <c r="K507" s="318"/>
      <c r="L507" s="344"/>
      <c r="M507" s="317"/>
      <c r="N507" s="317"/>
      <c r="O507" s="317"/>
      <c r="P507" s="317"/>
      <c r="Q507" s="321" t="s">
        <v>168</v>
      </c>
      <c r="R507" s="321"/>
      <c r="S507" s="321"/>
      <c r="T507" s="316">
        <f>VLOOKUP(Table2[[#This Row],[Course Title]],'TSD-Data'!$A$1:$E$80,4,FALSE)</f>
        <v>30</v>
      </c>
      <c r="U507" s="316">
        <f>VLOOKUP(Table2[[#This Row],[Course Title]],'TSD-Data'!$A$1:$F$80,6,FALSE)</f>
        <v>8</v>
      </c>
      <c r="V507" s="323">
        <f>VLOOKUP(Table2[[#This Row],[Course Title]],'TSD-Data'!$A$1:$F$80,5,FALSE)</f>
        <v>1</v>
      </c>
      <c r="W507" s="323">
        <v>60</v>
      </c>
      <c r="X507" s="316"/>
      <c r="Y507" s="316"/>
      <c r="Z507" s="323"/>
      <c r="AA507" s="323"/>
      <c r="AB507" s="363"/>
      <c r="AC507" s="363"/>
      <c r="AD507" s="316"/>
      <c r="AE507" s="316"/>
      <c r="AF507" s="323">
        <f ca="1">Table2[[#This Row],[End Date]]+2-TODAY()</f>
        <v>219</v>
      </c>
      <c r="AG507" s="316">
        <f>IF(ISBLANK(Table2[[#This Row],[Roster Received by]]),1,0)</f>
        <v>1</v>
      </c>
      <c r="AH507" s="316">
        <f ca="1">IF(Table2[[#This Row],[Start Date]]&gt;TODAY(),1,)</f>
        <v>1</v>
      </c>
      <c r="AI507" s="316">
        <f>IF(ISBLANK(Table2[[#This Row],[Primary Instructor]]),0,1)</f>
        <v>1</v>
      </c>
      <c r="AJ507" s="316">
        <f>IF(ISBLANK(Table2[[#This Row],[Instructor 2]]),0,1)</f>
        <v>0</v>
      </c>
      <c r="AK507" s="316">
        <f>Table2[[#This Row],[Course Length (Hours)]]/(SUM(Table2[[#This Row],[1]:[2]]))</f>
        <v>8</v>
      </c>
      <c r="AL507" s="638"/>
      <c r="AM507" s="444">
        <v>4</v>
      </c>
      <c r="AN507" s="363" t="str">
        <f>VLOOKUP(Table2[[#This Row],[Course Title]],'TSD-Data'!$A$1:$G$80,7,FALSE)</f>
        <v>N4</v>
      </c>
    </row>
    <row r="508" spans="2:40" s="428" customFormat="1" x14ac:dyDescent="0.25">
      <c r="B508" s="315"/>
      <c r="C508" s="364" t="s">
        <v>65</v>
      </c>
      <c r="D508" s="316" t="str">
        <f>VLOOKUP(Table2[[#This Row],[Course Title]],'TSD-Data'!$A$1:$E$80,2,FALSE)</f>
        <v>A-493-0099</v>
      </c>
      <c r="E508" s="316" t="str">
        <f>VLOOKUP(Table2[[#This Row],[Course Title]],'TSD-Data'!$A$1:$E$80,3,FALSE)</f>
        <v>12JW</v>
      </c>
      <c r="F508" s="315" t="s">
        <v>25</v>
      </c>
      <c r="G508" s="317">
        <v>46225</v>
      </c>
      <c r="H508" s="317">
        <v>46227</v>
      </c>
      <c r="I508" s="317" t="s">
        <v>163</v>
      </c>
      <c r="J508" s="318"/>
      <c r="K508" s="318">
        <v>0.5</v>
      </c>
      <c r="L508" s="431">
        <v>0.375</v>
      </c>
      <c r="M508" s="431">
        <v>0.79166666666666663</v>
      </c>
      <c r="N508" s="431">
        <v>0.75</v>
      </c>
      <c r="O508" s="431">
        <v>0.25</v>
      </c>
      <c r="P508" s="431">
        <v>4.1666666666666664E-2</v>
      </c>
      <c r="Q508" s="321" t="s">
        <v>273</v>
      </c>
      <c r="R508" s="321"/>
      <c r="S508" s="321"/>
      <c r="T508" s="316">
        <f>VLOOKUP(Table2[[#This Row],[Course Title]],'TSD-Data'!$A$1:$E$80,4,FALSE)</f>
        <v>45</v>
      </c>
      <c r="U508" s="316">
        <f>VLOOKUP(Table2[[#This Row],[Course Title]],'TSD-Data'!$A$1:$F$80,6,FALSE)</f>
        <v>24</v>
      </c>
      <c r="V508" s="323">
        <f>VLOOKUP(Table2[[#This Row],[Course Title]],'TSD-Data'!$A$1:$F$80,5,FALSE)</f>
        <v>3</v>
      </c>
      <c r="W508" s="323">
        <v>1041</v>
      </c>
      <c r="X508" s="316"/>
      <c r="Y508" s="316"/>
      <c r="Z508" s="323"/>
      <c r="AA508" s="323"/>
      <c r="AB508" s="316"/>
      <c r="AC508" s="316"/>
      <c r="AD508" s="316"/>
      <c r="AE508" s="316"/>
      <c r="AF508" s="323">
        <f ca="1">Table2[[#This Row],[End Date]]+2-TODAY()</f>
        <v>222</v>
      </c>
      <c r="AG508" s="316">
        <f>IF(ISBLANK(Table2[[#This Row],[Roster Received by]]),1,0)</f>
        <v>1</v>
      </c>
      <c r="AH508" s="316">
        <f ca="1">IF(Table2[[#This Row],[Start Date]]&gt;TODAY(),1,)</f>
        <v>1</v>
      </c>
      <c r="AI508" s="316">
        <f>IF(ISBLANK(Table2[[#This Row],[Primary Instructor]]),0,1)</f>
        <v>1</v>
      </c>
      <c r="AJ508" s="316">
        <f>IF(ISBLANK(Table2[[#This Row],[Instructor 2]]),0,1)</f>
        <v>0</v>
      </c>
      <c r="AK508" s="316">
        <f>Table2[[#This Row],[Course Length (Hours)]]/(SUM(Table2[[#This Row],[1]:[2]]))</f>
        <v>24</v>
      </c>
      <c r="AL508" s="124"/>
      <c r="AM508" s="444">
        <v>4</v>
      </c>
      <c r="AN508" s="363" t="str">
        <f>VLOOKUP(Table2[[#This Row],[Course Title]],'TSD-Data'!$A$1:$G$80,7,FALSE)</f>
        <v>N5</v>
      </c>
    </row>
    <row r="509" spans="2:40" s="428" customFormat="1" x14ac:dyDescent="0.25">
      <c r="B509" s="315"/>
      <c r="C509" s="364" t="s">
        <v>48</v>
      </c>
      <c r="D509" s="316" t="str">
        <f>VLOOKUP(Table2[[#This Row],[Course Title]],'TSD-Data'!$A$1:$E$80,2,FALSE)</f>
        <v>A-493-0103</v>
      </c>
      <c r="E509" s="316" t="str">
        <f>VLOOKUP(Table2[[#This Row],[Course Title]],'TSD-Data'!$A$1:$E$80,3,FALSE)</f>
        <v>12JY</v>
      </c>
      <c r="F509" s="315" t="s">
        <v>259</v>
      </c>
      <c r="G509" s="317">
        <v>46230</v>
      </c>
      <c r="H509" s="317">
        <v>46234</v>
      </c>
      <c r="I509" s="317" t="s">
        <v>163</v>
      </c>
      <c r="J509" s="318">
        <v>0.33333333333333331</v>
      </c>
      <c r="K509" s="318"/>
      <c r="L509" s="344"/>
      <c r="M509" s="317"/>
      <c r="N509" s="317"/>
      <c r="O509" s="317"/>
      <c r="P509" s="317"/>
      <c r="Q509" s="321" t="s">
        <v>275</v>
      </c>
      <c r="R509" s="321"/>
      <c r="S509" s="321"/>
      <c r="T509" s="316">
        <f>VLOOKUP(Table2[[#This Row],[Course Title]],'TSD-Data'!$A$1:$E$80,4,FALSE)</f>
        <v>25</v>
      </c>
      <c r="U509" s="316">
        <f>VLOOKUP(Table2[[#This Row],[Course Title]],'TSD-Data'!$A$1:$F$80,6,FALSE)</f>
        <v>40</v>
      </c>
      <c r="V509" s="323">
        <f>VLOOKUP(Table2[[#This Row],[Course Title]],'TSD-Data'!$A$1:$F$80,5,FALSE)</f>
        <v>5</v>
      </c>
      <c r="W509" s="323">
        <v>67</v>
      </c>
      <c r="X509" s="316"/>
      <c r="Y509" s="316"/>
      <c r="Z509" s="323"/>
      <c r="AA509" s="323"/>
      <c r="AB509" s="316"/>
      <c r="AC509" s="316"/>
      <c r="AD509" s="316"/>
      <c r="AE509" s="316"/>
      <c r="AF509" s="323">
        <f ca="1">Table2[[#This Row],[End Date]]+2-TODAY()</f>
        <v>229</v>
      </c>
      <c r="AG509" s="316">
        <f>IF(ISBLANK(Table2[[#This Row],[Roster Received by]]),1,0)</f>
        <v>1</v>
      </c>
      <c r="AH509" s="316">
        <f ca="1">IF(Table2[[#This Row],[Start Date]]&gt;TODAY(),1,)</f>
        <v>1</v>
      </c>
      <c r="AI509" s="316">
        <f>IF(ISBLANK(Table2[[#This Row],[Primary Instructor]]),0,1)</f>
        <v>1</v>
      </c>
      <c r="AJ509" s="316">
        <f>IF(ISBLANK(Table2[[#This Row],[Instructor 2]]),0,1)</f>
        <v>0</v>
      </c>
      <c r="AK509" s="316">
        <f>Table2[[#This Row],[Course Length (Hours)]]/(SUM(Table2[[#This Row],[1]:[2]]))</f>
        <v>40</v>
      </c>
      <c r="AL509" s="124"/>
      <c r="AM509" s="444">
        <v>4</v>
      </c>
      <c r="AN509" s="363" t="str">
        <f>VLOOKUP(Table2[[#This Row],[Course Title]],'TSD-Data'!$A$1:$G$80,7,FALSE)</f>
        <v>N5</v>
      </c>
    </row>
    <row r="510" spans="2:40" s="428" customFormat="1" x14ac:dyDescent="0.25">
      <c r="B510" s="315"/>
      <c r="C510" s="364" t="s">
        <v>48</v>
      </c>
      <c r="D510" s="363" t="str">
        <f>VLOOKUP(Table2[[#This Row],[Course Title]],'TSD-Data'!$A$1:$E$80,2,FALSE)</f>
        <v>A-493-0103</v>
      </c>
      <c r="E510" s="363" t="str">
        <f>VLOOKUP(Table2[[#This Row],[Course Title]],'TSD-Data'!$A$1:$E$80,3,FALSE)</f>
        <v>12JY</v>
      </c>
      <c r="F510" s="441" t="s">
        <v>279</v>
      </c>
      <c r="G510" s="317">
        <v>46230</v>
      </c>
      <c r="H510" s="317">
        <v>46234</v>
      </c>
      <c r="I510" s="317" t="s">
        <v>163</v>
      </c>
      <c r="J510" s="318">
        <v>0.33333333333333331</v>
      </c>
      <c r="K510" s="318"/>
      <c r="L510" s="344"/>
      <c r="M510" s="317"/>
      <c r="N510" s="317"/>
      <c r="O510" s="317"/>
      <c r="P510" s="317"/>
      <c r="Q510" s="321" t="s">
        <v>275</v>
      </c>
      <c r="R510" s="321"/>
      <c r="S510" s="321"/>
      <c r="T510" s="316">
        <f>VLOOKUP(Table2[[#This Row],[Course Title]],'TSD-Data'!$A$1:$E$80,4,FALSE)</f>
        <v>25</v>
      </c>
      <c r="U510" s="363">
        <f>VLOOKUP(Table2[[#This Row],[Course Title]],'TSD-Data'!$A$1:$F$80,6,FALSE)</f>
        <v>40</v>
      </c>
      <c r="V510" s="323">
        <f>VLOOKUP(Table2[[#This Row],[Course Title]],'TSD-Data'!$A$1:$F$80,5,FALSE)</f>
        <v>5</v>
      </c>
      <c r="W510" s="323">
        <v>225</v>
      </c>
      <c r="X510" s="316"/>
      <c r="Y510" s="316"/>
      <c r="Z510" s="323"/>
      <c r="AA510" s="323"/>
      <c r="AB510" s="363"/>
      <c r="AC510" s="363"/>
      <c r="AD510" s="316"/>
      <c r="AE510" s="316"/>
      <c r="AF510" s="323">
        <f ca="1">Table2[[#This Row],[End Date]]+2-TODAY()</f>
        <v>229</v>
      </c>
      <c r="AG510" s="316">
        <f>IF(ISBLANK(Table2[[#This Row],[Roster Received by]]),1,0)</f>
        <v>1</v>
      </c>
      <c r="AH510" s="316">
        <f ca="1">IF(Table2[[#This Row],[Start Date]]&gt;TODAY(),1,)</f>
        <v>1</v>
      </c>
      <c r="AI510" s="316">
        <f>IF(ISBLANK(Table2[[#This Row],[Primary Instructor]]),0,1)</f>
        <v>1</v>
      </c>
      <c r="AJ510" s="316">
        <f>IF(ISBLANK(Table2[[#This Row],[Instructor 2]]),0,1)</f>
        <v>0</v>
      </c>
      <c r="AK510" s="316">
        <f>Table2[[#This Row],[Course Length (Hours)]]/(SUM(Table2[[#This Row],[1]:[2]]))</f>
        <v>40</v>
      </c>
      <c r="AL510" s="638"/>
      <c r="AM510" s="444">
        <v>4</v>
      </c>
      <c r="AN510" s="363" t="str">
        <f>VLOOKUP(Table2[[#This Row],[Course Title]],'TSD-Data'!$A$1:$G$80,7,FALSE)</f>
        <v>N5</v>
      </c>
    </row>
    <row r="511" spans="2:40" s="428" customFormat="1" x14ac:dyDescent="0.25">
      <c r="B511" s="315"/>
      <c r="C511" s="364" t="s">
        <v>71</v>
      </c>
      <c r="D511" s="316" t="str">
        <f>VLOOKUP(Table2[[#This Row],[Course Title]],'TSD-Data'!$A$1:$E$80,2,FALSE)</f>
        <v>A-493-0061</v>
      </c>
      <c r="E511" s="316" t="str">
        <f>VLOOKUP(Table2[[#This Row],[Course Title]],'TSD-Data'!$A$1:$E$80,3,FALSE)</f>
        <v>288E</v>
      </c>
      <c r="F511" s="315" t="s">
        <v>25</v>
      </c>
      <c r="G511" s="317">
        <v>46230</v>
      </c>
      <c r="H511" s="317">
        <v>46233</v>
      </c>
      <c r="I511" s="317" t="s">
        <v>163</v>
      </c>
      <c r="J511" s="318"/>
      <c r="K511" s="318">
        <v>0.5</v>
      </c>
      <c r="L511" s="431">
        <v>0.375</v>
      </c>
      <c r="M511" s="431">
        <v>0.79166666666666663</v>
      </c>
      <c r="N511" s="431">
        <v>0.75</v>
      </c>
      <c r="O511" s="431">
        <v>0.25</v>
      </c>
      <c r="P511" s="431">
        <v>4.1666666666666664E-2</v>
      </c>
      <c r="Q511" s="321" t="s">
        <v>272</v>
      </c>
      <c r="R511" s="321"/>
      <c r="S511" s="321"/>
      <c r="T511" s="316">
        <f>VLOOKUP(Table2[[#This Row],[Course Title]],'TSD-Data'!$A$1:$E$80,4,FALSE)</f>
        <v>45</v>
      </c>
      <c r="U511" s="316">
        <f>VLOOKUP(Table2[[#This Row],[Course Title]],'TSD-Data'!$A$1:$F$80,6,FALSE)</f>
        <v>30</v>
      </c>
      <c r="V511" s="323">
        <f>VLOOKUP(Table2[[#This Row],[Course Title]],'TSD-Data'!$A$1:$F$80,5,FALSE)</f>
        <v>4</v>
      </c>
      <c r="W511" s="323">
        <v>620</v>
      </c>
      <c r="X511" s="316"/>
      <c r="Y511" s="316"/>
      <c r="Z511" s="323"/>
      <c r="AA511" s="323"/>
      <c r="AB511" s="316"/>
      <c r="AC511" s="316"/>
      <c r="AD511" s="316"/>
      <c r="AE511" s="316"/>
      <c r="AF511" s="323">
        <f ca="1">Table2[[#This Row],[End Date]]+2-TODAY()</f>
        <v>228</v>
      </c>
      <c r="AG511" s="316">
        <f>IF(ISBLANK(Table2[[#This Row],[Roster Received by]]),1,0)</f>
        <v>1</v>
      </c>
      <c r="AH511" s="316">
        <f ca="1">IF(Table2[[#This Row],[Start Date]]&gt;TODAY(),1,)</f>
        <v>1</v>
      </c>
      <c r="AI511" s="316">
        <f>IF(ISBLANK(Table2[[#This Row],[Primary Instructor]]),0,1)</f>
        <v>1</v>
      </c>
      <c r="AJ511" s="316">
        <f>IF(ISBLANK(Table2[[#This Row],[Instructor 2]]),0,1)</f>
        <v>0</v>
      </c>
      <c r="AK511" s="316">
        <f>Table2[[#This Row],[Course Length (Hours)]]/(SUM(Table2[[#This Row],[1]:[2]]))</f>
        <v>30</v>
      </c>
      <c r="AL511" s="124"/>
      <c r="AM511" s="444">
        <v>4</v>
      </c>
      <c r="AN511" s="363" t="str">
        <f>VLOOKUP(Table2[[#This Row],[Course Title]],'TSD-Data'!$A$1:$G$80,7,FALSE)</f>
        <v>N5</v>
      </c>
    </row>
    <row r="512" spans="2:40" s="428" customFormat="1" x14ac:dyDescent="0.25">
      <c r="B512" s="315"/>
      <c r="C512" s="364" t="s">
        <v>108</v>
      </c>
      <c r="D512" s="316" t="str">
        <f>VLOOKUP(Table2[[#This Row],[Course Title]],'TSD-Data'!$A$1:$E$80,2,FALSE)</f>
        <v>A-493-0085</v>
      </c>
      <c r="E512" s="316">
        <f>VLOOKUP(Table2[[#This Row],[Course Title]],'TSD-Data'!$A$1:$E$80,3,FALSE)</f>
        <v>3555</v>
      </c>
      <c r="F512" s="315" t="s">
        <v>25</v>
      </c>
      <c r="G512" s="344">
        <v>46230</v>
      </c>
      <c r="H512" s="344">
        <v>46233</v>
      </c>
      <c r="I512" s="317" t="s">
        <v>163</v>
      </c>
      <c r="J512" s="318"/>
      <c r="K512" s="345">
        <v>0.33333333333333331</v>
      </c>
      <c r="L512" s="345">
        <v>0.20833333333333334</v>
      </c>
      <c r="M512" s="345">
        <v>0.625</v>
      </c>
      <c r="N512" s="345">
        <v>0.54166666666666663</v>
      </c>
      <c r="O512" s="345">
        <v>8.3333333333333329E-2</v>
      </c>
      <c r="P512" s="345">
        <v>0.875</v>
      </c>
      <c r="Q512" s="321" t="s">
        <v>175</v>
      </c>
      <c r="R512" s="321"/>
      <c r="S512" s="321"/>
      <c r="T512" s="316">
        <f>VLOOKUP(Table2[[#This Row],[Course Title]],'TSD-Data'!$A$1:$E$80,4,FALSE)</f>
        <v>45</v>
      </c>
      <c r="U512" s="316">
        <f>VLOOKUP(Table2[[#This Row],[Course Title]],'TSD-Data'!$A$1:$F$80,6,FALSE)</f>
        <v>32</v>
      </c>
      <c r="V512" s="323">
        <f>VLOOKUP(Table2[[#This Row],[Course Title]],'TSD-Data'!$A$1:$F$80,5,FALSE)</f>
        <v>4</v>
      </c>
      <c r="W512" s="323">
        <v>397</v>
      </c>
      <c r="X512" s="316"/>
      <c r="Y512" s="316"/>
      <c r="Z512" s="323"/>
      <c r="AA512" s="323"/>
      <c r="AB512" s="316"/>
      <c r="AC512" s="316"/>
      <c r="AD512" s="316"/>
      <c r="AE512" s="316"/>
      <c r="AF512" s="323">
        <f ca="1">Table2[[#This Row],[End Date]]+2-TODAY()</f>
        <v>228</v>
      </c>
      <c r="AG512" s="316">
        <f>IF(ISBLANK(Table2[[#This Row],[Roster Received by]]),1,0)</f>
        <v>1</v>
      </c>
      <c r="AH512" s="316">
        <f ca="1">IF(Table2[[#This Row],[Start Date]]&gt;TODAY(),1,)</f>
        <v>1</v>
      </c>
      <c r="AI512" s="316">
        <f>IF(ISBLANK(Table2[[#This Row],[Primary Instructor]]),0,1)</f>
        <v>1</v>
      </c>
      <c r="AJ512" s="316">
        <f>IF(ISBLANK(Table2[[#This Row],[Instructor 2]]),0,1)</f>
        <v>0</v>
      </c>
      <c r="AK512" s="316">
        <f>Table2[[#This Row],[Course Length (Hours)]]/(SUM(Table2[[#This Row],[1]:[2]]))</f>
        <v>32</v>
      </c>
      <c r="AL512" s="124"/>
      <c r="AM512" s="444">
        <v>4</v>
      </c>
      <c r="AN512" s="363" t="str">
        <f>VLOOKUP(Table2[[#This Row],[Course Title]],'TSD-Data'!$A$1:$G$80,7,FALSE)</f>
        <v>N3</v>
      </c>
    </row>
    <row r="513" spans="2:40" s="428" customFormat="1" x14ac:dyDescent="0.25">
      <c r="B513" s="315"/>
      <c r="C513" s="364" t="s">
        <v>116</v>
      </c>
      <c r="D513" s="316" t="str">
        <f>VLOOKUP(Table2[[#This Row],[Course Title]],'TSD-Data'!$A$1:$E$80,2,FALSE)</f>
        <v>A-493-0072</v>
      </c>
      <c r="E513" s="316" t="str">
        <f>VLOOKUP(Table2[[#This Row],[Course Title]],'TSD-Data'!$A$1:$E$80,3,FALSE)</f>
        <v>713U</v>
      </c>
      <c r="F513" s="364" t="s">
        <v>264</v>
      </c>
      <c r="G513" s="317">
        <v>46230</v>
      </c>
      <c r="H513" s="317">
        <v>46234</v>
      </c>
      <c r="I513" s="317" t="s">
        <v>163</v>
      </c>
      <c r="J513" s="318">
        <v>0.33333333333333331</v>
      </c>
      <c r="K513" s="318"/>
      <c r="L513" s="344"/>
      <c r="M513" s="317"/>
      <c r="N513" s="317"/>
      <c r="O513" s="317"/>
      <c r="P513" s="344"/>
      <c r="Q513" s="321" t="s">
        <v>174</v>
      </c>
      <c r="R513" s="321"/>
      <c r="S513" s="321" t="s">
        <v>431</v>
      </c>
      <c r="T513" s="316">
        <f>VLOOKUP(Table2[[#This Row],[Course Title]],'TSD-Data'!$A$1:$E$80,4,FALSE)</f>
        <v>30</v>
      </c>
      <c r="U513" s="316">
        <f>VLOOKUP(Table2[[#This Row],[Course Title]],'TSD-Data'!$A$1:$F$80,6,FALSE)</f>
        <v>40</v>
      </c>
      <c r="V513" s="323">
        <f>VLOOKUP(Table2[[#This Row],[Course Title]],'TSD-Data'!$A$1:$F$80,5,FALSE)</f>
        <v>5</v>
      </c>
      <c r="W513" s="323">
        <v>265</v>
      </c>
      <c r="X513" s="316"/>
      <c r="Y513" s="316"/>
      <c r="Z513" s="323"/>
      <c r="AA513" s="323"/>
      <c r="AB513" s="316"/>
      <c r="AC513" s="316"/>
      <c r="AD513" s="316"/>
      <c r="AE513" s="316"/>
      <c r="AF513" s="323">
        <f ca="1">Table2[[#This Row],[End Date]]+2-TODAY()</f>
        <v>229</v>
      </c>
      <c r="AG513" s="316">
        <f>IF(ISBLANK(Table2[[#This Row],[Roster Received by]]),1,0)</f>
        <v>1</v>
      </c>
      <c r="AH513" s="316">
        <f ca="1">IF(Table2[[#This Row],[Start Date]]&gt;TODAY(),1,)</f>
        <v>1</v>
      </c>
      <c r="AI513" s="316">
        <f>IF(ISBLANK(Table2[[#This Row],[Primary Instructor]]),0,1)</f>
        <v>1</v>
      </c>
      <c r="AJ513" s="316">
        <f>IF(ISBLANK(Table2[[#This Row],[Instructor 2]]),0,1)</f>
        <v>0</v>
      </c>
      <c r="AK513" s="316">
        <f>Table2[[#This Row],[Course Length (Hours)]]/(SUM(Table2[[#This Row],[1]:[2]]))</f>
        <v>40</v>
      </c>
      <c r="AL513" s="124"/>
      <c r="AM513" s="444">
        <v>4</v>
      </c>
      <c r="AN513" s="363" t="str">
        <f>VLOOKUP(Table2[[#This Row],[Course Title]],'TSD-Data'!$A$1:$G$80,7,FALSE)</f>
        <v>N3</v>
      </c>
    </row>
    <row r="514" spans="2:40" s="428" customFormat="1" x14ac:dyDescent="0.25">
      <c r="B514" s="315"/>
      <c r="C514" s="364" t="s">
        <v>106</v>
      </c>
      <c r="D514" s="316" t="str">
        <f>VLOOKUP(Table2[[#This Row],[Course Title]],'TSD-Data'!$A$1:$E$80,2,FALSE)</f>
        <v>A-493-0078</v>
      </c>
      <c r="E514" s="316">
        <f>VLOOKUP(Table2[[#This Row],[Course Title]],'TSD-Data'!$A$1:$E$80,3,FALSE)</f>
        <v>1228</v>
      </c>
      <c r="F514" s="364" t="s">
        <v>25</v>
      </c>
      <c r="G514" s="317">
        <v>46230</v>
      </c>
      <c r="H514" s="317">
        <v>46233</v>
      </c>
      <c r="I514" s="317" t="s">
        <v>163</v>
      </c>
      <c r="J514" s="318"/>
      <c r="K514" s="345">
        <v>0.5</v>
      </c>
      <c r="L514" s="429">
        <v>0.375</v>
      </c>
      <c r="M514" s="429">
        <v>0.79166666666666663</v>
      </c>
      <c r="N514" s="429">
        <v>0.75</v>
      </c>
      <c r="O514" s="429">
        <v>0.25</v>
      </c>
      <c r="P514" s="429">
        <v>4.1666666666666664E-2</v>
      </c>
      <c r="Q514" s="321" t="s">
        <v>172</v>
      </c>
      <c r="R514" s="321"/>
      <c r="S514" s="321"/>
      <c r="T514" s="316">
        <f>VLOOKUP(Table2[[#This Row],[Course Title]],'TSD-Data'!$A$1:$E$80,4,FALSE)</f>
        <v>45</v>
      </c>
      <c r="U514" s="316">
        <f>VLOOKUP(Table2[[#This Row],[Course Title]],'TSD-Data'!$A$1:$F$80,6,FALSE)</f>
        <v>32</v>
      </c>
      <c r="V514" s="323">
        <f>VLOOKUP(Table2[[#This Row],[Course Title]],'TSD-Data'!$A$1:$F$80,5,FALSE)</f>
        <v>4</v>
      </c>
      <c r="W514" s="323">
        <v>568</v>
      </c>
      <c r="X514" s="316"/>
      <c r="Y514" s="316"/>
      <c r="Z514" s="323"/>
      <c r="AA514" s="323"/>
      <c r="AB514" s="316"/>
      <c r="AC514" s="316"/>
      <c r="AD514" s="316"/>
      <c r="AE514" s="316"/>
      <c r="AF514" s="323">
        <f ca="1">Table2[[#This Row],[End Date]]+2-TODAY()</f>
        <v>228</v>
      </c>
      <c r="AG514" s="316">
        <f>IF(ISBLANK(Table2[[#This Row],[Roster Received by]]),1,0)</f>
        <v>1</v>
      </c>
      <c r="AH514" s="316">
        <f ca="1">IF(Table2[[#This Row],[Start Date]]&gt;TODAY(),1,)</f>
        <v>1</v>
      </c>
      <c r="AI514" s="316">
        <f>IF(ISBLANK(Table2[[#This Row],[Primary Instructor]]),0,1)</f>
        <v>1</v>
      </c>
      <c r="AJ514" s="316">
        <f>IF(ISBLANK(Table2[[#This Row],[Instructor 2]]),0,1)</f>
        <v>0</v>
      </c>
      <c r="AK514" s="316">
        <f>Table2[[#This Row],[Course Length (Hours)]]/(SUM(Table2[[#This Row],[1]:[2]]))</f>
        <v>32</v>
      </c>
      <c r="AL514" s="124"/>
      <c r="AM514" s="444">
        <v>4</v>
      </c>
      <c r="AN514" s="363" t="str">
        <f>VLOOKUP(Table2[[#This Row],[Course Title]],'TSD-Data'!$A$1:$G$80,7,FALSE)</f>
        <v>N5</v>
      </c>
    </row>
    <row r="515" spans="2:40" s="428" customFormat="1" x14ac:dyDescent="0.25">
      <c r="B515" s="315"/>
      <c r="C515" s="364" t="s">
        <v>100</v>
      </c>
      <c r="D515" s="316" t="str">
        <f>VLOOKUP(Table2[[#This Row],[Course Title]],'TSD-Data'!$A$1:$E$80,2,FALSE)</f>
        <v>A-493-0550</v>
      </c>
      <c r="E515" s="316" t="str">
        <f>VLOOKUP(Table2[[#This Row],[Course Title]],'TSD-Data'!$A$1:$E$80,3,FALSE)</f>
        <v>09K5</v>
      </c>
      <c r="F515" s="315" t="s">
        <v>25</v>
      </c>
      <c r="G515" s="317">
        <v>46231</v>
      </c>
      <c r="H515" s="317">
        <v>46234</v>
      </c>
      <c r="I515" s="317" t="s">
        <v>163</v>
      </c>
      <c r="J515" s="318"/>
      <c r="K515" s="345">
        <v>0.33333333333333331</v>
      </c>
      <c r="L515" s="345">
        <v>0.20833333333333334</v>
      </c>
      <c r="M515" s="345">
        <v>0.625</v>
      </c>
      <c r="N515" s="345">
        <v>0.54166666666666663</v>
      </c>
      <c r="O515" s="345">
        <v>8.3333333333333329E-2</v>
      </c>
      <c r="P515" s="345">
        <v>0.875</v>
      </c>
      <c r="Q515" s="321" t="s">
        <v>426</v>
      </c>
      <c r="R515" s="321"/>
      <c r="S515" s="321"/>
      <c r="T515" s="316">
        <f>VLOOKUP(Table2[[#This Row],[Course Title]],'TSD-Data'!$A$1:$E$80,4,FALSE)</f>
        <v>45</v>
      </c>
      <c r="U515" s="316">
        <f>VLOOKUP(Table2[[#This Row],[Course Title]],'TSD-Data'!$A$1:$F$80,6,FALSE)</f>
        <v>32</v>
      </c>
      <c r="V515" s="323">
        <f>VLOOKUP(Table2[[#This Row],[Course Title]],'TSD-Data'!$A$1:$F$80,5,FALSE)</f>
        <v>4</v>
      </c>
      <c r="W515" s="323">
        <v>455</v>
      </c>
      <c r="X515" s="316"/>
      <c r="Y515" s="316"/>
      <c r="Z515" s="323"/>
      <c r="AA515" s="323"/>
      <c r="AB515" s="316"/>
      <c r="AC515" s="316"/>
      <c r="AD515" s="316"/>
      <c r="AE515" s="316"/>
      <c r="AF515" s="323">
        <f ca="1">Table2[[#This Row],[End Date]]+2-TODAY()</f>
        <v>229</v>
      </c>
      <c r="AG515" s="316">
        <f>IF(ISBLANK(Table2[[#This Row],[Roster Received by]]),1,0)</f>
        <v>1</v>
      </c>
      <c r="AH515" s="316">
        <f ca="1">IF(Table2[[#This Row],[Start Date]]&gt;TODAY(),1,)</f>
        <v>1</v>
      </c>
      <c r="AI515" s="316">
        <f>IF(ISBLANK(Table2[[#This Row],[Primary Instructor]]),0,1)</f>
        <v>1</v>
      </c>
      <c r="AJ515" s="316">
        <f>IF(ISBLANK(Table2[[#This Row],[Instructor 2]]),0,1)</f>
        <v>0</v>
      </c>
      <c r="AK515" s="316">
        <f>Table2[[#This Row],[Course Length (Hours)]]/(SUM(Table2[[#This Row],[1]:[2]]))</f>
        <v>32</v>
      </c>
      <c r="AL515" s="124"/>
      <c r="AM515" s="444">
        <v>4</v>
      </c>
      <c r="AN515" s="363" t="str">
        <f>VLOOKUP(Table2[[#This Row],[Course Title]],'TSD-Data'!$A$1:$G$80,7,FALSE)</f>
        <v>N5</v>
      </c>
    </row>
    <row r="516" spans="2:40" s="428" customFormat="1" x14ac:dyDescent="0.25">
      <c r="B516" s="315"/>
      <c r="C516" s="364" t="s">
        <v>77</v>
      </c>
      <c r="D516" s="316" t="str">
        <f>VLOOKUP(Table2[[#This Row],[Course Title]],'TSD-Data'!$A$1:$E$80,2,FALSE)</f>
        <v>A-493-0077</v>
      </c>
      <c r="E516" s="316" t="str">
        <f>VLOOKUP(Table2[[#This Row],[Course Title]],'TSD-Data'!$A$1:$E$80,3,FALSE)</f>
        <v>0381</v>
      </c>
      <c r="F516" s="315" t="s">
        <v>498</v>
      </c>
      <c r="G516" s="317">
        <v>46232</v>
      </c>
      <c r="H516" s="317">
        <v>46234</v>
      </c>
      <c r="I516" s="341" t="s">
        <v>167</v>
      </c>
      <c r="J516" s="318">
        <v>0.33333333333333331</v>
      </c>
      <c r="K516" s="318"/>
      <c r="L516" s="344"/>
      <c r="M516" s="317"/>
      <c r="N516" s="317"/>
      <c r="O516" s="317"/>
      <c r="P516" s="317"/>
      <c r="Q516" s="321" t="s">
        <v>168</v>
      </c>
      <c r="R516" s="321"/>
      <c r="S516" s="321"/>
      <c r="T516" s="316">
        <f>VLOOKUP(Table2[[#This Row],[Course Title]],'TSD-Data'!$A$1:$E$80,4,FALSE)</f>
        <v>25</v>
      </c>
      <c r="U516" s="316">
        <f>VLOOKUP(Table2[[#This Row],[Course Title]],'TSD-Data'!$A$1:$F$80,6,FALSE)</f>
        <v>24</v>
      </c>
      <c r="V516" s="323">
        <f>VLOOKUP(Table2[[#This Row],[Course Title]],'TSD-Data'!$A$1:$F$80,5,FALSE)</f>
        <v>3</v>
      </c>
      <c r="W516" s="323">
        <v>23</v>
      </c>
      <c r="X516" s="316"/>
      <c r="Y516" s="316"/>
      <c r="Z516" s="323"/>
      <c r="AA516" s="323"/>
      <c r="AB516" s="363"/>
      <c r="AC516" s="363"/>
      <c r="AD516" s="316"/>
      <c r="AE516" s="316"/>
      <c r="AF516" s="323">
        <f ca="1">Table2[[#This Row],[End Date]]+2-TODAY()</f>
        <v>229</v>
      </c>
      <c r="AG516" s="316">
        <f>IF(ISBLANK(Table2[[#This Row],[Roster Received by]]),1,0)</f>
        <v>1</v>
      </c>
      <c r="AH516" s="316">
        <f ca="1">IF(Table2[[#This Row],[Start Date]]&gt;TODAY(),1,)</f>
        <v>1</v>
      </c>
      <c r="AI516" s="316">
        <f>IF(ISBLANK(Table2[[#This Row],[Primary Instructor]]),0,1)</f>
        <v>1</v>
      </c>
      <c r="AJ516" s="316">
        <f>IF(ISBLANK(Table2[[#This Row],[Instructor 2]]),0,1)</f>
        <v>0</v>
      </c>
      <c r="AK516" s="316">
        <f>Table2[[#This Row],[Course Length (Hours)]]/(SUM(Table2[[#This Row],[1]:[2]]))</f>
        <v>24</v>
      </c>
      <c r="AL516" s="638"/>
      <c r="AM516" s="444">
        <v>4</v>
      </c>
      <c r="AN516" s="363" t="str">
        <f>VLOOKUP(Table2[[#This Row],[Course Title]],'TSD-Data'!$A$1:$G$80,7,FALSE)</f>
        <v>N4</v>
      </c>
    </row>
    <row r="517" spans="2:40" s="428" customFormat="1" x14ac:dyDescent="0.25">
      <c r="B517" s="315"/>
      <c r="C517" s="364" t="s">
        <v>48</v>
      </c>
      <c r="D517" s="316" t="str">
        <f>VLOOKUP(Table2[[#This Row],[Course Title]],'TSD-Data'!$A$1:$E$80,2,FALSE)</f>
        <v>A-493-0103</v>
      </c>
      <c r="E517" s="316" t="str">
        <f>VLOOKUP(Table2[[#This Row],[Course Title]],'TSD-Data'!$A$1:$E$80,3,FALSE)</f>
        <v>12JY</v>
      </c>
      <c r="F517" s="315" t="s">
        <v>295</v>
      </c>
      <c r="G517" s="317">
        <v>46237</v>
      </c>
      <c r="H517" s="317">
        <v>46241</v>
      </c>
      <c r="I517" s="317" t="s">
        <v>163</v>
      </c>
      <c r="J517" s="318">
        <v>0.33333333333333331</v>
      </c>
      <c r="K517" s="318"/>
      <c r="L517" s="344"/>
      <c r="M517" s="317"/>
      <c r="N517" s="317"/>
      <c r="O517" s="317"/>
      <c r="P517" s="317"/>
      <c r="Q517" s="321" t="s">
        <v>275</v>
      </c>
      <c r="R517" s="321"/>
      <c r="S517" s="321"/>
      <c r="T517" s="316">
        <f>VLOOKUP(Table2[[#This Row],[Course Title]],'TSD-Data'!$A$1:$E$80,4,FALSE)</f>
        <v>25</v>
      </c>
      <c r="U517" s="316">
        <f>VLOOKUP(Table2[[#This Row],[Course Title]],'TSD-Data'!$A$1:$F$80,6,FALSE)</f>
        <v>40</v>
      </c>
      <c r="V517" s="323">
        <f>VLOOKUP(Table2[[#This Row],[Course Title]],'TSD-Data'!$A$1:$F$80,5,FALSE)</f>
        <v>5</v>
      </c>
      <c r="W517" s="323">
        <v>25</v>
      </c>
      <c r="X517" s="316"/>
      <c r="Y517" s="316"/>
      <c r="Z517" s="323"/>
      <c r="AA517" s="323"/>
      <c r="AB517" s="316"/>
      <c r="AC517" s="316"/>
      <c r="AD517" s="316"/>
      <c r="AE517" s="316"/>
      <c r="AF517" s="323">
        <f ca="1">Table2[[#This Row],[End Date]]+2-TODAY()</f>
        <v>236</v>
      </c>
      <c r="AG517" s="316">
        <f>IF(ISBLANK(Table2[[#This Row],[Roster Received by]]),1,0)</f>
        <v>1</v>
      </c>
      <c r="AH517" s="316">
        <f ca="1">IF(Table2[[#This Row],[Start Date]]&gt;TODAY(),1,)</f>
        <v>1</v>
      </c>
      <c r="AI517" s="316">
        <f>IF(ISBLANK(Table2[[#This Row],[Primary Instructor]]),0,1)</f>
        <v>1</v>
      </c>
      <c r="AJ517" s="316">
        <f>IF(ISBLANK(Table2[[#This Row],[Instructor 2]]),0,1)</f>
        <v>0</v>
      </c>
      <c r="AK517" s="316">
        <f>Table2[[#This Row],[Course Length (Hours)]]/(SUM(Table2[[#This Row],[1]:[2]]))</f>
        <v>40</v>
      </c>
      <c r="AL517" s="124"/>
      <c r="AM517" s="444">
        <v>4</v>
      </c>
      <c r="AN517" s="363" t="str">
        <f>VLOOKUP(Table2[[#This Row],[Course Title]],'TSD-Data'!$A$1:$G$80,7,FALSE)</f>
        <v>N5</v>
      </c>
    </row>
    <row r="518" spans="2:40" s="428" customFormat="1" x14ac:dyDescent="0.25">
      <c r="B518" s="315"/>
      <c r="C518" s="364" t="s">
        <v>52</v>
      </c>
      <c r="D518" s="316" t="str">
        <f>VLOOKUP(Table2[[#This Row],[Course Title]],'TSD-Data'!$A$1:$E$80,2,FALSE)</f>
        <v>A-493-0030</v>
      </c>
      <c r="E518" s="316" t="str">
        <f>VLOOKUP(Table2[[#This Row],[Course Title]],'TSD-Data'!$A$1:$E$80,3,FALSE)</f>
        <v>286X</v>
      </c>
      <c r="F518" s="315" t="s">
        <v>293</v>
      </c>
      <c r="G518" s="317">
        <v>46237</v>
      </c>
      <c r="H518" s="317">
        <v>46241</v>
      </c>
      <c r="I518" s="317" t="s">
        <v>163</v>
      </c>
      <c r="J518" s="318">
        <v>0.33333333333333331</v>
      </c>
      <c r="K518" s="329"/>
      <c r="L518" s="344"/>
      <c r="M518" s="317"/>
      <c r="N518" s="317"/>
      <c r="O518" s="317"/>
      <c r="P518" s="317"/>
      <c r="Q518" s="321" t="s">
        <v>437</v>
      </c>
      <c r="R518" s="321"/>
      <c r="S518" s="321"/>
      <c r="T518" s="316">
        <f>VLOOKUP(Table2[[#This Row],[Course Title]],'TSD-Data'!$A$1:$E$80,4,FALSE)</f>
        <v>25</v>
      </c>
      <c r="U518" s="316">
        <f>VLOOKUP(Table2[[#This Row],[Course Title]],'TSD-Data'!$A$1:$F$80,6,FALSE)</f>
        <v>40</v>
      </c>
      <c r="V518" s="323">
        <f>VLOOKUP(Table2[[#This Row],[Course Title]],'TSD-Data'!$A$1:$F$80,5,FALSE)</f>
        <v>5</v>
      </c>
      <c r="W518" s="323">
        <v>94</v>
      </c>
      <c r="X518" s="316"/>
      <c r="Y518" s="316"/>
      <c r="Z518" s="323"/>
      <c r="AA518" s="323"/>
      <c r="AB518" s="316"/>
      <c r="AC518" s="316"/>
      <c r="AD518" s="316"/>
      <c r="AE518" s="316"/>
      <c r="AF518" s="323">
        <f ca="1">Table2[[#This Row],[End Date]]+2-TODAY()</f>
        <v>236</v>
      </c>
      <c r="AG518" s="316">
        <f>IF(ISBLANK(Table2[[#This Row],[Roster Received by]]),1,0)</f>
        <v>1</v>
      </c>
      <c r="AH518" s="316">
        <f ca="1">IF(Table2[[#This Row],[Start Date]]&gt;TODAY(),1,)</f>
        <v>1</v>
      </c>
      <c r="AI518" s="316">
        <f>IF(ISBLANK(Table2[[#This Row],[Primary Instructor]]),0,1)</f>
        <v>1</v>
      </c>
      <c r="AJ518" s="316">
        <f>IF(ISBLANK(Table2[[#This Row],[Instructor 2]]),0,1)</f>
        <v>0</v>
      </c>
      <c r="AK518" s="316">
        <f>Table2[[#This Row],[Course Length (Hours)]]/(SUM(Table2[[#This Row],[1]:[2]]))</f>
        <v>40</v>
      </c>
      <c r="AL518" s="124"/>
      <c r="AM518" s="444">
        <v>4</v>
      </c>
      <c r="AN518" s="363" t="str">
        <f>VLOOKUP(Table2[[#This Row],[Course Title]],'TSD-Data'!$A$1:$G$80,7,FALSE)</f>
        <v>N3</v>
      </c>
    </row>
    <row r="519" spans="2:40" s="428" customFormat="1" x14ac:dyDescent="0.25">
      <c r="B519" s="315"/>
      <c r="C519" s="364" t="s">
        <v>58</v>
      </c>
      <c r="D519" s="316" t="str">
        <f>VLOOKUP(Table2[[#This Row],[Course Title]],'TSD-Data'!$A$1:$E$80,2,FALSE)</f>
        <v>A-760-2166</v>
      </c>
      <c r="E519" s="316" t="str">
        <f>VLOOKUP(Table2[[#This Row],[Course Title]],'TSD-Data'!$A$1:$E$80,3,FALSE)</f>
        <v>438J</v>
      </c>
      <c r="F519" s="364" t="s">
        <v>264</v>
      </c>
      <c r="G519" s="344">
        <v>46237</v>
      </c>
      <c r="H519" s="344">
        <v>46238</v>
      </c>
      <c r="I519" s="317" t="s">
        <v>163</v>
      </c>
      <c r="J519" s="318">
        <v>0.33333333333333331</v>
      </c>
      <c r="K519" s="318"/>
      <c r="L519" s="344"/>
      <c r="M519" s="317"/>
      <c r="N519" s="317"/>
      <c r="O519" s="317"/>
      <c r="P519" s="317"/>
      <c r="Q519" s="321" t="s">
        <v>174</v>
      </c>
      <c r="R519" s="321"/>
      <c r="S519" s="321"/>
      <c r="T519" s="316">
        <f>VLOOKUP(Table2[[#This Row],[Course Title]],'TSD-Data'!$A$1:$E$80,4,FALSE)</f>
        <v>25</v>
      </c>
      <c r="U519" s="316">
        <f>VLOOKUP(Table2[[#This Row],[Course Title]],'TSD-Data'!$A$1:$F$80,6,FALSE)</f>
        <v>16</v>
      </c>
      <c r="V519" s="323">
        <f>VLOOKUP(Table2[[#This Row],[Course Title]],'TSD-Data'!$A$1:$F$80,5,FALSE)</f>
        <v>2</v>
      </c>
      <c r="W519" s="323">
        <v>60</v>
      </c>
      <c r="X519" s="316"/>
      <c r="Y519" s="316"/>
      <c r="Z519" s="323"/>
      <c r="AA519" s="323"/>
      <c r="AB519" s="316"/>
      <c r="AC519" s="316"/>
      <c r="AD519" s="316"/>
      <c r="AE519" s="316"/>
      <c r="AF519" s="323">
        <f ca="1">Table2[[#This Row],[End Date]]+2-TODAY()</f>
        <v>233</v>
      </c>
      <c r="AG519" s="316">
        <f>IF(ISBLANK(Table2[[#This Row],[Roster Received by]]),1,0)</f>
        <v>1</v>
      </c>
      <c r="AH519" s="316">
        <f ca="1">IF(Table2[[#This Row],[Start Date]]&gt;TODAY(),1,)</f>
        <v>1</v>
      </c>
      <c r="AI519" s="316">
        <f>IF(ISBLANK(Table2[[#This Row],[Primary Instructor]]),0,1)</f>
        <v>1</v>
      </c>
      <c r="AJ519" s="316">
        <f>IF(ISBLANK(Table2[[#This Row],[Instructor 2]]),0,1)</f>
        <v>0</v>
      </c>
      <c r="AK519" s="316">
        <f>Table2[[#This Row],[Course Length (Hours)]]/(SUM(Table2[[#This Row],[1]:[2]]))</f>
        <v>16</v>
      </c>
      <c r="AL519" s="124"/>
      <c r="AM519" s="444">
        <v>4</v>
      </c>
      <c r="AN519" s="363" t="str">
        <f>VLOOKUP(Table2[[#This Row],[Course Title]],'TSD-Data'!$A$1:$G$80,7,FALSE)</f>
        <v>N3</v>
      </c>
    </row>
    <row r="520" spans="2:40" s="428" customFormat="1" x14ac:dyDescent="0.25">
      <c r="B520" s="437" t="s">
        <v>503</v>
      </c>
      <c r="C520" s="343" t="s">
        <v>61</v>
      </c>
      <c r="D520" s="316" t="str">
        <f>VLOOKUP(Table2[[#This Row],[Course Title]],'TSD-Data'!$A$1:$E$80,2,FALSE)</f>
        <v>A-493-0012</v>
      </c>
      <c r="E520" s="316">
        <f>VLOOKUP(Table2[[#This Row],[Course Title]],'TSD-Data'!$A$1:$E$80,3,FALSE)</f>
        <v>3682</v>
      </c>
      <c r="F520" s="342" t="s">
        <v>295</v>
      </c>
      <c r="G520" s="416">
        <v>46237</v>
      </c>
      <c r="H520" s="416">
        <v>46241</v>
      </c>
      <c r="I520" s="341" t="s">
        <v>167</v>
      </c>
      <c r="J520" s="318">
        <v>0.33333333333333331</v>
      </c>
      <c r="K520" s="318"/>
      <c r="L520" s="317"/>
      <c r="M520" s="317"/>
      <c r="N520" s="317"/>
      <c r="O520" s="317"/>
      <c r="P520" s="317"/>
      <c r="Q520" s="321" t="s">
        <v>453</v>
      </c>
      <c r="R520" s="321"/>
      <c r="S520" s="321"/>
      <c r="T520" s="316">
        <f>VLOOKUP(Table2[[#This Row],[Course Title]],'TSD-Data'!$A$1:$E$80,4,FALSE)</f>
        <v>40</v>
      </c>
      <c r="U520" s="316">
        <f>VLOOKUP(Table2[[#This Row],[Course Title]],'TSD-Data'!$A$1:$F$80,6,FALSE)</f>
        <v>40</v>
      </c>
      <c r="V520" s="323">
        <f>VLOOKUP(Table2[[#This Row],[Course Title]],'TSD-Data'!$A$1:$F$80,5,FALSE)</f>
        <v>5</v>
      </c>
      <c r="W520" s="316">
        <v>30</v>
      </c>
      <c r="X520" s="316"/>
      <c r="Y520" s="316"/>
      <c r="Z520" s="323"/>
      <c r="AA520" s="323"/>
      <c r="AB520" s="316"/>
      <c r="AC520" s="316"/>
      <c r="AD520" s="316"/>
      <c r="AE520" s="316"/>
      <c r="AF520" s="323">
        <f ca="1">Table2[[#This Row],[End Date]]+2-TODAY()</f>
        <v>236</v>
      </c>
      <c r="AG520" s="316">
        <f>IF(ISBLANK(Table2[[#This Row],[Roster Received by]]),1,0)</f>
        <v>1</v>
      </c>
      <c r="AH520" s="316">
        <f ca="1">IF(Table2[[#This Row],[Start Date]]&gt;TODAY(),1,)</f>
        <v>1</v>
      </c>
      <c r="AI520" s="316">
        <f>IF(ISBLANK(Table2[[#This Row],[Primary Instructor]]),0,1)</f>
        <v>1</v>
      </c>
      <c r="AJ520" s="316">
        <f>IF(ISBLANK(Table2[[#This Row],[Instructor 2]]),0,1)</f>
        <v>0</v>
      </c>
      <c r="AK520" s="316">
        <f>Table2[[#This Row],[Course Length (Hours)]]/(SUM(Table2[[#This Row],[1]:[2]]))</f>
        <v>40</v>
      </c>
      <c r="AL520" s="124"/>
      <c r="AM520" s="444">
        <v>4</v>
      </c>
      <c r="AN520" s="363" t="str">
        <f>VLOOKUP(Table2[[#This Row],[Course Title]],'TSD-Data'!$A$1:$G$80,7,FALSE)</f>
        <v>N4</v>
      </c>
    </row>
    <row r="521" spans="2:40" s="428" customFormat="1" x14ac:dyDescent="0.25">
      <c r="B521" s="315"/>
      <c r="C521" s="364" t="s">
        <v>77</v>
      </c>
      <c r="D521" s="316" t="str">
        <f>VLOOKUP(Table2[[#This Row],[Course Title]],'TSD-Data'!$A$1:$E$80,2,FALSE)</f>
        <v>A-493-0077</v>
      </c>
      <c r="E521" s="316" t="str">
        <f>VLOOKUP(Table2[[#This Row],[Course Title]],'TSD-Data'!$A$1:$E$80,3,FALSE)</f>
        <v>0381</v>
      </c>
      <c r="F521" s="315" t="s">
        <v>170</v>
      </c>
      <c r="G521" s="317">
        <v>46237</v>
      </c>
      <c r="H521" s="317">
        <v>46239</v>
      </c>
      <c r="I521" s="341" t="s">
        <v>167</v>
      </c>
      <c r="J521" s="318">
        <v>0.33333333333333331</v>
      </c>
      <c r="K521" s="318"/>
      <c r="L521" s="317"/>
      <c r="M521" s="317"/>
      <c r="N521" s="317"/>
      <c r="O521" s="317"/>
      <c r="P521" s="317"/>
      <c r="Q521" s="321" t="s">
        <v>168</v>
      </c>
      <c r="R521" s="321"/>
      <c r="S521" s="321"/>
      <c r="T521" s="316">
        <f>VLOOKUP(Table2[[#This Row],[Course Title]],'TSD-Data'!$A$1:$E$80,4,FALSE)</f>
        <v>25</v>
      </c>
      <c r="U521" s="316">
        <f>VLOOKUP(Table2[[#This Row],[Course Title]],'TSD-Data'!$A$1:$F$80,6,FALSE)</f>
        <v>24</v>
      </c>
      <c r="V521" s="323">
        <f>VLOOKUP(Table2[[#This Row],[Course Title]],'TSD-Data'!$A$1:$F$80,5,FALSE)</f>
        <v>3</v>
      </c>
      <c r="W521" s="323">
        <v>51</v>
      </c>
      <c r="X521" s="316"/>
      <c r="Y521" s="316"/>
      <c r="Z521" s="323"/>
      <c r="AA521" s="323"/>
      <c r="AB521" s="363"/>
      <c r="AC521" s="363"/>
      <c r="AD521" s="316"/>
      <c r="AE521" s="316"/>
      <c r="AF521" s="323">
        <f ca="1">Table2[[#This Row],[End Date]]+2-TODAY()</f>
        <v>234</v>
      </c>
      <c r="AG521" s="316">
        <f>IF(ISBLANK(Table2[[#This Row],[Roster Received by]]),1,0)</f>
        <v>1</v>
      </c>
      <c r="AH521" s="316">
        <f ca="1">IF(Table2[[#This Row],[Start Date]]&gt;TODAY(),1,)</f>
        <v>1</v>
      </c>
      <c r="AI521" s="316">
        <f>IF(ISBLANK(Table2[[#This Row],[Primary Instructor]]),0,1)</f>
        <v>1</v>
      </c>
      <c r="AJ521" s="316">
        <f>IF(ISBLANK(Table2[[#This Row],[Instructor 2]]),0,1)</f>
        <v>0</v>
      </c>
      <c r="AK521" s="316">
        <f>Table2[[#This Row],[Course Length (Hours)]]/(SUM(Table2[[#This Row],[1]:[2]]))</f>
        <v>24</v>
      </c>
      <c r="AL521" s="638"/>
      <c r="AM521" s="444">
        <v>4</v>
      </c>
      <c r="AN521" s="363" t="str">
        <f>VLOOKUP(Table2[[#This Row],[Course Title]],'TSD-Data'!$A$1:$G$80,7,FALSE)</f>
        <v>N4</v>
      </c>
    </row>
    <row r="522" spans="2:40" s="428" customFormat="1" ht="15" customHeight="1" x14ac:dyDescent="0.25">
      <c r="B522" s="315" t="s">
        <v>469</v>
      </c>
      <c r="C522" s="364" t="s">
        <v>116</v>
      </c>
      <c r="D522" s="316" t="str">
        <f>VLOOKUP(Table2[[#This Row],[Course Title]],'TSD-Data'!$A$1:$E$80,2,FALSE)</f>
        <v>A-493-0072</v>
      </c>
      <c r="E522" s="316" t="str">
        <f>VLOOKUP(Table2[[#This Row],[Course Title]],'TSD-Data'!$A$1:$E$80,3,FALSE)</f>
        <v>713U</v>
      </c>
      <c r="F522" s="364" t="s">
        <v>298</v>
      </c>
      <c r="G522" s="344">
        <v>46237</v>
      </c>
      <c r="H522" s="344">
        <v>46241</v>
      </c>
      <c r="I522" s="317" t="s">
        <v>163</v>
      </c>
      <c r="J522" s="318">
        <v>0.33333333333333331</v>
      </c>
      <c r="K522" s="345"/>
      <c r="L522" s="344"/>
      <c r="M522" s="344"/>
      <c r="N522" s="344"/>
      <c r="O522" s="344"/>
      <c r="P522" s="344"/>
      <c r="Q522" s="321" t="s">
        <v>175</v>
      </c>
      <c r="R522" s="321"/>
      <c r="S522" s="321" t="s">
        <v>444</v>
      </c>
      <c r="T522" s="316">
        <f>VLOOKUP(Table2[[#This Row],[Course Title]],'TSD-Data'!$A$1:$E$80,4,FALSE)</f>
        <v>30</v>
      </c>
      <c r="U522" s="316">
        <f>VLOOKUP(Table2[[#This Row],[Course Title]],'TSD-Data'!$A$1:$F$80,6,FALSE)</f>
        <v>40</v>
      </c>
      <c r="V522" s="323">
        <f>VLOOKUP(Table2[[#This Row],[Course Title]],'TSD-Data'!$A$1:$F$80,5,FALSE)</f>
        <v>5</v>
      </c>
      <c r="W522" s="323">
        <v>4</v>
      </c>
      <c r="X522" s="316"/>
      <c r="Y522" s="316"/>
      <c r="Z522" s="323"/>
      <c r="AA522" s="323"/>
      <c r="AB522" s="316"/>
      <c r="AC522" s="316"/>
      <c r="AD522" s="316"/>
      <c r="AE522" s="316"/>
      <c r="AF522" s="323">
        <f ca="1">Table2[[#This Row],[End Date]]+2-TODAY()</f>
        <v>236</v>
      </c>
      <c r="AG522" s="316">
        <f>IF(ISBLANK(Table2[[#This Row],[Roster Received by]]),1,0)</f>
        <v>1</v>
      </c>
      <c r="AH522" s="316">
        <f ca="1">IF(Table2[[#This Row],[Start Date]]&gt;TODAY(),1,)</f>
        <v>1</v>
      </c>
      <c r="AI522" s="316">
        <f>IF(ISBLANK(Table2[[#This Row],[Primary Instructor]]),0,1)</f>
        <v>1</v>
      </c>
      <c r="AJ522" s="316">
        <f>IF(ISBLANK(Table2[[#This Row],[Instructor 2]]),0,1)</f>
        <v>0</v>
      </c>
      <c r="AK522" s="316">
        <f>Table2[[#This Row],[Course Length (Hours)]]/(SUM(Table2[[#This Row],[1]:[2]]))</f>
        <v>40</v>
      </c>
      <c r="AL522" s="124"/>
      <c r="AM522" s="444">
        <v>4</v>
      </c>
      <c r="AN522" s="363" t="str">
        <f>VLOOKUP(Table2[[#This Row],[Course Title]],'TSD-Data'!$A$1:$G$80,7,FALSE)</f>
        <v>N3</v>
      </c>
    </row>
    <row r="523" spans="2:40" s="428" customFormat="1" x14ac:dyDescent="0.25">
      <c r="B523" s="315" t="s">
        <v>504</v>
      </c>
      <c r="C523" s="364" t="s">
        <v>505</v>
      </c>
      <c r="D523" s="316" t="str">
        <f>VLOOKUP(Table2[[#This Row],[Course Title]],'TSD-Data'!$A$1:$E$80,2,FALSE)</f>
        <v>TBD</v>
      </c>
      <c r="E523" s="316" t="str">
        <f>VLOOKUP(Table2[[#This Row],[Course Title]],'TSD-Data'!$A$1:$E$80,3,FALSE)</f>
        <v>TBD</v>
      </c>
      <c r="F523" s="364" t="s">
        <v>25</v>
      </c>
      <c r="G523" s="344">
        <v>46237</v>
      </c>
      <c r="H523" s="344">
        <v>46240</v>
      </c>
      <c r="I523" s="317" t="s">
        <v>163</v>
      </c>
      <c r="J523" s="318"/>
      <c r="K523" s="318">
        <v>0.33333333333333331</v>
      </c>
      <c r="L523" s="318">
        <v>0.20833333333333334</v>
      </c>
      <c r="M523" s="318">
        <v>0.625</v>
      </c>
      <c r="N523" s="318">
        <v>0.54166666666666663</v>
      </c>
      <c r="O523" s="318">
        <v>8.3333333333333329E-2</v>
      </c>
      <c r="P523" s="318">
        <v>0.875</v>
      </c>
      <c r="Q523" s="321" t="s">
        <v>272</v>
      </c>
      <c r="R523" s="321"/>
      <c r="S523" s="321"/>
      <c r="T523" s="316">
        <f>VLOOKUP(Table2[[#This Row],[Course Title]],'TSD-Data'!$A$1:$E$80,4,FALSE)</f>
        <v>0</v>
      </c>
      <c r="U523" s="316">
        <f>VLOOKUP(Table2[[#This Row],[Course Title]],'TSD-Data'!$A$1:$F$80,6,FALSE)</f>
        <v>0</v>
      </c>
      <c r="V523" s="323">
        <f>VLOOKUP(Table2[[#This Row],[Course Title]],'TSD-Data'!$A$1:$F$80,5,FALSE)</f>
        <v>0</v>
      </c>
      <c r="W523" s="323">
        <v>0</v>
      </c>
      <c r="X523" s="316"/>
      <c r="Y523" s="316"/>
      <c r="Z523" s="323"/>
      <c r="AA523" s="323"/>
      <c r="AB523" s="316"/>
      <c r="AC523" s="316"/>
      <c r="AD523" s="316"/>
      <c r="AE523" s="316"/>
      <c r="AF523" s="323">
        <f ca="1">Table2[[#This Row],[End Date]]+2-TODAY()</f>
        <v>235</v>
      </c>
      <c r="AG523" s="316">
        <f>IF(ISBLANK(Table2[[#This Row],[Roster Received by]]),1,0)</f>
        <v>1</v>
      </c>
      <c r="AH523" s="316">
        <f ca="1">IF(Table2[[#This Row],[Start Date]]&gt;TODAY(),1,)</f>
        <v>1</v>
      </c>
      <c r="AI523" s="316">
        <f>IF(ISBLANK(Table2[[#This Row],[Primary Instructor]]),0,1)</f>
        <v>1</v>
      </c>
      <c r="AJ523" s="316">
        <f>IF(ISBLANK(Table2[[#This Row],[Instructor 2]]),0,1)</f>
        <v>0</v>
      </c>
      <c r="AK523" s="316">
        <f>Table2[[#This Row],[Course Length (Hours)]]/(SUM(Table2[[#This Row],[1]:[2]]))</f>
        <v>0</v>
      </c>
      <c r="AL523" s="124"/>
      <c r="AM523" s="444">
        <v>4</v>
      </c>
      <c r="AN523" s="363" t="str">
        <f>VLOOKUP(Table2[[#This Row],[Course Title]],'TSD-Data'!$A$1:$G$80,7,FALSE)</f>
        <v>N5</v>
      </c>
    </row>
    <row r="524" spans="2:40" s="428" customFormat="1" x14ac:dyDescent="0.25">
      <c r="B524" s="315"/>
      <c r="C524" s="364" t="s">
        <v>159</v>
      </c>
      <c r="D524" s="316" t="str">
        <f>VLOOKUP(Table2[[#This Row],[Course Title]],'TSD-Data'!$A$1:$E$80,2,FALSE)</f>
        <v>A-493-2099</v>
      </c>
      <c r="E524" s="316" t="str">
        <f>VLOOKUP(Table2[[#This Row],[Course Title]],'TSD-Data'!$A$1:$E$80,3,FALSE)</f>
        <v>438G</v>
      </c>
      <c r="F524" s="364" t="s">
        <v>173</v>
      </c>
      <c r="G524" s="344">
        <v>46237</v>
      </c>
      <c r="H524" s="344">
        <v>46239</v>
      </c>
      <c r="I524" s="317" t="s">
        <v>163</v>
      </c>
      <c r="J524" s="318">
        <v>0.33333333333333331</v>
      </c>
      <c r="K524" s="318"/>
      <c r="L524" s="317"/>
      <c r="M524" s="317"/>
      <c r="N524" s="317"/>
      <c r="O524" s="317"/>
      <c r="P524" s="317"/>
      <c r="Q524" s="321" t="s">
        <v>164</v>
      </c>
      <c r="R524" s="321"/>
      <c r="S524" s="321"/>
      <c r="T524" s="316">
        <f>VLOOKUP(Table2[[#This Row],[Course Title]],'TSD-Data'!$A$1:$E$80,4,FALSE)</f>
        <v>30</v>
      </c>
      <c r="U524" s="316">
        <f>VLOOKUP(Table2[[#This Row],[Course Title]],'TSD-Data'!$A$1:$F$80,6,FALSE)</f>
        <v>16</v>
      </c>
      <c r="V524" s="323">
        <f>VLOOKUP(Table2[[#This Row],[Course Title]],'TSD-Data'!$A$1:$F$80,5,FALSE)</f>
        <v>2</v>
      </c>
      <c r="W524" s="323">
        <v>0</v>
      </c>
      <c r="X524" s="316"/>
      <c r="Y524" s="316"/>
      <c r="Z524" s="323"/>
      <c r="AA524" s="323"/>
      <c r="AB524" s="316"/>
      <c r="AC524" s="316"/>
      <c r="AD524" s="316"/>
      <c r="AE524" s="316"/>
      <c r="AF524" s="323">
        <f ca="1">Table2[[#This Row],[End Date]]+2-TODAY()</f>
        <v>234</v>
      </c>
      <c r="AG524" s="316">
        <f>IF(ISBLANK(Table2[[#This Row],[Roster Received by]]),1,0)</f>
        <v>1</v>
      </c>
      <c r="AH524" s="316">
        <f ca="1">IF(Table2[[#This Row],[Start Date]]&gt;TODAY(),1,)</f>
        <v>1</v>
      </c>
      <c r="AI524" s="316">
        <f>IF(ISBLANK(Table2[[#This Row],[Primary Instructor]]),0,1)</f>
        <v>1</v>
      </c>
      <c r="AJ524" s="316">
        <f>IF(ISBLANK(Table2[[#This Row],[Instructor 2]]),0,1)</f>
        <v>0</v>
      </c>
      <c r="AK524" s="316">
        <f>Table2[[#This Row],[Course Length (Hours)]]/(SUM(Table2[[#This Row],[1]:[2]]))</f>
        <v>16</v>
      </c>
      <c r="AL524" s="124"/>
      <c r="AM524" s="444">
        <v>4</v>
      </c>
      <c r="AN524" s="363" t="str">
        <f>VLOOKUP(Table2[[#This Row],[Course Title]],'TSD-Data'!$A$1:$G$80,7,FALSE)</f>
        <v>N8</v>
      </c>
    </row>
    <row r="525" spans="2:40" s="428" customFormat="1" x14ac:dyDescent="0.25">
      <c r="B525" s="315"/>
      <c r="C525" s="364" t="s">
        <v>65</v>
      </c>
      <c r="D525" s="316" t="str">
        <f>VLOOKUP(Table2[[#This Row],[Course Title]],'TSD-Data'!$A$1:$E$80,2,FALSE)</f>
        <v>A-493-0099</v>
      </c>
      <c r="E525" s="316" t="str">
        <f>VLOOKUP(Table2[[#This Row],[Course Title]],'TSD-Data'!$A$1:$E$80,3,FALSE)</f>
        <v>12JW</v>
      </c>
      <c r="F525" s="315" t="s">
        <v>25</v>
      </c>
      <c r="G525" s="317">
        <v>46238</v>
      </c>
      <c r="H525" s="317">
        <v>46240</v>
      </c>
      <c r="I525" s="317" t="s">
        <v>163</v>
      </c>
      <c r="J525" s="318"/>
      <c r="K525" s="318">
        <v>0.33333333333333331</v>
      </c>
      <c r="L525" s="318">
        <v>0.20833333333333334</v>
      </c>
      <c r="M525" s="318">
        <v>0.625</v>
      </c>
      <c r="N525" s="318">
        <v>0.54166666666666663</v>
      </c>
      <c r="O525" s="318">
        <v>8.3333333333333329E-2</v>
      </c>
      <c r="P525" s="318">
        <v>0.875</v>
      </c>
      <c r="Q525" s="321" t="s">
        <v>273</v>
      </c>
      <c r="R525" s="321"/>
      <c r="S525" s="321"/>
      <c r="T525" s="316">
        <f>VLOOKUP(Table2[[#This Row],[Course Title]],'TSD-Data'!$A$1:$E$80,4,FALSE)</f>
        <v>45</v>
      </c>
      <c r="U525" s="316">
        <f>VLOOKUP(Table2[[#This Row],[Course Title]],'TSD-Data'!$A$1:$F$80,6,FALSE)</f>
        <v>24</v>
      </c>
      <c r="V525" s="323">
        <f>VLOOKUP(Table2[[#This Row],[Course Title]],'TSD-Data'!$A$1:$F$80,5,FALSE)</f>
        <v>3</v>
      </c>
      <c r="W525" s="323">
        <v>934</v>
      </c>
      <c r="X525" s="316"/>
      <c r="Y525" s="316"/>
      <c r="Z525" s="323"/>
      <c r="AA525" s="323"/>
      <c r="AB525" s="316"/>
      <c r="AC525" s="316"/>
      <c r="AD525" s="316"/>
      <c r="AE525" s="316"/>
      <c r="AF525" s="323">
        <f ca="1">Table2[[#This Row],[End Date]]+2-TODAY()</f>
        <v>235</v>
      </c>
      <c r="AG525" s="316">
        <f>IF(ISBLANK(Table2[[#This Row],[Roster Received by]]),1,0)</f>
        <v>1</v>
      </c>
      <c r="AH525" s="316">
        <f ca="1">IF(Table2[[#This Row],[Start Date]]&gt;TODAY(),1,)</f>
        <v>1</v>
      </c>
      <c r="AI525" s="316">
        <f>IF(ISBLANK(Table2[[#This Row],[Primary Instructor]]),0,1)</f>
        <v>1</v>
      </c>
      <c r="AJ525" s="316">
        <f>IF(ISBLANK(Table2[[#This Row],[Instructor 2]]),0,1)</f>
        <v>0</v>
      </c>
      <c r="AK525" s="316">
        <f>Table2[[#This Row],[Course Length (Hours)]]/(SUM(Table2[[#This Row],[1]:[2]]))</f>
        <v>24</v>
      </c>
      <c r="AL525" s="124"/>
      <c r="AM525" s="444">
        <v>4</v>
      </c>
      <c r="AN525" s="363" t="str">
        <f>VLOOKUP(Table2[[#This Row],[Course Title]],'TSD-Data'!$A$1:$G$80,7,FALSE)</f>
        <v>N5</v>
      </c>
    </row>
    <row r="526" spans="2:40" s="428" customFormat="1" x14ac:dyDescent="0.25">
      <c r="B526" s="315"/>
      <c r="C526" s="364" t="s">
        <v>74</v>
      </c>
      <c r="D526" s="316" t="str">
        <f>VLOOKUP(Table2[[#This Row],[Course Title]],'TSD-Data'!$A$1:$E$80,2,FALSE)</f>
        <v>A-322-2604</v>
      </c>
      <c r="E526" s="316" t="str">
        <f>VLOOKUP(Table2[[#This Row],[Course Title]],'TSD-Data'!$A$1:$E$80,3,FALSE)</f>
        <v>10ZZ</v>
      </c>
      <c r="F526" s="364" t="s">
        <v>25</v>
      </c>
      <c r="G526" s="317">
        <v>46238</v>
      </c>
      <c r="H526" s="317">
        <v>46240</v>
      </c>
      <c r="I526" s="317" t="s">
        <v>163</v>
      </c>
      <c r="J526" s="318"/>
      <c r="K526" s="332">
        <v>0.79166666666666663</v>
      </c>
      <c r="L526" s="429">
        <v>0.66666666666666663</v>
      </c>
      <c r="M526" s="431">
        <v>8.3333333333333329E-2</v>
      </c>
      <c r="N526" s="431">
        <v>0</v>
      </c>
      <c r="O526" s="431">
        <v>0.54166666666666663</v>
      </c>
      <c r="P526" s="431">
        <v>0.33333333333333331</v>
      </c>
      <c r="Q526" s="321" t="s">
        <v>431</v>
      </c>
      <c r="R526" s="321"/>
      <c r="S526" s="321"/>
      <c r="T526" s="316">
        <f>VLOOKUP(Table2[[#This Row],[Course Title]],'TSD-Data'!$A$1:$E$80,4,FALSE)</f>
        <v>45</v>
      </c>
      <c r="U526" s="316">
        <f>VLOOKUP(Table2[[#This Row],[Course Title]],'TSD-Data'!$A$1:$F$80,6,FALSE)</f>
        <v>24</v>
      </c>
      <c r="V526" s="323">
        <f>VLOOKUP(Table2[[#This Row],[Course Title]],'TSD-Data'!$A$1:$F$80,5,FALSE)</f>
        <v>3</v>
      </c>
      <c r="W526" s="323">
        <v>174</v>
      </c>
      <c r="X526" s="316"/>
      <c r="Y526" s="316"/>
      <c r="Z526" s="323"/>
      <c r="AA526" s="323"/>
      <c r="AB526" s="316"/>
      <c r="AC526" s="316"/>
      <c r="AD526" s="316"/>
      <c r="AE526" s="316"/>
      <c r="AF526" s="323">
        <f ca="1">Table2[[#This Row],[End Date]]+2-TODAY()</f>
        <v>235</v>
      </c>
      <c r="AG526" s="316">
        <f>IF(ISBLANK(Table2[[#This Row],[Roster Received by]]),1,0)</f>
        <v>1</v>
      </c>
      <c r="AH526" s="316">
        <f ca="1">IF(Table2[[#This Row],[Start Date]]&gt;TODAY(),1,)</f>
        <v>1</v>
      </c>
      <c r="AI526" s="316">
        <f>IF(ISBLANK(Table2[[#This Row],[Primary Instructor]]),0,1)</f>
        <v>1</v>
      </c>
      <c r="AJ526" s="316">
        <f>IF(ISBLANK(Table2[[#This Row],[Instructor 2]]),0,1)</f>
        <v>0</v>
      </c>
      <c r="AK526" s="316">
        <f>Table2[[#This Row],[Course Length (Hours)]]/(SUM(Table2[[#This Row],[1]:[2]]))</f>
        <v>24</v>
      </c>
      <c r="AL526" s="124"/>
      <c r="AM526" s="444">
        <v>4</v>
      </c>
      <c r="AN526" s="363" t="str">
        <f>VLOOKUP(Table2[[#This Row],[Course Title]],'TSD-Data'!$A$1:$G$80,7,FALSE)</f>
        <v>N8</v>
      </c>
    </row>
    <row r="527" spans="2:40" s="428" customFormat="1" x14ac:dyDescent="0.25">
      <c r="B527" s="315" t="s">
        <v>506</v>
      </c>
      <c r="C527" s="364" t="s">
        <v>63</v>
      </c>
      <c r="D527" s="316" t="str">
        <f>VLOOKUP(Table2[[#This Row],[Course Title]],'TSD-Data'!$A$1:$E$80,2,FALSE)</f>
        <v>A-493-0013</v>
      </c>
      <c r="E527" s="316">
        <f>VLOOKUP(Table2[[#This Row],[Course Title]],'TSD-Data'!$A$1:$E$80,3,FALSE)</f>
        <v>3683</v>
      </c>
      <c r="F527" s="315" t="s">
        <v>294</v>
      </c>
      <c r="G527" s="317">
        <v>46238</v>
      </c>
      <c r="H527" s="317">
        <v>46240</v>
      </c>
      <c r="I527" s="341" t="s">
        <v>167</v>
      </c>
      <c r="J527" s="318">
        <v>0.33333333333333331</v>
      </c>
      <c r="K527" s="318"/>
      <c r="L527" s="344"/>
      <c r="M527" s="317"/>
      <c r="N527" s="317"/>
      <c r="O527" s="317"/>
      <c r="P527" s="317"/>
      <c r="Q527" s="321" t="s">
        <v>438</v>
      </c>
      <c r="R527" s="321"/>
      <c r="S527" s="321"/>
      <c r="T527" s="316">
        <f>VLOOKUP(Table2[[#This Row],[Course Title]],'TSD-Data'!$A$1:$E$80,4,FALSE)</f>
        <v>40</v>
      </c>
      <c r="U527" s="316">
        <f>VLOOKUP(Table2[[#This Row],[Course Title]],'TSD-Data'!$A$1:$F$80,6,FALSE)</f>
        <v>24</v>
      </c>
      <c r="V527" s="323">
        <f>VLOOKUP(Table2[[#This Row],[Course Title]],'TSD-Data'!$A$1:$F$80,5,FALSE)</f>
        <v>3</v>
      </c>
      <c r="W527" s="323">
        <v>30</v>
      </c>
      <c r="X527" s="316"/>
      <c r="Y527" s="316"/>
      <c r="Z527" s="323"/>
      <c r="AA527" s="323"/>
      <c r="AB527" s="363"/>
      <c r="AC527" s="363"/>
      <c r="AD527" s="316"/>
      <c r="AE527" s="316"/>
      <c r="AF527" s="323">
        <f ca="1">Table2[[#This Row],[End Date]]+2-TODAY()</f>
        <v>235</v>
      </c>
      <c r="AG527" s="316">
        <f>IF(ISBLANK(Table2[[#This Row],[Roster Received by]]),1,0)</f>
        <v>1</v>
      </c>
      <c r="AH527" s="316">
        <f ca="1">IF(Table2[[#This Row],[Start Date]]&gt;TODAY(),1,)</f>
        <v>1</v>
      </c>
      <c r="AI527" s="316">
        <f>IF(ISBLANK(Table2[[#This Row],[Primary Instructor]]),0,1)</f>
        <v>1</v>
      </c>
      <c r="AJ527" s="316">
        <f>IF(ISBLANK(Table2[[#This Row],[Instructor 2]]),0,1)</f>
        <v>0</v>
      </c>
      <c r="AK527" s="316">
        <f>Table2[[#This Row],[Course Length (Hours)]]/(SUM(Table2[[#This Row],[1]:[2]]))</f>
        <v>24</v>
      </c>
      <c r="AL527" s="638"/>
      <c r="AM527" s="444">
        <v>4</v>
      </c>
      <c r="AN527" s="363" t="str">
        <f>VLOOKUP(Table2[[#This Row],[Course Title]],'TSD-Data'!$A$1:$G$80,7,FALSE)</f>
        <v>N4</v>
      </c>
    </row>
    <row r="528" spans="2:40" s="428" customFormat="1" x14ac:dyDescent="0.25">
      <c r="B528" s="315" t="s">
        <v>507</v>
      </c>
      <c r="C528" s="364" t="s">
        <v>63</v>
      </c>
      <c r="D528" s="316" t="str">
        <f>VLOOKUP(Table2[[#This Row],[Course Title]],'TSD-Data'!$A$1:$E$80,2,FALSE)</f>
        <v>A-493-0013</v>
      </c>
      <c r="E528" s="316">
        <f>VLOOKUP(Table2[[#This Row],[Course Title]],'TSD-Data'!$A$1:$E$80,3,FALSE)</f>
        <v>3683</v>
      </c>
      <c r="F528" s="315" t="s">
        <v>328</v>
      </c>
      <c r="G528" s="317">
        <v>46238</v>
      </c>
      <c r="H528" s="317">
        <v>46240</v>
      </c>
      <c r="I528" s="341" t="s">
        <v>167</v>
      </c>
      <c r="J528" s="318">
        <v>0.33333333333333331</v>
      </c>
      <c r="K528" s="318"/>
      <c r="L528" s="344"/>
      <c r="M528" s="317"/>
      <c r="N528" s="317"/>
      <c r="O528" s="317"/>
      <c r="P528" s="317"/>
      <c r="Q528" s="321" t="s">
        <v>447</v>
      </c>
      <c r="R528" s="321"/>
      <c r="S528" s="321"/>
      <c r="T528" s="316">
        <f>VLOOKUP(Table2[[#This Row],[Course Title]],'TSD-Data'!$A$1:$E$80,4,FALSE)</f>
        <v>40</v>
      </c>
      <c r="U528" s="316">
        <f>VLOOKUP(Table2[[#This Row],[Course Title]],'TSD-Data'!$A$1:$F$80,6,FALSE)</f>
        <v>24</v>
      </c>
      <c r="V528" s="323">
        <f>VLOOKUP(Table2[[#This Row],[Course Title]],'TSD-Data'!$A$1:$F$80,5,FALSE)</f>
        <v>3</v>
      </c>
      <c r="W528" s="323">
        <v>30</v>
      </c>
      <c r="X528" s="316"/>
      <c r="Y528" s="316"/>
      <c r="Z528" s="323"/>
      <c r="AA528" s="323"/>
      <c r="AB528" s="363"/>
      <c r="AC528" s="363"/>
      <c r="AD528" s="316"/>
      <c r="AE528" s="316"/>
      <c r="AF528" s="323">
        <f ca="1">Table2[[#This Row],[End Date]]+2-TODAY()</f>
        <v>235</v>
      </c>
      <c r="AG528" s="316">
        <f>IF(ISBLANK(Table2[[#This Row],[Roster Received by]]),1,0)</f>
        <v>1</v>
      </c>
      <c r="AH528" s="316">
        <f ca="1">IF(Table2[[#This Row],[Start Date]]&gt;TODAY(),1,)</f>
        <v>1</v>
      </c>
      <c r="AI528" s="316">
        <f>IF(ISBLANK(Table2[[#This Row],[Primary Instructor]]),0,1)</f>
        <v>1</v>
      </c>
      <c r="AJ528" s="316">
        <f>IF(ISBLANK(Table2[[#This Row],[Instructor 2]]),0,1)</f>
        <v>0</v>
      </c>
      <c r="AK528" s="316">
        <f>Table2[[#This Row],[Course Length (Hours)]]/(SUM(Table2[[#This Row],[1]:[2]]))</f>
        <v>24</v>
      </c>
      <c r="AL528" s="638"/>
      <c r="AM528" s="444">
        <v>4</v>
      </c>
      <c r="AN528" s="363" t="str">
        <f>VLOOKUP(Table2[[#This Row],[Course Title]],'TSD-Data'!$A$1:$G$80,7,FALSE)</f>
        <v>N4</v>
      </c>
    </row>
    <row r="529" spans="2:40" s="428" customFormat="1" x14ac:dyDescent="0.25">
      <c r="B529" s="315"/>
      <c r="C529" s="439" t="s">
        <v>94</v>
      </c>
      <c r="D529" s="421" t="str">
        <f>VLOOKUP(Table2[[#This Row],[Course Title]],'TSD-Data'!$A$1:$E$80,2,FALSE)</f>
        <v>A-493-0331</v>
      </c>
      <c r="E529" s="421" t="str">
        <f>VLOOKUP(Table2[[#This Row],[Course Title]],'TSD-Data'!$A$1:$E$80,3,FALSE)</f>
        <v>10UG</v>
      </c>
      <c r="F529" s="364" t="s">
        <v>25</v>
      </c>
      <c r="G529" s="344">
        <v>46238</v>
      </c>
      <c r="H529" s="344">
        <v>46240</v>
      </c>
      <c r="I529" s="317" t="s">
        <v>163</v>
      </c>
      <c r="J529" s="318"/>
      <c r="K529" s="318">
        <v>0.5</v>
      </c>
      <c r="L529" s="431">
        <v>0.375</v>
      </c>
      <c r="M529" s="431">
        <v>0.79166666666666663</v>
      </c>
      <c r="N529" s="431">
        <v>0.75</v>
      </c>
      <c r="O529" s="431">
        <v>0.25</v>
      </c>
      <c r="P529" s="431">
        <v>4.1666666666666664E-2</v>
      </c>
      <c r="Q529" s="321" t="s">
        <v>436</v>
      </c>
      <c r="R529" s="321"/>
      <c r="S529" s="321"/>
      <c r="T529" s="316">
        <f>VLOOKUP(Table2[[#This Row],[Course Title]],'TSD-Data'!$A$1:$E$80,4,FALSE)</f>
        <v>45</v>
      </c>
      <c r="U529" s="316">
        <f>VLOOKUP(Table2[[#This Row],[Course Title]],'TSD-Data'!$A$1:$F$80,6,FALSE)</f>
        <v>24</v>
      </c>
      <c r="V529" s="323">
        <f>VLOOKUP(Table2[[#This Row],[Course Title]],'TSD-Data'!$A$1:$F$80,5,FALSE)</f>
        <v>3</v>
      </c>
      <c r="W529" s="323">
        <v>844</v>
      </c>
      <c r="X529" s="316"/>
      <c r="Y529" s="316"/>
      <c r="Z529" s="323"/>
      <c r="AA529" s="323"/>
      <c r="AB529" s="316"/>
      <c r="AC529" s="316"/>
      <c r="AD529" s="316"/>
      <c r="AE529" s="316"/>
      <c r="AF529" s="323">
        <f ca="1">Table2[[#This Row],[End Date]]+2-TODAY()</f>
        <v>235</v>
      </c>
      <c r="AG529" s="316">
        <f>IF(ISBLANK(Table2[[#This Row],[Roster Received by]]),1,0)</f>
        <v>1</v>
      </c>
      <c r="AH529" s="316">
        <f ca="1">IF(Table2[[#This Row],[Start Date]]&gt;TODAY(),1,)</f>
        <v>1</v>
      </c>
      <c r="AI529" s="316">
        <f>IF(ISBLANK(Table2[[#This Row],[Primary Instructor]]),0,1)</f>
        <v>1</v>
      </c>
      <c r="AJ529" s="316">
        <f>IF(ISBLANK(Table2[[#This Row],[Instructor 2]]),0,1)</f>
        <v>0</v>
      </c>
      <c r="AK529" s="316">
        <f>Table2[[#This Row],[Course Length (Hours)]]/(SUM(Table2[[#This Row],[1]:[2]]))</f>
        <v>24</v>
      </c>
      <c r="AL529" s="124"/>
      <c r="AM529" s="444">
        <v>4</v>
      </c>
      <c r="AN529" s="363" t="str">
        <f>VLOOKUP(Table2[[#This Row],[Course Title]],'TSD-Data'!$A$1:$G$80,7,FALSE)</f>
        <v>N3</v>
      </c>
    </row>
    <row r="530" spans="2:40" s="428" customFormat="1" x14ac:dyDescent="0.25">
      <c r="B530" s="315"/>
      <c r="C530" s="364" t="s">
        <v>110</v>
      </c>
      <c r="D530" s="316" t="str">
        <f>VLOOKUP(Table2[[#This Row],[Course Title]],'TSD-Data'!$A$1:$E$80,2,FALSE)</f>
        <v>A-493-2501</v>
      </c>
      <c r="E530" s="316" t="str">
        <f>VLOOKUP(Table2[[#This Row],[Course Title]],'TSD-Data'!$A$1:$E$80,3,FALSE)</f>
        <v>05ZE</v>
      </c>
      <c r="F530" s="315" t="s">
        <v>327</v>
      </c>
      <c r="G530" s="317">
        <v>46238</v>
      </c>
      <c r="H530" s="317">
        <v>46238</v>
      </c>
      <c r="I530" s="341" t="s">
        <v>167</v>
      </c>
      <c r="J530" s="318">
        <v>0.33333333333333331</v>
      </c>
      <c r="K530" s="318"/>
      <c r="L530" s="344"/>
      <c r="M530" s="344"/>
      <c r="N530" s="344"/>
      <c r="O530" s="344"/>
      <c r="P530" s="344"/>
      <c r="Q530" s="321" t="s">
        <v>168</v>
      </c>
      <c r="R530" s="321"/>
      <c r="S530" s="321"/>
      <c r="T530" s="316">
        <f>VLOOKUP(Table2[[#This Row],[Course Title]],'TSD-Data'!$A$1:$E$80,4,FALSE)</f>
        <v>30</v>
      </c>
      <c r="U530" s="316">
        <f>VLOOKUP(Table2[[#This Row],[Course Title]],'TSD-Data'!$A$1:$F$80,6,FALSE)</f>
        <v>8</v>
      </c>
      <c r="V530" s="323">
        <f>VLOOKUP(Table2[[#This Row],[Course Title]],'TSD-Data'!$A$1:$F$80,5,FALSE)</f>
        <v>1</v>
      </c>
      <c r="W530" s="323">
        <v>32</v>
      </c>
      <c r="X530" s="316"/>
      <c r="Y530" s="316"/>
      <c r="Z530" s="323"/>
      <c r="AA530" s="323"/>
      <c r="AB530" s="363"/>
      <c r="AC530" s="363"/>
      <c r="AD530" s="316"/>
      <c r="AE530" s="316"/>
      <c r="AF530" s="323">
        <f ca="1">Table2[[#This Row],[End Date]]+2-TODAY()</f>
        <v>233</v>
      </c>
      <c r="AG530" s="316">
        <f>IF(ISBLANK(Table2[[#This Row],[Roster Received by]]),1,0)</f>
        <v>1</v>
      </c>
      <c r="AH530" s="316">
        <f ca="1">IF(Table2[[#This Row],[Start Date]]&gt;TODAY(),1,)</f>
        <v>1</v>
      </c>
      <c r="AI530" s="316">
        <f>IF(ISBLANK(Table2[[#This Row],[Primary Instructor]]),0,1)</f>
        <v>1</v>
      </c>
      <c r="AJ530" s="316">
        <f>IF(ISBLANK(Table2[[#This Row],[Instructor 2]]),0,1)</f>
        <v>0</v>
      </c>
      <c r="AK530" s="316">
        <f>Table2[[#This Row],[Course Length (Hours)]]/(SUM(Table2[[#This Row],[1]:[2]]))</f>
        <v>8</v>
      </c>
      <c r="AL530" s="638"/>
      <c r="AM530" s="444">
        <v>4</v>
      </c>
      <c r="AN530" s="363" t="str">
        <f>VLOOKUP(Table2[[#This Row],[Course Title]],'TSD-Data'!$A$1:$G$80,7,FALSE)</f>
        <v>N4</v>
      </c>
    </row>
    <row r="531" spans="2:40" s="428" customFormat="1" x14ac:dyDescent="0.25">
      <c r="B531" s="364"/>
      <c r="C531" s="364" t="s">
        <v>80</v>
      </c>
      <c r="D531" s="316" t="str">
        <f>VLOOKUP(Table2[[#This Row],[Course Title]],'TSD-Data'!$A$1:$E$80,2,FALSE)</f>
        <v>A-493-0083</v>
      </c>
      <c r="E531" s="316" t="str">
        <f>VLOOKUP(Table2[[#This Row],[Course Title]],'TSD-Data'!$A$1:$E$80,3,FALSE)</f>
        <v>339E</v>
      </c>
      <c r="F531" s="315" t="s">
        <v>170</v>
      </c>
      <c r="G531" s="317">
        <v>46240</v>
      </c>
      <c r="H531" s="317">
        <v>46240</v>
      </c>
      <c r="I531" s="341" t="s">
        <v>167</v>
      </c>
      <c r="J531" s="318">
        <v>0.33333333333333331</v>
      </c>
      <c r="K531" s="318"/>
      <c r="L531" s="317"/>
      <c r="M531" s="317"/>
      <c r="N531" s="317"/>
      <c r="O531" s="317"/>
      <c r="P531" s="317"/>
      <c r="Q531" s="321" t="s">
        <v>168</v>
      </c>
      <c r="R531" s="321"/>
      <c r="S531" s="321"/>
      <c r="T531" s="316">
        <f>VLOOKUP(Table2[[#This Row],[Course Title]],'TSD-Data'!$A$1:$E$80,4,FALSE)</f>
        <v>30</v>
      </c>
      <c r="U531" s="316">
        <f>VLOOKUP(Table2[[#This Row],[Course Title]],'TSD-Data'!$A$1:$F$80,6,FALSE)</f>
        <v>8</v>
      </c>
      <c r="V531" s="323">
        <f>VLOOKUP(Table2[[#This Row],[Course Title]],'TSD-Data'!$A$1:$F$80,5,FALSE)</f>
        <v>1</v>
      </c>
      <c r="W531" s="323">
        <v>48</v>
      </c>
      <c r="X531" s="316"/>
      <c r="Y531" s="316"/>
      <c r="Z531" s="323"/>
      <c r="AA531" s="323"/>
      <c r="AB531" s="363"/>
      <c r="AC531" s="363"/>
      <c r="AD531" s="316"/>
      <c r="AE531" s="316"/>
      <c r="AF531" s="323">
        <f ca="1">Table2[[#This Row],[End Date]]+2-TODAY()</f>
        <v>235</v>
      </c>
      <c r="AG531" s="316">
        <f>IF(ISBLANK(Table2[[#This Row],[Roster Received by]]),1,0)</f>
        <v>1</v>
      </c>
      <c r="AH531" s="316">
        <f ca="1">IF(Table2[[#This Row],[Start Date]]&gt;TODAY(),1,)</f>
        <v>1</v>
      </c>
      <c r="AI531" s="316">
        <f>IF(ISBLANK(Table2[[#This Row],[Primary Instructor]]),0,1)</f>
        <v>1</v>
      </c>
      <c r="AJ531" s="316">
        <f>IF(ISBLANK(Table2[[#This Row],[Instructor 2]]),0,1)</f>
        <v>0</v>
      </c>
      <c r="AK531" s="316">
        <f>Table2[[#This Row],[Course Length (Hours)]]/(SUM(Table2[[#This Row],[1]:[2]]))</f>
        <v>8</v>
      </c>
      <c r="AL531" s="638"/>
      <c r="AM531" s="444">
        <v>4</v>
      </c>
      <c r="AN531" s="363" t="str">
        <f>VLOOKUP(Table2[[#This Row],[Course Title]],'TSD-Data'!$A$1:$G$80,7,FALSE)</f>
        <v>N4</v>
      </c>
    </row>
    <row r="532" spans="2:40" s="428" customFormat="1" x14ac:dyDescent="0.25">
      <c r="B532" s="315" t="s">
        <v>297</v>
      </c>
      <c r="C532" s="364" t="s">
        <v>110</v>
      </c>
      <c r="D532" s="316" t="str">
        <f>VLOOKUP(Table2[[#This Row],[Course Title]],'TSD-Data'!$A$1:$E$80,2,FALSE)</f>
        <v>A-493-2501</v>
      </c>
      <c r="E532" s="316" t="str">
        <f>VLOOKUP(Table2[[#This Row],[Course Title]],'TSD-Data'!$A$1:$E$80,3,FALSE)</f>
        <v>05ZE</v>
      </c>
      <c r="F532" s="315" t="s">
        <v>296</v>
      </c>
      <c r="G532" s="317">
        <v>46240</v>
      </c>
      <c r="H532" s="317">
        <v>46240</v>
      </c>
      <c r="I532" s="341" t="s">
        <v>167</v>
      </c>
      <c r="J532" s="318">
        <v>0.33333333333333331</v>
      </c>
      <c r="K532" s="318"/>
      <c r="L532" s="317"/>
      <c r="M532" s="317"/>
      <c r="N532" s="317"/>
      <c r="O532" s="317"/>
      <c r="P532" s="317"/>
      <c r="Q532" s="321" t="s">
        <v>168</v>
      </c>
      <c r="R532" s="321"/>
      <c r="S532" s="321"/>
      <c r="T532" s="316">
        <f>VLOOKUP(Table2[[#This Row],[Course Title]],'TSD-Data'!$A$1:$E$80,4,FALSE)</f>
        <v>30</v>
      </c>
      <c r="U532" s="316">
        <f>VLOOKUP(Table2[[#This Row],[Course Title]],'TSD-Data'!$A$1:$F$80,6,FALSE)</f>
        <v>8</v>
      </c>
      <c r="V532" s="323">
        <f>VLOOKUP(Table2[[#This Row],[Course Title]],'TSD-Data'!$A$1:$F$80,5,FALSE)</f>
        <v>1</v>
      </c>
      <c r="W532" s="323">
        <v>30</v>
      </c>
      <c r="X532" s="316"/>
      <c r="Y532" s="316"/>
      <c r="Z532" s="323"/>
      <c r="AA532" s="323"/>
      <c r="AB532" s="363"/>
      <c r="AC532" s="363"/>
      <c r="AD532" s="316"/>
      <c r="AE532" s="316"/>
      <c r="AF532" s="323">
        <f ca="1">Table2[[#This Row],[End Date]]+2-TODAY()</f>
        <v>235</v>
      </c>
      <c r="AG532" s="316">
        <f>IF(ISBLANK(Table2[[#This Row],[Roster Received by]]),1,0)</f>
        <v>1</v>
      </c>
      <c r="AH532" s="316">
        <f ca="1">IF(Table2[[#This Row],[Start Date]]&gt;TODAY(),1,)</f>
        <v>1</v>
      </c>
      <c r="AI532" s="316">
        <f>IF(ISBLANK(Table2[[#This Row],[Primary Instructor]]),0,1)</f>
        <v>1</v>
      </c>
      <c r="AJ532" s="316">
        <f>IF(ISBLANK(Table2[[#This Row],[Instructor 2]]),0,1)</f>
        <v>0</v>
      </c>
      <c r="AK532" s="316">
        <f>Table2[[#This Row],[Course Length (Hours)]]/(SUM(Table2[[#This Row],[1]:[2]]))</f>
        <v>8</v>
      </c>
      <c r="AL532" s="638"/>
      <c r="AM532" s="444">
        <v>4</v>
      </c>
      <c r="AN532" s="363" t="str">
        <f>VLOOKUP(Table2[[#This Row],[Course Title]],'TSD-Data'!$A$1:$G$80,7,FALSE)</f>
        <v>N4</v>
      </c>
    </row>
    <row r="533" spans="2:40" s="428" customFormat="1" x14ac:dyDescent="0.25">
      <c r="B533" s="315"/>
      <c r="C533" s="364" t="s">
        <v>48</v>
      </c>
      <c r="D533" s="316" t="str">
        <f>VLOOKUP(Table2[[#This Row],[Course Title]],'TSD-Data'!$A$1:$E$80,2,FALSE)</f>
        <v>A-493-0103</v>
      </c>
      <c r="E533" s="316" t="str">
        <f>VLOOKUP(Table2[[#This Row],[Course Title]],'TSD-Data'!$A$1:$E$80,3,FALSE)</f>
        <v>12JY</v>
      </c>
      <c r="F533" s="315" t="s">
        <v>293</v>
      </c>
      <c r="G533" s="317">
        <v>46244</v>
      </c>
      <c r="H533" s="317">
        <v>46248</v>
      </c>
      <c r="I533" s="317" t="s">
        <v>163</v>
      </c>
      <c r="J533" s="318">
        <v>0.33333333333333331</v>
      </c>
      <c r="K533" s="318"/>
      <c r="L533" s="344"/>
      <c r="M533" s="317"/>
      <c r="N533" s="317"/>
      <c r="O533" s="317"/>
      <c r="P533" s="317"/>
      <c r="Q533" s="321" t="s">
        <v>275</v>
      </c>
      <c r="R533" s="321"/>
      <c r="S533" s="321"/>
      <c r="T533" s="316">
        <f>VLOOKUP(Table2[[#This Row],[Course Title]],'TSD-Data'!$A$1:$E$80,4,FALSE)</f>
        <v>25</v>
      </c>
      <c r="U533" s="316">
        <f>VLOOKUP(Table2[[#This Row],[Course Title]],'TSD-Data'!$A$1:$F$80,6,FALSE)</f>
        <v>40</v>
      </c>
      <c r="V533" s="323">
        <f>VLOOKUP(Table2[[#This Row],[Course Title]],'TSD-Data'!$A$1:$F$80,5,FALSE)</f>
        <v>5</v>
      </c>
      <c r="W533" s="323">
        <v>90</v>
      </c>
      <c r="X533" s="316"/>
      <c r="Y533" s="316"/>
      <c r="Z533" s="323"/>
      <c r="AA533" s="323"/>
      <c r="AB533" s="316"/>
      <c r="AC533" s="316"/>
      <c r="AD533" s="316"/>
      <c r="AE533" s="316"/>
      <c r="AF533" s="323">
        <f ca="1">Table2[[#This Row],[End Date]]+2-TODAY()</f>
        <v>243</v>
      </c>
      <c r="AG533" s="316">
        <f>IF(ISBLANK(Table2[[#This Row],[Roster Received by]]),1,0)</f>
        <v>1</v>
      </c>
      <c r="AH533" s="316">
        <f ca="1">IF(Table2[[#This Row],[Start Date]]&gt;TODAY(),1,)</f>
        <v>1</v>
      </c>
      <c r="AI533" s="316">
        <f>IF(ISBLANK(Table2[[#This Row],[Primary Instructor]]),0,1)</f>
        <v>1</v>
      </c>
      <c r="AJ533" s="316">
        <f>IF(ISBLANK(Table2[[#This Row],[Instructor 2]]),0,1)</f>
        <v>0</v>
      </c>
      <c r="AK533" s="316">
        <f>Table2[[#This Row],[Course Length (Hours)]]/(SUM(Table2[[#This Row],[1]:[2]]))</f>
        <v>40</v>
      </c>
      <c r="AL533" s="124"/>
      <c r="AM533" s="444">
        <v>4</v>
      </c>
      <c r="AN533" s="363" t="str">
        <f>VLOOKUP(Table2[[#This Row],[Course Title]],'TSD-Data'!$A$1:$G$80,7,FALSE)</f>
        <v>N5</v>
      </c>
    </row>
    <row r="534" spans="2:40" s="428" customFormat="1" x14ac:dyDescent="0.25">
      <c r="B534" s="315"/>
      <c r="C534" s="364" t="s">
        <v>48</v>
      </c>
      <c r="D534" s="316" t="str">
        <f>VLOOKUP(Table2[[#This Row],[Course Title]],'TSD-Data'!$A$1:$E$80,2,FALSE)</f>
        <v>A-493-0103</v>
      </c>
      <c r="E534" s="316" t="str">
        <f>VLOOKUP(Table2[[#This Row],[Course Title]],'TSD-Data'!$A$1:$E$80,3,FALSE)</f>
        <v>12JY</v>
      </c>
      <c r="F534" s="315" t="s">
        <v>263</v>
      </c>
      <c r="G534" s="317">
        <v>46244</v>
      </c>
      <c r="H534" s="317">
        <v>46248</v>
      </c>
      <c r="I534" s="317" t="s">
        <v>163</v>
      </c>
      <c r="J534" s="318">
        <v>0.33333333333333331</v>
      </c>
      <c r="K534" s="318"/>
      <c r="L534" s="344"/>
      <c r="M534" s="317"/>
      <c r="N534" s="317"/>
      <c r="O534" s="317"/>
      <c r="P534" s="317"/>
      <c r="Q534" s="321" t="s">
        <v>275</v>
      </c>
      <c r="R534" s="321"/>
      <c r="S534" s="321"/>
      <c r="T534" s="316">
        <f>VLOOKUP(Table2[[#This Row],[Course Title]],'TSD-Data'!$A$1:$E$80,4,FALSE)</f>
        <v>25</v>
      </c>
      <c r="U534" s="316">
        <f>VLOOKUP(Table2[[#This Row],[Course Title]],'TSD-Data'!$A$1:$F$80,6,FALSE)</f>
        <v>40</v>
      </c>
      <c r="V534" s="323">
        <f>VLOOKUP(Table2[[#This Row],[Course Title]],'TSD-Data'!$A$1:$F$80,5,FALSE)</f>
        <v>5</v>
      </c>
      <c r="W534" s="323">
        <v>84</v>
      </c>
      <c r="X534" s="316"/>
      <c r="Y534" s="316"/>
      <c r="Z534" s="323"/>
      <c r="AA534" s="323"/>
      <c r="AB534" s="316"/>
      <c r="AC534" s="316"/>
      <c r="AD534" s="316"/>
      <c r="AE534" s="316"/>
      <c r="AF534" s="323">
        <f ca="1">Table2[[#This Row],[End Date]]+2-TODAY()</f>
        <v>243</v>
      </c>
      <c r="AG534" s="316">
        <f>IF(ISBLANK(Table2[[#This Row],[Roster Received by]]),1,0)</f>
        <v>1</v>
      </c>
      <c r="AH534" s="316">
        <f ca="1">IF(Table2[[#This Row],[Start Date]]&gt;TODAY(),1,)</f>
        <v>1</v>
      </c>
      <c r="AI534" s="316">
        <f>IF(ISBLANK(Table2[[#This Row],[Primary Instructor]]),0,1)</f>
        <v>1</v>
      </c>
      <c r="AJ534" s="316">
        <f>IF(ISBLANK(Table2[[#This Row],[Instructor 2]]),0,1)</f>
        <v>0</v>
      </c>
      <c r="AK534" s="316">
        <f>Table2[[#This Row],[Course Length (Hours)]]/(SUM(Table2[[#This Row],[1]:[2]]))</f>
        <v>40</v>
      </c>
      <c r="AL534" s="124"/>
      <c r="AM534" s="444">
        <v>4</v>
      </c>
      <c r="AN534" s="363" t="str">
        <f>VLOOKUP(Table2[[#This Row],[Course Title]],'TSD-Data'!$A$1:$G$80,7,FALSE)</f>
        <v>N5</v>
      </c>
    </row>
    <row r="535" spans="2:40" s="428" customFormat="1" x14ac:dyDescent="0.25">
      <c r="B535" s="315"/>
      <c r="C535" s="442" t="s">
        <v>41</v>
      </c>
      <c r="D535" s="316" t="str">
        <f>VLOOKUP(Table2[[#This Row],[Course Title]],'TSD-Data'!$A$1:$E$80,2,FALSE)</f>
        <v>A-493-0070</v>
      </c>
      <c r="E535" s="316" t="str">
        <f>VLOOKUP(Table2[[#This Row],[Course Title]],'TSD-Data'!$A$1:$E$80,3,FALSE)</f>
        <v>450V</v>
      </c>
      <c r="F535" s="315" t="s">
        <v>25</v>
      </c>
      <c r="G535" s="328">
        <v>46244</v>
      </c>
      <c r="H535" s="328">
        <v>46245</v>
      </c>
      <c r="I535" s="317" t="s">
        <v>163</v>
      </c>
      <c r="J535" s="329"/>
      <c r="K535" s="345">
        <v>0.33333333333333331</v>
      </c>
      <c r="L535" s="345">
        <v>0.20833333333333334</v>
      </c>
      <c r="M535" s="345">
        <v>0.625</v>
      </c>
      <c r="N535" s="345">
        <v>0.54166666666666663</v>
      </c>
      <c r="O535" s="345">
        <v>8.3333333333333329E-2</v>
      </c>
      <c r="P535" s="345">
        <v>0.875</v>
      </c>
      <c r="Q535" s="321" t="s">
        <v>174</v>
      </c>
      <c r="R535" s="321"/>
      <c r="S535" s="321"/>
      <c r="T535" s="316">
        <f>VLOOKUP(Table2[[#This Row],[Course Title]],'TSD-Data'!$A$1:$E$80,4,FALSE)</f>
        <v>30</v>
      </c>
      <c r="U535" s="316">
        <f>VLOOKUP(Table2[[#This Row],[Course Title]],'TSD-Data'!$A$1:$F$80,6,FALSE)</f>
        <v>8</v>
      </c>
      <c r="V535" s="323">
        <f>VLOOKUP(Table2[[#This Row],[Course Title]],'TSD-Data'!$A$1:$F$80,5,FALSE)</f>
        <v>1</v>
      </c>
      <c r="W535" s="323">
        <v>0</v>
      </c>
      <c r="X535" s="316"/>
      <c r="Y535" s="316"/>
      <c r="Z535" s="323"/>
      <c r="AA535" s="323"/>
      <c r="AB535" s="316"/>
      <c r="AC535" s="316"/>
      <c r="AD535" s="316"/>
      <c r="AE535" s="316"/>
      <c r="AF535" s="323">
        <f ca="1">Table2[[#This Row],[End Date]]+2-TODAY()</f>
        <v>240</v>
      </c>
      <c r="AG535" s="316">
        <f>IF(ISBLANK(Table2[[#This Row],[Roster Received by]]),1,0)</f>
        <v>1</v>
      </c>
      <c r="AH535" s="316">
        <f ca="1">IF(Table2[[#This Row],[Start Date]]&gt;TODAY(),1,)</f>
        <v>1</v>
      </c>
      <c r="AI535" s="316">
        <f>IF(ISBLANK(Table2[[#This Row],[Primary Instructor]]),0,1)</f>
        <v>1</v>
      </c>
      <c r="AJ535" s="316">
        <f>IF(ISBLANK(Table2[[#This Row],[Instructor 2]]),0,1)</f>
        <v>0</v>
      </c>
      <c r="AK535" s="316">
        <f>Table2[[#This Row],[Course Length (Hours)]]/(SUM(Table2[[#This Row],[1]:[2]]))</f>
        <v>8</v>
      </c>
      <c r="AL535" s="124"/>
      <c r="AM535" s="444">
        <v>4</v>
      </c>
      <c r="AN535" s="363" t="str">
        <f>VLOOKUP(Table2[[#This Row],[Course Title]],'TSD-Data'!$A$1:$G$80,7,FALSE)</f>
        <v>N3</v>
      </c>
    </row>
    <row r="536" spans="2:40" s="428" customFormat="1" x14ac:dyDescent="0.25">
      <c r="B536" s="315"/>
      <c r="C536" s="364" t="s">
        <v>52</v>
      </c>
      <c r="D536" s="316" t="str">
        <f>VLOOKUP(Table2[[#This Row],[Course Title]],'TSD-Data'!$A$1:$E$80,2,FALSE)</f>
        <v>A-493-0030</v>
      </c>
      <c r="E536" s="316" t="str">
        <f>VLOOKUP(Table2[[#This Row],[Course Title]],'TSD-Data'!$A$1:$E$80,3,FALSE)</f>
        <v>286X</v>
      </c>
      <c r="F536" s="315" t="s">
        <v>264</v>
      </c>
      <c r="G536" s="317">
        <v>46244</v>
      </c>
      <c r="H536" s="317">
        <v>46248</v>
      </c>
      <c r="I536" s="317" t="s">
        <v>163</v>
      </c>
      <c r="J536" s="318">
        <v>0.33333333333333331</v>
      </c>
      <c r="K536" s="329"/>
      <c r="L536" s="344"/>
      <c r="M536" s="317"/>
      <c r="N536" s="317"/>
      <c r="O536" s="317"/>
      <c r="P536" s="317"/>
      <c r="Q536" s="321" t="s">
        <v>437</v>
      </c>
      <c r="R536" s="321"/>
      <c r="S536" s="321"/>
      <c r="T536" s="316">
        <f>VLOOKUP(Table2[[#This Row],[Course Title]],'TSD-Data'!$A$1:$E$80,4,FALSE)</f>
        <v>25</v>
      </c>
      <c r="U536" s="316">
        <f>VLOOKUP(Table2[[#This Row],[Course Title]],'TSD-Data'!$A$1:$F$80,6,FALSE)</f>
        <v>40</v>
      </c>
      <c r="V536" s="323">
        <f>VLOOKUP(Table2[[#This Row],[Course Title]],'TSD-Data'!$A$1:$F$80,5,FALSE)</f>
        <v>5</v>
      </c>
      <c r="W536" s="323">
        <v>85</v>
      </c>
      <c r="X536" s="316"/>
      <c r="Y536" s="316"/>
      <c r="Z536" s="323"/>
      <c r="AA536" s="323"/>
      <c r="AB536" s="316"/>
      <c r="AC536" s="316"/>
      <c r="AD536" s="316"/>
      <c r="AE536" s="316"/>
      <c r="AF536" s="323">
        <f ca="1">Table2[[#This Row],[End Date]]+2-TODAY()</f>
        <v>243</v>
      </c>
      <c r="AG536" s="316">
        <f>IF(ISBLANK(Table2[[#This Row],[Roster Received by]]),1,0)</f>
        <v>1</v>
      </c>
      <c r="AH536" s="316">
        <f ca="1">IF(Table2[[#This Row],[Start Date]]&gt;TODAY(),1,)</f>
        <v>1</v>
      </c>
      <c r="AI536" s="316">
        <f>IF(ISBLANK(Table2[[#This Row],[Primary Instructor]]),0,1)</f>
        <v>1</v>
      </c>
      <c r="AJ536" s="316">
        <f>IF(ISBLANK(Table2[[#This Row],[Instructor 2]]),0,1)</f>
        <v>0</v>
      </c>
      <c r="AK536" s="316">
        <f>Table2[[#This Row],[Course Length (Hours)]]/(SUM(Table2[[#This Row],[1]:[2]]))</f>
        <v>40</v>
      </c>
      <c r="AL536" s="124"/>
      <c r="AM536" s="444">
        <v>4</v>
      </c>
      <c r="AN536" s="363" t="str">
        <f>VLOOKUP(Table2[[#This Row],[Course Title]],'TSD-Data'!$A$1:$G$80,7,FALSE)</f>
        <v>N3</v>
      </c>
    </row>
    <row r="537" spans="2:40" s="428" customFormat="1" x14ac:dyDescent="0.25">
      <c r="B537" s="342" t="s">
        <v>508</v>
      </c>
      <c r="C537" s="343" t="s">
        <v>61</v>
      </c>
      <c r="D537" s="316" t="str">
        <f>VLOOKUP(Table2[[#This Row],[Course Title]],'TSD-Data'!$A$1:$E$80,2,FALSE)</f>
        <v>A-493-0012</v>
      </c>
      <c r="E537" s="316">
        <f>VLOOKUP(Table2[[#This Row],[Course Title]],'TSD-Data'!$A$1:$E$80,3,FALSE)</f>
        <v>3682</v>
      </c>
      <c r="F537" s="342" t="s">
        <v>296</v>
      </c>
      <c r="G537" s="416">
        <v>46244</v>
      </c>
      <c r="H537" s="416">
        <v>46248</v>
      </c>
      <c r="I537" s="341" t="s">
        <v>167</v>
      </c>
      <c r="J537" s="318">
        <v>0.33333333333333331</v>
      </c>
      <c r="K537" s="318"/>
      <c r="L537" s="344"/>
      <c r="M537" s="317"/>
      <c r="N537" s="317"/>
      <c r="O537" s="317"/>
      <c r="P537" s="317"/>
      <c r="Q537" s="321" t="s">
        <v>438</v>
      </c>
      <c r="R537" s="321"/>
      <c r="S537" s="321"/>
      <c r="T537" s="316">
        <f>VLOOKUP(Table2[[#This Row],[Course Title]],'TSD-Data'!$A$1:$E$80,4,FALSE)</f>
        <v>40</v>
      </c>
      <c r="U537" s="316">
        <f>VLOOKUP(Table2[[#This Row],[Course Title]],'TSD-Data'!$A$1:$F$80,6,FALSE)</f>
        <v>40</v>
      </c>
      <c r="V537" s="323">
        <f>VLOOKUP(Table2[[#This Row],[Course Title]],'TSD-Data'!$A$1:$F$80,5,FALSE)</f>
        <v>5</v>
      </c>
      <c r="W537" s="316">
        <v>30</v>
      </c>
      <c r="X537" s="316"/>
      <c r="Y537" s="316"/>
      <c r="Z537" s="323"/>
      <c r="AA537" s="323"/>
      <c r="AB537" s="316"/>
      <c r="AC537" s="316"/>
      <c r="AD537" s="316"/>
      <c r="AE537" s="316"/>
      <c r="AF537" s="323">
        <f ca="1">Table2[[#This Row],[End Date]]+2-TODAY()</f>
        <v>243</v>
      </c>
      <c r="AG537" s="316">
        <f>IF(ISBLANK(Table2[[#This Row],[Roster Received by]]),1,0)</f>
        <v>1</v>
      </c>
      <c r="AH537" s="316">
        <f ca="1">IF(Table2[[#This Row],[Start Date]]&gt;TODAY(),1,)</f>
        <v>1</v>
      </c>
      <c r="AI537" s="316">
        <f>IF(ISBLANK(Table2[[#This Row],[Primary Instructor]]),0,1)</f>
        <v>1</v>
      </c>
      <c r="AJ537" s="316">
        <f>IF(ISBLANK(Table2[[#This Row],[Instructor 2]]),0,1)</f>
        <v>0</v>
      </c>
      <c r="AK537" s="316">
        <f>Table2[[#This Row],[Course Length (Hours)]]/(SUM(Table2[[#This Row],[1]:[2]]))</f>
        <v>40</v>
      </c>
      <c r="AL537" s="124"/>
      <c r="AM537" s="444">
        <v>4</v>
      </c>
      <c r="AN537" s="363" t="str">
        <f>VLOOKUP(Table2[[#This Row],[Course Title]],'TSD-Data'!$A$1:$G$80,7,FALSE)</f>
        <v>N4</v>
      </c>
    </row>
    <row r="538" spans="2:40" s="428" customFormat="1" x14ac:dyDescent="0.25">
      <c r="B538" s="315"/>
      <c r="C538" s="364" t="s">
        <v>71</v>
      </c>
      <c r="D538" s="316" t="str">
        <f>VLOOKUP(Table2[[#This Row],[Course Title]],'TSD-Data'!$A$1:$E$80,2,FALSE)</f>
        <v>A-493-0061</v>
      </c>
      <c r="E538" s="316" t="str">
        <f>VLOOKUP(Table2[[#This Row],[Course Title]],'TSD-Data'!$A$1:$E$80,3,FALSE)</f>
        <v>288E</v>
      </c>
      <c r="F538" s="315" t="s">
        <v>25</v>
      </c>
      <c r="G538" s="317">
        <v>46244</v>
      </c>
      <c r="H538" s="317">
        <v>46247</v>
      </c>
      <c r="I538" s="317" t="s">
        <v>163</v>
      </c>
      <c r="J538" s="318"/>
      <c r="K538" s="318">
        <v>0.33333333333333331</v>
      </c>
      <c r="L538" s="345">
        <v>0.20833333333333334</v>
      </c>
      <c r="M538" s="318">
        <v>0.625</v>
      </c>
      <c r="N538" s="318">
        <v>0.54166666666666663</v>
      </c>
      <c r="O538" s="318">
        <v>8.3333333333333329E-2</v>
      </c>
      <c r="P538" s="318">
        <v>0.875</v>
      </c>
      <c r="Q538" s="321" t="s">
        <v>272</v>
      </c>
      <c r="R538" s="321"/>
      <c r="S538" s="321"/>
      <c r="T538" s="316">
        <f>VLOOKUP(Table2[[#This Row],[Course Title]],'TSD-Data'!$A$1:$E$80,4,FALSE)</f>
        <v>45</v>
      </c>
      <c r="U538" s="316">
        <f>VLOOKUP(Table2[[#This Row],[Course Title]],'TSD-Data'!$A$1:$F$80,6,FALSE)</f>
        <v>30</v>
      </c>
      <c r="V538" s="323">
        <f>VLOOKUP(Table2[[#This Row],[Course Title]],'TSD-Data'!$A$1:$F$80,5,FALSE)</f>
        <v>4</v>
      </c>
      <c r="W538" s="323">
        <v>366</v>
      </c>
      <c r="X538" s="316"/>
      <c r="Y538" s="316"/>
      <c r="Z538" s="323"/>
      <c r="AA538" s="323"/>
      <c r="AB538" s="316"/>
      <c r="AC538" s="316"/>
      <c r="AD538" s="316"/>
      <c r="AE538" s="316"/>
      <c r="AF538" s="323">
        <f ca="1">Table2[[#This Row],[End Date]]+2-TODAY()</f>
        <v>242</v>
      </c>
      <c r="AG538" s="316">
        <f>IF(ISBLANK(Table2[[#This Row],[Roster Received by]]),1,0)</f>
        <v>1</v>
      </c>
      <c r="AH538" s="316">
        <f ca="1">IF(Table2[[#This Row],[Start Date]]&gt;TODAY(),1,)</f>
        <v>1</v>
      </c>
      <c r="AI538" s="316">
        <f>IF(ISBLANK(Table2[[#This Row],[Primary Instructor]]),0,1)</f>
        <v>1</v>
      </c>
      <c r="AJ538" s="316">
        <f>IF(ISBLANK(Table2[[#This Row],[Instructor 2]]),0,1)</f>
        <v>0</v>
      </c>
      <c r="AK538" s="316">
        <f>Table2[[#This Row],[Course Length (Hours)]]/(SUM(Table2[[#This Row],[1]:[2]]))</f>
        <v>30</v>
      </c>
      <c r="AL538" s="124"/>
      <c r="AM538" s="444">
        <v>4</v>
      </c>
      <c r="AN538" s="363" t="str">
        <f>VLOOKUP(Table2[[#This Row],[Course Title]],'TSD-Data'!$A$1:$G$80,7,FALSE)</f>
        <v>N5</v>
      </c>
    </row>
    <row r="539" spans="2:40" s="428" customFormat="1" x14ac:dyDescent="0.25">
      <c r="B539" s="315"/>
      <c r="C539" s="364" t="s">
        <v>113</v>
      </c>
      <c r="D539" s="316" t="str">
        <f>VLOOKUP(Table2[[#This Row],[Course Title]],'TSD-Data'!$A$1:$E$80,2,FALSE)</f>
        <v>A-570-0100</v>
      </c>
      <c r="E539" s="316" t="str">
        <f>VLOOKUP(Table2[[#This Row],[Course Title]],'TSD-Data'!$A$1:$E$80,3,FALSE)</f>
        <v>18B7</v>
      </c>
      <c r="F539" s="315" t="s">
        <v>25</v>
      </c>
      <c r="G539" s="317">
        <v>46244</v>
      </c>
      <c r="H539" s="317">
        <v>46245</v>
      </c>
      <c r="I539" s="317" t="s">
        <v>163</v>
      </c>
      <c r="J539" s="318"/>
      <c r="K539" s="318">
        <v>0.79166666666666663</v>
      </c>
      <c r="L539" s="431">
        <v>0.66666666666666663</v>
      </c>
      <c r="M539" s="431">
        <v>8.3333333333333329E-2</v>
      </c>
      <c r="N539" s="431">
        <v>0</v>
      </c>
      <c r="O539" s="431">
        <v>0.54166666666666663</v>
      </c>
      <c r="P539" s="431">
        <v>0.33333333333333331</v>
      </c>
      <c r="Q539" s="321" t="s">
        <v>431</v>
      </c>
      <c r="R539" s="321"/>
      <c r="S539" s="321"/>
      <c r="T539" s="316">
        <f>VLOOKUP(Table2[[#This Row],[Course Title]],'TSD-Data'!$A$1:$E$80,4,FALSE)</f>
        <v>45</v>
      </c>
      <c r="U539" s="316">
        <f>VLOOKUP(Table2[[#This Row],[Course Title]],'TSD-Data'!$A$1:$F$80,6,FALSE)</f>
        <v>16</v>
      </c>
      <c r="V539" s="323">
        <f>VLOOKUP(Table2[[#This Row],[Course Title]],'TSD-Data'!$A$1:$F$80,5,FALSE)</f>
        <v>2</v>
      </c>
      <c r="W539" s="323">
        <v>126</v>
      </c>
      <c r="X539" s="316"/>
      <c r="Y539" s="316"/>
      <c r="Z539" s="323"/>
      <c r="AA539" s="323"/>
      <c r="AB539" s="316"/>
      <c r="AC539" s="316"/>
      <c r="AD539" s="316"/>
      <c r="AE539" s="316"/>
      <c r="AF539" s="323">
        <f ca="1">Table2[[#This Row],[End Date]]+2-TODAY()</f>
        <v>240</v>
      </c>
      <c r="AG539" s="316">
        <f>IF(ISBLANK(Table2[[#This Row],[Roster Received by]]),1,0)</f>
        <v>1</v>
      </c>
      <c r="AH539" s="316">
        <f ca="1">IF(Table2[[#This Row],[Start Date]]&gt;TODAY(),1,)</f>
        <v>1</v>
      </c>
      <c r="AI539" s="316">
        <f>IF(ISBLANK(Table2[[#This Row],[Primary Instructor]]),0,1)</f>
        <v>1</v>
      </c>
      <c r="AJ539" s="316">
        <f>IF(ISBLANK(Table2[[#This Row],[Instructor 2]]),0,1)</f>
        <v>0</v>
      </c>
      <c r="AK539" s="316">
        <f>Table2[[#This Row],[Course Length (Hours)]]/(SUM(Table2[[#This Row],[1]:[2]]))</f>
        <v>16</v>
      </c>
      <c r="AL539" s="124"/>
      <c r="AM539" s="444">
        <v>4</v>
      </c>
      <c r="AN539" s="363" t="str">
        <f>VLOOKUP(Table2[[#This Row],[Course Title]],'TSD-Data'!$A$1:$G$80,7,FALSE)</f>
        <v>N8</v>
      </c>
    </row>
    <row r="540" spans="2:40" s="428" customFormat="1" x14ac:dyDescent="0.25">
      <c r="B540" s="315" t="s">
        <v>469</v>
      </c>
      <c r="C540" s="364" t="s">
        <v>116</v>
      </c>
      <c r="D540" s="316" t="str">
        <f>VLOOKUP(Table2[[#This Row],[Course Title]],'TSD-Data'!$A$1:$E$80,2,FALSE)</f>
        <v>A-493-0072</v>
      </c>
      <c r="E540" s="316" t="str">
        <f>VLOOKUP(Table2[[#This Row],[Course Title]],'TSD-Data'!$A$1:$E$80,3,FALSE)</f>
        <v>713U</v>
      </c>
      <c r="F540" s="364" t="s">
        <v>298</v>
      </c>
      <c r="G540" s="344">
        <v>46244</v>
      </c>
      <c r="H540" s="344">
        <v>46248</v>
      </c>
      <c r="I540" s="317" t="s">
        <v>163</v>
      </c>
      <c r="J540" s="318">
        <v>0.33333333333333331</v>
      </c>
      <c r="K540" s="345"/>
      <c r="L540" s="344"/>
      <c r="M540" s="344"/>
      <c r="N540" s="344"/>
      <c r="O540" s="344"/>
      <c r="P540" s="344"/>
      <c r="Q540" s="321" t="s">
        <v>175</v>
      </c>
      <c r="R540" s="321"/>
      <c r="S540" s="321" t="s">
        <v>444</v>
      </c>
      <c r="T540" s="316">
        <f>VLOOKUP(Table2[[#This Row],[Course Title]],'TSD-Data'!$A$1:$E$80,4,FALSE)</f>
        <v>30</v>
      </c>
      <c r="U540" s="316">
        <f>VLOOKUP(Table2[[#This Row],[Course Title]],'TSD-Data'!$A$1:$F$80,6,FALSE)</f>
        <v>40</v>
      </c>
      <c r="V540" s="323">
        <f>VLOOKUP(Table2[[#This Row],[Course Title]],'TSD-Data'!$A$1:$F$80,5,FALSE)</f>
        <v>5</v>
      </c>
      <c r="W540" s="323">
        <v>33</v>
      </c>
      <c r="X540" s="316"/>
      <c r="Y540" s="316"/>
      <c r="Z540" s="323"/>
      <c r="AA540" s="323"/>
      <c r="AB540" s="316"/>
      <c r="AC540" s="316"/>
      <c r="AD540" s="316"/>
      <c r="AE540" s="316"/>
      <c r="AF540" s="323">
        <f ca="1">Table2[[#This Row],[End Date]]+2-TODAY()</f>
        <v>243</v>
      </c>
      <c r="AG540" s="316">
        <f>IF(ISBLANK(Table2[[#This Row],[Roster Received by]]),1,0)</f>
        <v>1</v>
      </c>
      <c r="AH540" s="316">
        <f ca="1">IF(Table2[[#This Row],[Start Date]]&gt;TODAY(),1,)</f>
        <v>1</v>
      </c>
      <c r="AI540" s="316">
        <f>IF(ISBLANK(Table2[[#This Row],[Primary Instructor]]),0,1)</f>
        <v>1</v>
      </c>
      <c r="AJ540" s="316">
        <f>IF(ISBLANK(Table2[[#This Row],[Instructor 2]]),0,1)</f>
        <v>0</v>
      </c>
      <c r="AK540" s="316">
        <f>Table2[[#This Row],[Course Length (Hours)]]/(SUM(Table2[[#This Row],[1]:[2]]))</f>
        <v>40</v>
      </c>
      <c r="AL540" s="124"/>
      <c r="AM540" s="444">
        <v>4</v>
      </c>
      <c r="AN540" s="363" t="str">
        <f>VLOOKUP(Table2[[#This Row],[Course Title]],'TSD-Data'!$A$1:$G$80,7,FALSE)</f>
        <v>N3</v>
      </c>
    </row>
    <row r="541" spans="2:40" s="428" customFormat="1" ht="15" customHeight="1" x14ac:dyDescent="0.25">
      <c r="B541" s="315"/>
      <c r="C541" s="364" t="s">
        <v>119</v>
      </c>
      <c r="D541" s="363" t="str">
        <f>VLOOKUP(Table2[[#This Row],[Course Title]],'TSD-Data'!$A$1:$E$80,2,FALSE)</f>
        <v>A-493-2098</v>
      </c>
      <c r="E541" s="363" t="str">
        <f>VLOOKUP(Table2[[#This Row],[Course Title]],'TSD-Data'!$A$1:$E$80,3,FALSE)</f>
        <v>09WW</v>
      </c>
      <c r="F541" s="364" t="s">
        <v>25</v>
      </c>
      <c r="G541" s="344">
        <v>46244</v>
      </c>
      <c r="H541" s="344">
        <v>46215</v>
      </c>
      <c r="I541" s="317" t="s">
        <v>163</v>
      </c>
      <c r="J541" s="318"/>
      <c r="K541" s="318">
        <v>0.5</v>
      </c>
      <c r="L541" s="431">
        <v>0.375</v>
      </c>
      <c r="M541" s="431">
        <v>0.79166666666666663</v>
      </c>
      <c r="N541" s="431">
        <v>0.75</v>
      </c>
      <c r="O541" s="431">
        <v>0.25</v>
      </c>
      <c r="P541" s="431">
        <v>4.1666666666666664E-2</v>
      </c>
      <c r="Q541" s="321" t="s">
        <v>164</v>
      </c>
      <c r="R541" s="321"/>
      <c r="S541" s="321"/>
      <c r="T541" s="316">
        <f>VLOOKUP(Table2[[#This Row],[Course Title]],'TSD-Data'!$A$1:$E$80,4,FALSE)</f>
        <v>100</v>
      </c>
      <c r="U541" s="363">
        <f>VLOOKUP(Table2[[#This Row],[Course Title]],'TSD-Data'!$A$1:$F$80,6,FALSE)</f>
        <v>16</v>
      </c>
      <c r="V541" s="323">
        <f>VLOOKUP(Table2[[#This Row],[Course Title]],'TSD-Data'!$A$1:$F$80,5,FALSE)</f>
        <v>3</v>
      </c>
      <c r="W541" s="323"/>
      <c r="X541" s="316"/>
      <c r="Y541" s="316"/>
      <c r="Z541" s="323"/>
      <c r="AA541" s="323"/>
      <c r="AB541" s="363"/>
      <c r="AC541" s="363"/>
      <c r="AD541" s="316"/>
      <c r="AE541" s="316"/>
      <c r="AF541" s="323">
        <f ca="1">Table2[[#This Row],[End Date]]+2-TODAY()</f>
        <v>210</v>
      </c>
      <c r="AG541" s="316">
        <f>IF(ISBLANK(Table2[[#This Row],[Roster Received by]]),1,0)</f>
        <v>1</v>
      </c>
      <c r="AH541" s="316">
        <f ca="1">IF(Table2[[#This Row],[Start Date]]&gt;TODAY(),1,)</f>
        <v>1</v>
      </c>
      <c r="AI541" s="316">
        <f>IF(ISBLANK(Table2[[#This Row],[Primary Instructor]]),0,1)</f>
        <v>1</v>
      </c>
      <c r="AJ541" s="316">
        <f>IF(ISBLANK(Table2[[#This Row],[Instructor 2]]),0,1)</f>
        <v>0</v>
      </c>
      <c r="AK541" s="316">
        <f>Table2[[#This Row],[Course Length (Hours)]]/(SUM(Table2[[#This Row],[1]:[2]]))</f>
        <v>16</v>
      </c>
      <c r="AL541" s="638"/>
      <c r="AM541" s="444">
        <v>4</v>
      </c>
      <c r="AN541" s="363" t="str">
        <f>VLOOKUP(Table2[[#This Row],[Course Title]],'TSD-Data'!$A$1:$G$80,7,FALSE)</f>
        <v>N8</v>
      </c>
    </row>
    <row r="542" spans="2:40" s="428" customFormat="1" x14ac:dyDescent="0.25">
      <c r="B542" s="315"/>
      <c r="C542" s="364" t="s">
        <v>106</v>
      </c>
      <c r="D542" s="316" t="str">
        <f>VLOOKUP(Table2[[#This Row],[Course Title]],'TSD-Data'!$A$1:$E$80,2,FALSE)</f>
        <v>A-493-0078</v>
      </c>
      <c r="E542" s="316">
        <f>VLOOKUP(Table2[[#This Row],[Course Title]],'TSD-Data'!$A$1:$E$80,3,FALSE)</f>
        <v>1228</v>
      </c>
      <c r="F542" s="364" t="s">
        <v>25</v>
      </c>
      <c r="G542" s="317">
        <v>46244</v>
      </c>
      <c r="H542" s="317">
        <v>46248</v>
      </c>
      <c r="I542" s="317" t="s">
        <v>163</v>
      </c>
      <c r="J542" s="318"/>
      <c r="K542" s="345">
        <v>0.33333333333333331</v>
      </c>
      <c r="L542" s="345">
        <v>0.20833333333333334</v>
      </c>
      <c r="M542" s="345">
        <v>0.625</v>
      </c>
      <c r="N542" s="345">
        <v>0.54166666666666663</v>
      </c>
      <c r="O542" s="345">
        <v>8.3333333333333329E-2</v>
      </c>
      <c r="P542" s="345">
        <v>0.875</v>
      </c>
      <c r="Q542" s="321" t="s">
        <v>172</v>
      </c>
      <c r="R542" s="321"/>
      <c r="S542" s="321"/>
      <c r="T542" s="316">
        <f>VLOOKUP(Table2[[#This Row],[Course Title]],'TSD-Data'!$A$1:$E$80,4,FALSE)</f>
        <v>45</v>
      </c>
      <c r="U542" s="316">
        <f>VLOOKUP(Table2[[#This Row],[Course Title]],'TSD-Data'!$A$1:$F$80,6,FALSE)</f>
        <v>32</v>
      </c>
      <c r="V542" s="323">
        <f>VLOOKUP(Table2[[#This Row],[Course Title]],'TSD-Data'!$A$1:$F$80,5,FALSE)</f>
        <v>4</v>
      </c>
      <c r="W542" s="323">
        <v>454</v>
      </c>
      <c r="X542" s="316"/>
      <c r="Y542" s="316"/>
      <c r="Z542" s="323"/>
      <c r="AA542" s="323"/>
      <c r="AB542" s="316"/>
      <c r="AC542" s="316"/>
      <c r="AD542" s="316"/>
      <c r="AE542" s="316"/>
      <c r="AF542" s="323">
        <f ca="1">Table2[[#This Row],[End Date]]+2-TODAY()</f>
        <v>243</v>
      </c>
      <c r="AG542" s="316">
        <f>IF(ISBLANK(Table2[[#This Row],[Roster Received by]]),1,0)</f>
        <v>1</v>
      </c>
      <c r="AH542" s="316">
        <f ca="1">IF(Table2[[#This Row],[Start Date]]&gt;TODAY(),1,)</f>
        <v>1</v>
      </c>
      <c r="AI542" s="316">
        <f>IF(ISBLANK(Table2[[#This Row],[Primary Instructor]]),0,1)</f>
        <v>1</v>
      </c>
      <c r="AJ542" s="316">
        <f>IF(ISBLANK(Table2[[#This Row],[Instructor 2]]),0,1)</f>
        <v>0</v>
      </c>
      <c r="AK542" s="316">
        <f>Table2[[#This Row],[Course Length (Hours)]]/(SUM(Table2[[#This Row],[1]:[2]]))</f>
        <v>32</v>
      </c>
      <c r="AL542" s="124"/>
      <c r="AM542" s="444">
        <v>4</v>
      </c>
      <c r="AN542" s="363" t="str">
        <f>VLOOKUP(Table2[[#This Row],[Course Title]],'TSD-Data'!$A$1:$G$80,7,FALSE)</f>
        <v>N5</v>
      </c>
    </row>
    <row r="543" spans="2:40" s="428" customFormat="1" ht="15" customHeight="1" x14ac:dyDescent="0.25">
      <c r="B543" s="315"/>
      <c r="C543" s="364" t="s">
        <v>100</v>
      </c>
      <c r="D543" s="316" t="str">
        <f>VLOOKUP(Table2[[#This Row],[Course Title]],'TSD-Data'!$A$1:$E$80,2,FALSE)</f>
        <v>A-493-0550</v>
      </c>
      <c r="E543" s="316" t="str">
        <f>VLOOKUP(Table2[[#This Row],[Course Title]],'TSD-Data'!$A$1:$E$80,3,FALSE)</f>
        <v>09K5</v>
      </c>
      <c r="F543" s="315" t="s">
        <v>25</v>
      </c>
      <c r="G543" s="317">
        <v>46245</v>
      </c>
      <c r="H543" s="317">
        <v>46248</v>
      </c>
      <c r="I543" s="317" t="s">
        <v>163</v>
      </c>
      <c r="J543" s="318"/>
      <c r="K543" s="345">
        <v>0.5</v>
      </c>
      <c r="L543" s="429">
        <v>0.375</v>
      </c>
      <c r="M543" s="429">
        <v>0.79166666666666663</v>
      </c>
      <c r="N543" s="429">
        <v>0.75</v>
      </c>
      <c r="O543" s="429">
        <v>0.25</v>
      </c>
      <c r="P543" s="429">
        <v>4.1666666666666664E-2</v>
      </c>
      <c r="Q543" s="321" t="s">
        <v>426</v>
      </c>
      <c r="R543" s="321"/>
      <c r="S543" s="321"/>
      <c r="T543" s="316">
        <f>VLOOKUP(Table2[[#This Row],[Course Title]],'TSD-Data'!$A$1:$E$80,4,FALSE)</f>
        <v>45</v>
      </c>
      <c r="U543" s="316">
        <f>VLOOKUP(Table2[[#This Row],[Course Title]],'TSD-Data'!$A$1:$F$80,6,FALSE)</f>
        <v>32</v>
      </c>
      <c r="V543" s="323">
        <f>VLOOKUP(Table2[[#This Row],[Course Title]],'TSD-Data'!$A$1:$F$80,5,FALSE)</f>
        <v>4</v>
      </c>
      <c r="W543" s="323">
        <v>864</v>
      </c>
      <c r="X543" s="316"/>
      <c r="Y543" s="316"/>
      <c r="Z543" s="323"/>
      <c r="AA543" s="323"/>
      <c r="AB543" s="316"/>
      <c r="AC543" s="316"/>
      <c r="AD543" s="316"/>
      <c r="AE543" s="316"/>
      <c r="AF543" s="323">
        <f ca="1">Table2[[#This Row],[End Date]]+2-TODAY()</f>
        <v>243</v>
      </c>
      <c r="AG543" s="316">
        <f>IF(ISBLANK(Table2[[#This Row],[Roster Received by]]),1,0)</f>
        <v>1</v>
      </c>
      <c r="AH543" s="316">
        <f ca="1">IF(Table2[[#This Row],[Start Date]]&gt;TODAY(),1,)</f>
        <v>1</v>
      </c>
      <c r="AI543" s="316">
        <f>IF(ISBLANK(Table2[[#This Row],[Primary Instructor]]),0,1)</f>
        <v>1</v>
      </c>
      <c r="AJ543" s="316">
        <f>IF(ISBLANK(Table2[[#This Row],[Instructor 2]]),0,1)</f>
        <v>0</v>
      </c>
      <c r="AK543" s="316">
        <f>Table2[[#This Row],[Course Length (Hours)]]/(SUM(Table2[[#This Row],[1]:[2]]))</f>
        <v>32</v>
      </c>
      <c r="AL543" s="124"/>
      <c r="AM543" s="444">
        <v>4</v>
      </c>
      <c r="AN543" s="363" t="str">
        <f>VLOOKUP(Table2[[#This Row],[Course Title]],'TSD-Data'!$A$1:$G$80,7,FALSE)</f>
        <v>N5</v>
      </c>
    </row>
    <row r="544" spans="2:40" s="428" customFormat="1" x14ac:dyDescent="0.25">
      <c r="B544" s="315"/>
      <c r="C544" s="442" t="s">
        <v>92</v>
      </c>
      <c r="D544" s="316" t="str">
        <f>VLOOKUP(Table2[[#This Row],[Course Title]],'TSD-Data'!$A$1:$E$80,2,FALSE)</f>
        <v>A-493-0092</v>
      </c>
      <c r="E544" s="316">
        <f>VLOOKUP(Table2[[#This Row],[Course Title]],'TSD-Data'!$A$1:$E$80,3,FALSE)</f>
        <v>5891</v>
      </c>
      <c r="F544" s="315" t="s">
        <v>229</v>
      </c>
      <c r="G544" s="317">
        <v>46245</v>
      </c>
      <c r="H544" s="317">
        <v>46247</v>
      </c>
      <c r="I544" s="317" t="s">
        <v>163</v>
      </c>
      <c r="J544" s="318">
        <v>0.33333333333333331</v>
      </c>
      <c r="K544" s="318"/>
      <c r="L544" s="344"/>
      <c r="M544" s="317"/>
      <c r="N544" s="317"/>
      <c r="O544" s="317"/>
      <c r="P544" s="317"/>
      <c r="Q544" s="321" t="s">
        <v>445</v>
      </c>
      <c r="R544" s="321"/>
      <c r="S544" s="321"/>
      <c r="T544" s="316">
        <f>VLOOKUP(Table2[[#This Row],[Course Title]],'TSD-Data'!$A$1:$E$80,4,FALSE)</f>
        <v>25</v>
      </c>
      <c r="U544" s="316">
        <f>VLOOKUP(Table2[[#This Row],[Course Title]],'TSD-Data'!$A$1:$F$80,6,FALSE)</f>
        <v>24</v>
      </c>
      <c r="V544" s="323">
        <f>VLOOKUP(Table2[[#This Row],[Course Title]],'TSD-Data'!$A$1:$F$80,5,FALSE)</f>
        <v>3</v>
      </c>
      <c r="W544" s="323">
        <v>138</v>
      </c>
      <c r="X544" s="316"/>
      <c r="Y544" s="316"/>
      <c r="Z544" s="323"/>
      <c r="AA544" s="323"/>
      <c r="AB544" s="316"/>
      <c r="AC544" s="316"/>
      <c r="AD544" s="316"/>
      <c r="AE544" s="316"/>
      <c r="AF544" s="323">
        <f ca="1">Table2[[#This Row],[End Date]]+2-TODAY()</f>
        <v>242</v>
      </c>
      <c r="AG544" s="316">
        <f>IF(ISBLANK(Table2[[#This Row],[Roster Received by]]),1,0)</f>
        <v>1</v>
      </c>
      <c r="AH544" s="316">
        <f ca="1">IF(Table2[[#This Row],[Start Date]]&gt;TODAY(),1,)</f>
        <v>1</v>
      </c>
      <c r="AI544" s="316">
        <f>IF(ISBLANK(Table2[[#This Row],[Primary Instructor]]),0,1)</f>
        <v>1</v>
      </c>
      <c r="AJ544" s="316">
        <f>IF(ISBLANK(Table2[[#This Row],[Instructor 2]]),0,1)</f>
        <v>0</v>
      </c>
      <c r="AK544" s="316">
        <f>Table2[[#This Row],[Course Length (Hours)]]/(SUM(Table2[[#This Row],[1]:[2]]))</f>
        <v>24</v>
      </c>
      <c r="AL544" s="124"/>
      <c r="AM544" s="444">
        <v>4</v>
      </c>
      <c r="AN544" s="363" t="str">
        <f>VLOOKUP(Table2[[#This Row],[Course Title]],'TSD-Data'!$A$1:$G$80,7,FALSE)</f>
        <v>N3</v>
      </c>
    </row>
    <row r="545" spans="2:40" s="428" customFormat="1" ht="15" customHeight="1" x14ac:dyDescent="0.25">
      <c r="B545" s="315"/>
      <c r="C545" s="442" t="s">
        <v>36</v>
      </c>
      <c r="D545" s="316" t="str">
        <f>VLOOKUP(Table2[[#This Row],[Course Title]],'TSD-Data'!$A$1:$E$80,2,FALSE)</f>
        <v>A-493-0020</v>
      </c>
      <c r="E545" s="316">
        <f>VLOOKUP(Table2[[#This Row],[Course Title]],'TSD-Data'!$A$1:$E$80,3,FALSE)</f>
        <v>3888</v>
      </c>
      <c r="F545" s="315" t="s">
        <v>25</v>
      </c>
      <c r="G545" s="358">
        <v>46246</v>
      </c>
      <c r="H545" s="358">
        <v>46246</v>
      </c>
      <c r="I545" s="317" t="s">
        <v>163</v>
      </c>
      <c r="J545" s="329"/>
      <c r="K545" s="345">
        <v>0.33333333333333331</v>
      </c>
      <c r="L545" s="345">
        <v>0.20833333333333334</v>
      </c>
      <c r="M545" s="345">
        <v>0.625</v>
      </c>
      <c r="N545" s="345">
        <v>0.54166666666666663</v>
      </c>
      <c r="O545" s="345">
        <v>8.3333333333333329E-2</v>
      </c>
      <c r="P545" s="345">
        <v>0.875</v>
      </c>
      <c r="Q545" s="321" t="s">
        <v>174</v>
      </c>
      <c r="R545" s="321"/>
      <c r="S545" s="321"/>
      <c r="T545" s="316">
        <f>VLOOKUP(Table2[[#This Row],[Course Title]],'TSD-Data'!$A$1:$E$80,4,FALSE)</f>
        <v>30</v>
      </c>
      <c r="U545" s="316">
        <f>VLOOKUP(Table2[[#This Row],[Course Title]],'TSD-Data'!$A$1:$F$80,6,FALSE)</f>
        <v>4</v>
      </c>
      <c r="V545" s="323">
        <f>VLOOKUP(Table2[[#This Row],[Course Title]],'TSD-Data'!$A$1:$F$80,5,FALSE)</f>
        <v>0.5</v>
      </c>
      <c r="W545" s="323">
        <v>0</v>
      </c>
      <c r="X545" s="316"/>
      <c r="Y545" s="316"/>
      <c r="Z545" s="323"/>
      <c r="AA545" s="323"/>
      <c r="AB545" s="316"/>
      <c r="AC545" s="316"/>
      <c r="AD545" s="316"/>
      <c r="AE545" s="316"/>
      <c r="AF545" s="323">
        <f ca="1">Table2[[#This Row],[End Date]]+2-TODAY()</f>
        <v>241</v>
      </c>
      <c r="AG545" s="316">
        <f>IF(ISBLANK(Table2[[#This Row],[Roster Received by]]),1,0)</f>
        <v>1</v>
      </c>
      <c r="AH545" s="316">
        <f ca="1">IF(Table2[[#This Row],[Start Date]]&gt;TODAY(),1,)</f>
        <v>1</v>
      </c>
      <c r="AI545" s="316">
        <f>IF(ISBLANK(Table2[[#This Row],[Primary Instructor]]),0,1)</f>
        <v>1</v>
      </c>
      <c r="AJ545" s="316">
        <f>IF(ISBLANK(Table2[[#This Row],[Instructor 2]]),0,1)</f>
        <v>0</v>
      </c>
      <c r="AK545" s="316">
        <f>Table2[[#This Row],[Course Length (Hours)]]/(SUM(Table2[[#This Row],[1]:[2]]))</f>
        <v>4</v>
      </c>
      <c r="AL545" s="124"/>
      <c r="AM545" s="444">
        <v>4</v>
      </c>
      <c r="AN545" s="363" t="str">
        <f>VLOOKUP(Table2[[#This Row],[Course Title]],'TSD-Data'!$A$1:$G$80,7,FALSE)</f>
        <v>N3</v>
      </c>
    </row>
    <row r="546" spans="2:40" s="428" customFormat="1" ht="15" customHeight="1" x14ac:dyDescent="0.25">
      <c r="B546" s="315"/>
      <c r="C546" s="442" t="s">
        <v>32</v>
      </c>
      <c r="D546" s="316" t="str">
        <f>VLOOKUP(Table2[[#This Row],[Course Title]],'TSD-Data'!$A$1:$E$80,2,FALSE)</f>
        <v>A-493-0015</v>
      </c>
      <c r="E546" s="316">
        <f>VLOOKUP(Table2[[#This Row],[Course Title]],'TSD-Data'!$A$1:$E$80,3,FALSE)</f>
        <v>3879</v>
      </c>
      <c r="F546" s="364" t="s">
        <v>25</v>
      </c>
      <c r="G546" s="358">
        <v>46247</v>
      </c>
      <c r="H546" s="358">
        <v>46247</v>
      </c>
      <c r="I546" s="317" t="s">
        <v>163</v>
      </c>
      <c r="J546" s="329"/>
      <c r="K546" s="345">
        <v>0.33333333333333331</v>
      </c>
      <c r="L546" s="345">
        <v>0.20833333333333334</v>
      </c>
      <c r="M546" s="345">
        <v>0.625</v>
      </c>
      <c r="N546" s="345">
        <v>0.54166666666666663</v>
      </c>
      <c r="O546" s="345">
        <v>8.3333333333333329E-2</v>
      </c>
      <c r="P546" s="345">
        <v>0.875</v>
      </c>
      <c r="Q546" s="321" t="s">
        <v>174</v>
      </c>
      <c r="R546" s="321"/>
      <c r="S546" s="321"/>
      <c r="T546" s="316">
        <f>VLOOKUP(Table2[[#This Row],[Course Title]],'TSD-Data'!$A$1:$E$80,4,FALSE)</f>
        <v>30</v>
      </c>
      <c r="U546" s="316">
        <f>VLOOKUP(Table2[[#This Row],[Course Title]],'TSD-Data'!$A$1:$F$80,6,FALSE)</f>
        <v>4</v>
      </c>
      <c r="V546" s="323">
        <f>VLOOKUP(Table2[[#This Row],[Course Title]],'TSD-Data'!$A$1:$F$80,5,FALSE)</f>
        <v>0.5</v>
      </c>
      <c r="W546" s="323">
        <v>0</v>
      </c>
      <c r="X546" s="316"/>
      <c r="Y546" s="316"/>
      <c r="Z546" s="323"/>
      <c r="AA546" s="323"/>
      <c r="AB546" s="316"/>
      <c r="AC546" s="316"/>
      <c r="AD546" s="316"/>
      <c r="AE546" s="316"/>
      <c r="AF546" s="323">
        <f ca="1">Table2[[#This Row],[End Date]]+2-TODAY()</f>
        <v>242</v>
      </c>
      <c r="AG546" s="316">
        <f>IF(ISBLANK(Table2[[#This Row],[Roster Received by]]),1,0)</f>
        <v>1</v>
      </c>
      <c r="AH546" s="316">
        <f ca="1">IF(Table2[[#This Row],[Start Date]]&gt;TODAY(),1,)</f>
        <v>1</v>
      </c>
      <c r="AI546" s="316">
        <f>IF(ISBLANK(Table2[[#This Row],[Primary Instructor]]),0,1)</f>
        <v>1</v>
      </c>
      <c r="AJ546" s="316">
        <f>IF(ISBLANK(Table2[[#This Row],[Instructor 2]]),0,1)</f>
        <v>0</v>
      </c>
      <c r="AK546" s="316">
        <f>Table2[[#This Row],[Course Length (Hours)]]/(SUM(Table2[[#This Row],[1]:[2]]))</f>
        <v>4</v>
      </c>
      <c r="AL546" s="124"/>
      <c r="AM546" s="444">
        <v>4</v>
      </c>
      <c r="AN546" s="363" t="str">
        <f>VLOOKUP(Table2[[#This Row],[Course Title]],'TSD-Data'!$A$1:$G$80,7,FALSE)</f>
        <v>N3</v>
      </c>
    </row>
    <row r="547" spans="2:40" s="428" customFormat="1" x14ac:dyDescent="0.25">
      <c r="B547" s="315" t="s">
        <v>235</v>
      </c>
      <c r="C547" s="439" t="s">
        <v>227</v>
      </c>
      <c r="D547" s="316" t="str">
        <f>VLOOKUP(Table2[[#This Row],[Course Title]],'TSD-Data'!$A$1:$E$80,2,FALSE)</f>
        <v>Function</v>
      </c>
      <c r="E547" s="316" t="str">
        <f>VLOOKUP(Table2[[#This Row],[Course Title]],'TSD-Data'!$A$1:$E$80,3,FALSE)</f>
        <v>Function</v>
      </c>
      <c r="F547" s="447" t="s">
        <v>173</v>
      </c>
      <c r="G547" s="414">
        <v>46247</v>
      </c>
      <c r="H547" s="414">
        <v>46247</v>
      </c>
      <c r="I547" s="317" t="s">
        <v>433</v>
      </c>
      <c r="J547" s="318"/>
      <c r="K547" s="318"/>
      <c r="L547" s="345"/>
      <c r="M547" s="318"/>
      <c r="N547" s="318"/>
      <c r="O547" s="318"/>
      <c r="P547" s="318"/>
      <c r="Q547" s="321" t="s">
        <v>434</v>
      </c>
      <c r="R547" s="321"/>
      <c r="S547" s="445"/>
      <c r="T547" s="316">
        <f>VLOOKUP(Table2[[#This Row],[Course Title]],'TSD-Data'!$A$1:$E$80,4,FALSE)</f>
        <v>0</v>
      </c>
      <c r="U547" s="316">
        <f>VLOOKUP(Table2[[#This Row],[Course Title]],'TSD-Data'!$A$1:$F$80,6,FALSE)</f>
        <v>0</v>
      </c>
      <c r="V547" s="323">
        <f>VLOOKUP(Table2[[#This Row],[Course Title]],'TSD-Data'!$A$1:$F$80,5,FALSE)</f>
        <v>0</v>
      </c>
      <c r="W547" s="323">
        <v>0</v>
      </c>
      <c r="X547" s="316">
        <v>0</v>
      </c>
      <c r="Y547" s="316">
        <v>0</v>
      </c>
      <c r="Z547" s="316">
        <v>0</v>
      </c>
      <c r="AA547" s="316">
        <v>0</v>
      </c>
      <c r="AB547" s="316">
        <v>0</v>
      </c>
      <c r="AC547" s="316">
        <v>0</v>
      </c>
      <c r="AD547" s="316">
        <v>0</v>
      </c>
      <c r="AE547" s="316" t="s">
        <v>435</v>
      </c>
      <c r="AF547" s="323">
        <f ca="1">Table2[[#This Row],[End Date]]+2-TODAY()</f>
        <v>242</v>
      </c>
      <c r="AG547" s="316">
        <f>IF(ISBLANK(Table2[[#This Row],[Roster Received by]]),1,0)</f>
        <v>0</v>
      </c>
      <c r="AH547" s="316">
        <f ca="1">IF(Table2[[#This Row],[Start Date]]&gt;TODAY(),1,)</f>
        <v>1</v>
      </c>
      <c r="AI547" s="316">
        <f>IF(ISBLANK(Table2[[#This Row],[Primary Instructor]]),0,1)</f>
        <v>1</v>
      </c>
      <c r="AJ547" s="316">
        <f>IF(ISBLANK(Table2[[#This Row],[Instructor 2]]),0,1)</f>
        <v>0</v>
      </c>
      <c r="AK547" s="316">
        <f>Table2[[#This Row],[Course Length (Hours)]]/(SUM(Table2[[#This Row],[1]:[2]]))</f>
        <v>0</v>
      </c>
      <c r="AL547" s="124">
        <f>Table2[[#This Row],[Quotas]]-Table2[[#This Row],[Registered]]</f>
        <v>0</v>
      </c>
      <c r="AM547" s="444">
        <v>4</v>
      </c>
      <c r="AN547" s="363" t="str">
        <f>VLOOKUP(Table2[[#This Row],[Course Title]],'TSD-Data'!$A$1:$G$80,7,FALSE)</f>
        <v>TSD</v>
      </c>
    </row>
    <row r="548" spans="2:40" s="428" customFormat="1" x14ac:dyDescent="0.25">
      <c r="B548" s="315"/>
      <c r="C548" s="364" t="s">
        <v>48</v>
      </c>
      <c r="D548" s="316" t="str">
        <f>VLOOKUP(Table2[[#This Row],[Course Title]],'TSD-Data'!$A$1:$E$80,2,FALSE)</f>
        <v>A-493-0103</v>
      </c>
      <c r="E548" s="316" t="str">
        <f>VLOOKUP(Table2[[#This Row],[Course Title]],'TSD-Data'!$A$1:$E$80,3,FALSE)</f>
        <v>12JY</v>
      </c>
      <c r="F548" s="315" t="s">
        <v>294</v>
      </c>
      <c r="G548" s="317">
        <v>46251</v>
      </c>
      <c r="H548" s="317">
        <v>46255</v>
      </c>
      <c r="I548" s="317" t="s">
        <v>163</v>
      </c>
      <c r="J548" s="318">
        <v>0.33333333333333331</v>
      </c>
      <c r="K548" s="318"/>
      <c r="L548" s="344"/>
      <c r="M548" s="317"/>
      <c r="N548" s="317"/>
      <c r="O548" s="317"/>
      <c r="P548" s="317"/>
      <c r="Q548" s="321" t="s">
        <v>275</v>
      </c>
      <c r="R548" s="321"/>
      <c r="S548" s="321"/>
      <c r="T548" s="316">
        <f>VLOOKUP(Table2[[#This Row],[Course Title]],'TSD-Data'!$A$1:$E$80,4,FALSE)</f>
        <v>25</v>
      </c>
      <c r="U548" s="316">
        <f>VLOOKUP(Table2[[#This Row],[Course Title]],'TSD-Data'!$A$1:$F$80,6,FALSE)</f>
        <v>40</v>
      </c>
      <c r="V548" s="323">
        <f>VLOOKUP(Table2[[#This Row],[Course Title]],'TSD-Data'!$A$1:$F$80,5,FALSE)</f>
        <v>5</v>
      </c>
      <c r="W548" s="323">
        <v>28</v>
      </c>
      <c r="X548" s="316"/>
      <c r="Y548" s="316"/>
      <c r="Z548" s="323"/>
      <c r="AA548" s="323"/>
      <c r="AB548" s="316"/>
      <c r="AC548" s="316"/>
      <c r="AD548" s="316"/>
      <c r="AE548" s="316"/>
      <c r="AF548" s="323">
        <f ca="1">Table2[[#This Row],[End Date]]+2-TODAY()</f>
        <v>250</v>
      </c>
      <c r="AG548" s="316">
        <f>IF(ISBLANK(Table2[[#This Row],[Roster Received by]]),1,0)</f>
        <v>1</v>
      </c>
      <c r="AH548" s="316">
        <f ca="1">IF(Table2[[#This Row],[Start Date]]&gt;TODAY(),1,)</f>
        <v>1</v>
      </c>
      <c r="AI548" s="316">
        <f>IF(ISBLANK(Table2[[#This Row],[Primary Instructor]]),0,1)</f>
        <v>1</v>
      </c>
      <c r="AJ548" s="316">
        <f>IF(ISBLANK(Table2[[#This Row],[Instructor 2]]),0,1)</f>
        <v>0</v>
      </c>
      <c r="AK548" s="316">
        <f>Table2[[#This Row],[Course Length (Hours)]]/(SUM(Table2[[#This Row],[1]:[2]]))</f>
        <v>40</v>
      </c>
      <c r="AL548" s="124"/>
      <c r="AM548" s="444">
        <v>4</v>
      </c>
      <c r="AN548" s="363" t="str">
        <f>VLOOKUP(Table2[[#This Row],[Course Title]],'TSD-Data'!$A$1:$G$80,7,FALSE)</f>
        <v>N5</v>
      </c>
    </row>
    <row r="549" spans="2:40" s="428" customFormat="1" x14ac:dyDescent="0.25">
      <c r="B549" s="315"/>
      <c r="C549" s="364" t="s">
        <v>48</v>
      </c>
      <c r="D549" s="316" t="str">
        <f>VLOOKUP(Table2[[#This Row],[Course Title]],'TSD-Data'!$A$1:$E$80,2,FALSE)</f>
        <v>A-493-0103</v>
      </c>
      <c r="E549" s="316" t="str">
        <f>VLOOKUP(Table2[[#This Row],[Course Title]],'TSD-Data'!$A$1:$E$80,3,FALSE)</f>
        <v>12JY</v>
      </c>
      <c r="F549" s="315" t="s">
        <v>263</v>
      </c>
      <c r="G549" s="317">
        <v>46251</v>
      </c>
      <c r="H549" s="317">
        <v>46255</v>
      </c>
      <c r="I549" s="317" t="s">
        <v>163</v>
      </c>
      <c r="J549" s="318">
        <v>0.33333333333333331</v>
      </c>
      <c r="K549" s="318"/>
      <c r="L549" s="344"/>
      <c r="M549" s="317"/>
      <c r="N549" s="317"/>
      <c r="O549" s="317"/>
      <c r="P549" s="317"/>
      <c r="Q549" s="321" t="s">
        <v>275</v>
      </c>
      <c r="R549" s="321"/>
      <c r="S549" s="321"/>
      <c r="T549" s="316">
        <f>VLOOKUP(Table2[[#This Row],[Course Title]],'TSD-Data'!$A$1:$E$80,4,FALSE)</f>
        <v>25</v>
      </c>
      <c r="U549" s="316">
        <f>VLOOKUP(Table2[[#This Row],[Course Title]],'TSD-Data'!$A$1:$F$80,6,FALSE)</f>
        <v>40</v>
      </c>
      <c r="V549" s="323">
        <f>VLOOKUP(Table2[[#This Row],[Course Title]],'TSD-Data'!$A$1:$F$80,5,FALSE)</f>
        <v>5</v>
      </c>
      <c r="W549" s="323">
        <v>84</v>
      </c>
      <c r="X549" s="316"/>
      <c r="Y549" s="316"/>
      <c r="Z549" s="323"/>
      <c r="AA549" s="323"/>
      <c r="AB549" s="316"/>
      <c r="AC549" s="316"/>
      <c r="AD549" s="316"/>
      <c r="AE549" s="316"/>
      <c r="AF549" s="323">
        <f ca="1">Table2[[#This Row],[End Date]]+2-TODAY()</f>
        <v>250</v>
      </c>
      <c r="AG549" s="316">
        <f>IF(ISBLANK(Table2[[#This Row],[Roster Received by]]),1,0)</f>
        <v>1</v>
      </c>
      <c r="AH549" s="316">
        <f ca="1">IF(Table2[[#This Row],[Start Date]]&gt;TODAY(),1,)</f>
        <v>1</v>
      </c>
      <c r="AI549" s="316">
        <f>IF(ISBLANK(Table2[[#This Row],[Primary Instructor]]),0,1)</f>
        <v>1</v>
      </c>
      <c r="AJ549" s="316">
        <f>IF(ISBLANK(Table2[[#This Row],[Instructor 2]]),0,1)</f>
        <v>0</v>
      </c>
      <c r="AK549" s="316">
        <f>Table2[[#This Row],[Course Length (Hours)]]/(SUM(Table2[[#This Row],[1]:[2]]))</f>
        <v>40</v>
      </c>
      <c r="AL549" s="124"/>
      <c r="AM549" s="444">
        <v>4</v>
      </c>
      <c r="AN549" s="363" t="str">
        <f>VLOOKUP(Table2[[#This Row],[Course Title]],'TSD-Data'!$A$1:$G$80,7,FALSE)</f>
        <v>N5</v>
      </c>
    </row>
    <row r="550" spans="2:40" s="428" customFormat="1" x14ac:dyDescent="0.25">
      <c r="B550" s="315"/>
      <c r="C550" s="364" t="s">
        <v>23</v>
      </c>
      <c r="D550" s="316" t="str">
        <f>VLOOKUP(Table2[[#This Row],[Course Title]],'TSD-Data'!$A$1:$E$80,2,FALSE)</f>
        <v>A-4J-0022</v>
      </c>
      <c r="E550" s="316" t="str">
        <f>VLOOKUP(Table2[[#This Row],[Course Title]],'TSD-Data'!$A$1:$E$80,3,FALSE)</f>
        <v>09ER</v>
      </c>
      <c r="F550" s="364" t="s">
        <v>25</v>
      </c>
      <c r="G550" s="317">
        <v>46251</v>
      </c>
      <c r="H550" s="317">
        <v>46255</v>
      </c>
      <c r="I550" s="317" t="s">
        <v>163</v>
      </c>
      <c r="J550" s="318"/>
      <c r="K550" s="429">
        <v>0.5</v>
      </c>
      <c r="L550" s="429">
        <v>0.375</v>
      </c>
      <c r="M550" s="429">
        <v>0.79166666666666663</v>
      </c>
      <c r="N550" s="429">
        <v>0.75</v>
      </c>
      <c r="O550" s="429">
        <v>0.25</v>
      </c>
      <c r="P550" s="429">
        <v>4.1666666666666664E-2</v>
      </c>
      <c r="Q550" s="321" t="s">
        <v>285</v>
      </c>
      <c r="R550" s="321"/>
      <c r="S550" s="321"/>
      <c r="T550" s="316">
        <f>VLOOKUP(Table2[[#This Row],[Course Title]],'TSD-Data'!$A$1:$E$80,4,FALSE)</f>
        <v>45</v>
      </c>
      <c r="U550" s="316">
        <f>VLOOKUP(Table2[[#This Row],[Course Title]],'TSD-Data'!$A$1:$F$80,6,FALSE)</f>
        <v>16</v>
      </c>
      <c r="V550" s="323">
        <f>VLOOKUP(Table2[[#This Row],[Course Title]],'TSD-Data'!$A$1:$F$80,5,FALSE)</f>
        <v>2</v>
      </c>
      <c r="W550" s="323">
        <v>130</v>
      </c>
      <c r="X550" s="316"/>
      <c r="Y550" s="316"/>
      <c r="Z550" s="323"/>
      <c r="AA550" s="323"/>
      <c r="AB550" s="316"/>
      <c r="AC550" s="316"/>
      <c r="AD550" s="316"/>
      <c r="AE550" s="316"/>
      <c r="AF550" s="323">
        <f ca="1">Table2[[#This Row],[End Date]]+2-TODAY()</f>
        <v>250</v>
      </c>
      <c r="AG550" s="316">
        <f>IF(ISBLANK(Table2[[#This Row],[Roster Received by]]),1,0)</f>
        <v>1</v>
      </c>
      <c r="AH550" s="316">
        <f ca="1">IF(Table2[[#This Row],[Start Date]]&gt;TODAY(),1,)</f>
        <v>1</v>
      </c>
      <c r="AI550" s="316">
        <f>IF(ISBLANK(Table2[[#This Row],[Primary Instructor]]),0,1)</f>
        <v>1</v>
      </c>
      <c r="AJ550" s="316">
        <f>IF(ISBLANK(Table2[[#This Row],[Instructor 2]]),0,1)</f>
        <v>0</v>
      </c>
      <c r="AK550" s="316">
        <f>Table2[[#This Row],[Course Length (Hours)]]/(SUM(Table2[[#This Row],[1]:[2]]))</f>
        <v>16</v>
      </c>
      <c r="AL550" s="124"/>
      <c r="AM550" s="444">
        <v>4</v>
      </c>
      <c r="AN550" s="363" t="str">
        <f>VLOOKUP(Table2[[#This Row],[Course Title]],'TSD-Data'!$A$1:$G$80,7,FALSE)</f>
        <v>N4</v>
      </c>
    </row>
    <row r="551" spans="2:40" s="428" customFormat="1" x14ac:dyDescent="0.25">
      <c r="B551" s="315"/>
      <c r="C551" s="364" t="s">
        <v>77</v>
      </c>
      <c r="D551" s="316" t="str">
        <f>VLOOKUP(Table2[[#This Row],[Course Title]],'TSD-Data'!$A$1:$E$80,2,FALSE)</f>
        <v>A-493-0077</v>
      </c>
      <c r="E551" s="316" t="str">
        <f>VLOOKUP(Table2[[#This Row],[Course Title]],'TSD-Data'!$A$1:$E$80,3,FALSE)</f>
        <v>0381</v>
      </c>
      <c r="F551" s="315" t="s">
        <v>198</v>
      </c>
      <c r="G551" s="317">
        <v>46251</v>
      </c>
      <c r="H551" s="317">
        <v>46253</v>
      </c>
      <c r="I551" s="341" t="s">
        <v>167</v>
      </c>
      <c r="J551" s="318">
        <v>0.33333333333333331</v>
      </c>
      <c r="K551" s="318"/>
      <c r="L551" s="344"/>
      <c r="M551" s="317"/>
      <c r="N551" s="317"/>
      <c r="O551" s="317"/>
      <c r="P551" s="317"/>
      <c r="Q551" s="321" t="s">
        <v>168</v>
      </c>
      <c r="R551" s="321"/>
      <c r="S551" s="321"/>
      <c r="T551" s="316">
        <f>VLOOKUP(Table2[[#This Row],[Course Title]],'TSD-Data'!$A$1:$E$80,4,FALSE)</f>
        <v>25</v>
      </c>
      <c r="U551" s="316">
        <f>VLOOKUP(Table2[[#This Row],[Course Title]],'TSD-Data'!$A$1:$F$80,6,FALSE)</f>
        <v>24</v>
      </c>
      <c r="V551" s="323">
        <f>VLOOKUP(Table2[[#This Row],[Course Title]],'TSD-Data'!$A$1:$F$80,5,FALSE)</f>
        <v>3</v>
      </c>
      <c r="W551" s="323">
        <v>27</v>
      </c>
      <c r="X551" s="316"/>
      <c r="Y551" s="316"/>
      <c r="Z551" s="323"/>
      <c r="AA551" s="323"/>
      <c r="AB551" s="363"/>
      <c r="AC551" s="363"/>
      <c r="AD551" s="316"/>
      <c r="AE551" s="316"/>
      <c r="AF551" s="323">
        <f ca="1">Table2[[#This Row],[End Date]]+2-TODAY()</f>
        <v>248</v>
      </c>
      <c r="AG551" s="316">
        <f>IF(ISBLANK(Table2[[#This Row],[Roster Received by]]),1,0)</f>
        <v>1</v>
      </c>
      <c r="AH551" s="316">
        <f ca="1">IF(Table2[[#This Row],[Start Date]]&gt;TODAY(),1,)</f>
        <v>1</v>
      </c>
      <c r="AI551" s="316">
        <f>IF(ISBLANK(Table2[[#This Row],[Primary Instructor]]),0,1)</f>
        <v>1</v>
      </c>
      <c r="AJ551" s="316">
        <f>IF(ISBLANK(Table2[[#This Row],[Instructor 2]]),0,1)</f>
        <v>0</v>
      </c>
      <c r="AK551" s="316">
        <f>Table2[[#This Row],[Course Length (Hours)]]/(SUM(Table2[[#This Row],[1]:[2]]))</f>
        <v>24</v>
      </c>
      <c r="AL551" s="638"/>
      <c r="AM551" s="444">
        <v>4</v>
      </c>
      <c r="AN551" s="363" t="str">
        <f>VLOOKUP(Table2[[#This Row],[Course Title]],'TSD-Data'!$A$1:$G$80,7,FALSE)</f>
        <v>N4</v>
      </c>
    </row>
    <row r="552" spans="2:40" s="428" customFormat="1" ht="15" customHeight="1" x14ac:dyDescent="0.25">
      <c r="B552" s="315"/>
      <c r="C552" s="364" t="s">
        <v>97</v>
      </c>
      <c r="D552" s="316" t="str">
        <f>VLOOKUP(Table2[[#This Row],[Course Title]],'TSD-Data'!$A$1:$E$80,2,FALSE)</f>
        <v>A-493-0335</v>
      </c>
      <c r="E552" s="316" t="str">
        <f>VLOOKUP(Table2[[#This Row],[Course Title]],'TSD-Data'!$A$1:$E$80,3,FALSE)</f>
        <v>09ND</v>
      </c>
      <c r="F552" s="315" t="s">
        <v>25</v>
      </c>
      <c r="G552" s="317">
        <v>46251</v>
      </c>
      <c r="H552" s="317">
        <v>46254</v>
      </c>
      <c r="I552" s="317" t="s">
        <v>163</v>
      </c>
      <c r="J552" s="318"/>
      <c r="K552" s="318">
        <v>0.5</v>
      </c>
      <c r="L552" s="429">
        <v>0.375</v>
      </c>
      <c r="M552" s="431">
        <v>0.79166666666666663</v>
      </c>
      <c r="N552" s="431">
        <v>0.75</v>
      </c>
      <c r="O552" s="431">
        <v>0.25</v>
      </c>
      <c r="P552" s="431">
        <v>4.1666666666666664E-2</v>
      </c>
      <c r="Q552" s="321" t="s">
        <v>445</v>
      </c>
      <c r="R552" s="321"/>
      <c r="S552" s="321"/>
      <c r="T552" s="316">
        <f>VLOOKUP(Table2[[#This Row],[Course Title]],'TSD-Data'!$A$1:$E$80,4,FALSE)</f>
        <v>45</v>
      </c>
      <c r="U552" s="316">
        <f>VLOOKUP(Table2[[#This Row],[Course Title]],'TSD-Data'!$A$1:$F$80,6,FALSE)</f>
        <v>32</v>
      </c>
      <c r="V552" s="323">
        <f>VLOOKUP(Table2[[#This Row],[Course Title]],'TSD-Data'!$A$1:$F$80,5,FALSE)</f>
        <v>4</v>
      </c>
      <c r="W552" s="323">
        <v>537</v>
      </c>
      <c r="X552" s="316"/>
      <c r="Y552" s="316"/>
      <c r="Z552" s="323"/>
      <c r="AA552" s="323"/>
      <c r="AB552" s="316"/>
      <c r="AC552" s="316"/>
      <c r="AD552" s="316"/>
      <c r="AE552" s="316"/>
      <c r="AF552" s="323">
        <f ca="1">Table2[[#This Row],[End Date]]+2-TODAY()</f>
        <v>249</v>
      </c>
      <c r="AG552" s="316">
        <f>IF(ISBLANK(Table2[[#This Row],[Roster Received by]]),1,0)</f>
        <v>1</v>
      </c>
      <c r="AH552" s="316">
        <f ca="1">IF(Table2[[#This Row],[Start Date]]&gt;TODAY(),1,)</f>
        <v>1</v>
      </c>
      <c r="AI552" s="316">
        <f>IF(ISBLANK(Table2[[#This Row],[Primary Instructor]]),0,1)</f>
        <v>1</v>
      </c>
      <c r="AJ552" s="316">
        <f>IF(ISBLANK(Table2[[#This Row],[Instructor 2]]),0,1)</f>
        <v>0</v>
      </c>
      <c r="AK552" s="316">
        <f>Table2[[#This Row],[Course Length (Hours)]]/(SUM(Table2[[#This Row],[1]:[2]]))</f>
        <v>32</v>
      </c>
      <c r="AL552" s="124"/>
      <c r="AM552" s="444">
        <v>4</v>
      </c>
      <c r="AN552" s="363" t="str">
        <f>VLOOKUP(Table2[[#This Row],[Course Title]],'TSD-Data'!$A$1:$G$80,7,FALSE)</f>
        <v>N3</v>
      </c>
    </row>
    <row r="553" spans="2:40" s="428" customFormat="1" x14ac:dyDescent="0.25">
      <c r="B553" s="315"/>
      <c r="C553" s="364" t="s">
        <v>116</v>
      </c>
      <c r="D553" s="316" t="str">
        <f>VLOOKUP(Table2[[#This Row],[Course Title]],'TSD-Data'!$A$1:$E$80,2,FALSE)</f>
        <v>A-493-0072</v>
      </c>
      <c r="E553" s="316" t="str">
        <f>VLOOKUP(Table2[[#This Row],[Course Title]],'TSD-Data'!$A$1:$E$80,3,FALSE)</f>
        <v>713U</v>
      </c>
      <c r="F553" s="364" t="s">
        <v>255</v>
      </c>
      <c r="G553" s="344">
        <v>46251</v>
      </c>
      <c r="H553" s="344">
        <v>46255</v>
      </c>
      <c r="I553" s="317" t="s">
        <v>163</v>
      </c>
      <c r="J553" s="318">
        <v>0.33333333333333331</v>
      </c>
      <c r="K553" s="345"/>
      <c r="L553" s="317"/>
      <c r="M553" s="317"/>
      <c r="N553" s="317"/>
      <c r="O553" s="317"/>
      <c r="P553" s="317"/>
      <c r="Q553" s="321" t="s">
        <v>174</v>
      </c>
      <c r="R553" s="321"/>
      <c r="S553" s="321" t="s">
        <v>509</v>
      </c>
      <c r="T553" s="316">
        <f>VLOOKUP(Table2[[#This Row],[Course Title]],'TSD-Data'!$A$1:$E$80,4,FALSE)</f>
        <v>30</v>
      </c>
      <c r="U553" s="316">
        <f>VLOOKUP(Table2[[#This Row],[Course Title]],'TSD-Data'!$A$1:$F$80,6,FALSE)</f>
        <v>40</v>
      </c>
      <c r="V553" s="323">
        <f>VLOOKUP(Table2[[#This Row],[Course Title]],'TSD-Data'!$A$1:$F$80,5,FALSE)</f>
        <v>5</v>
      </c>
      <c r="W553" s="323">
        <v>66</v>
      </c>
      <c r="X553" s="316"/>
      <c r="Y553" s="316"/>
      <c r="Z553" s="323"/>
      <c r="AA553" s="323"/>
      <c r="AB553" s="316"/>
      <c r="AC553" s="316"/>
      <c r="AD553" s="316"/>
      <c r="AE553" s="316"/>
      <c r="AF553" s="323">
        <f ca="1">Table2[[#This Row],[End Date]]+2-TODAY()</f>
        <v>250</v>
      </c>
      <c r="AG553" s="316">
        <f>IF(ISBLANK(Table2[[#This Row],[Roster Received by]]),1,0)</f>
        <v>1</v>
      </c>
      <c r="AH553" s="316">
        <f ca="1">IF(Table2[[#This Row],[Start Date]]&gt;TODAY(),1,)</f>
        <v>1</v>
      </c>
      <c r="AI553" s="316">
        <f>IF(ISBLANK(Table2[[#This Row],[Primary Instructor]]),0,1)</f>
        <v>1</v>
      </c>
      <c r="AJ553" s="316">
        <f>IF(ISBLANK(Table2[[#This Row],[Instructor 2]]),0,1)</f>
        <v>0</v>
      </c>
      <c r="AK553" s="316">
        <f>Table2[[#This Row],[Course Length (Hours)]]/(SUM(Table2[[#This Row],[1]:[2]]))</f>
        <v>40</v>
      </c>
      <c r="AL553" s="124"/>
      <c r="AM553" s="444">
        <v>4</v>
      </c>
      <c r="AN553" s="363" t="str">
        <f>VLOOKUP(Table2[[#This Row],[Course Title]],'TSD-Data'!$A$1:$G$80,7,FALSE)</f>
        <v>N3</v>
      </c>
    </row>
    <row r="554" spans="2:40" s="428" customFormat="1" x14ac:dyDescent="0.25">
      <c r="B554" s="315" t="s">
        <v>477</v>
      </c>
      <c r="C554" s="364" t="s">
        <v>125</v>
      </c>
      <c r="D554" s="316" t="str">
        <f>VLOOKUP(Table2[[#This Row],[Course Title]],'TSD-Data'!$A$1:$E$80,2,FALSE)</f>
        <v>A-493-2017</v>
      </c>
      <c r="E554" s="316" t="str">
        <f>VLOOKUP(Table2[[#This Row],[Course Title]],'TSD-Data'!$A$1:$E$80,3,FALSE)</f>
        <v>12x3</v>
      </c>
      <c r="F554" s="364" t="s">
        <v>276</v>
      </c>
      <c r="G554" s="317">
        <v>46251</v>
      </c>
      <c r="H554" s="317">
        <v>46255</v>
      </c>
      <c r="I554" s="317" t="s">
        <v>163</v>
      </c>
      <c r="J554" s="318"/>
      <c r="K554" s="318"/>
      <c r="L554" s="317"/>
      <c r="M554" s="317"/>
      <c r="N554" s="317"/>
      <c r="O554" s="317"/>
      <c r="P554" s="317"/>
      <c r="Q554" s="321"/>
      <c r="R554" s="321"/>
      <c r="S554" s="321"/>
      <c r="T554" s="316">
        <f>VLOOKUP(Table2[[#This Row],[Course Title]],'TSD-Data'!$A$1:$E$80,4,FALSE)</f>
        <v>25</v>
      </c>
      <c r="U554" s="363">
        <f>VLOOKUP(Table2[[#This Row],[Course Title]],'TSD-Data'!$A$1:$F$80,6,FALSE)</f>
        <v>40</v>
      </c>
      <c r="V554" s="323">
        <f>VLOOKUP(Table2[[#This Row],[Course Title]],'TSD-Data'!$A$1:$F$80,5,FALSE)</f>
        <v>5</v>
      </c>
      <c r="W554" s="323"/>
      <c r="X554" s="316"/>
      <c r="Y554" s="316"/>
      <c r="Z554" s="323"/>
      <c r="AA554" s="323"/>
      <c r="AB554" s="363"/>
      <c r="AC554" s="363"/>
      <c r="AD554" s="316"/>
      <c r="AE554" s="316"/>
      <c r="AF554" s="323">
        <f ca="1">Table2[[#This Row],[End Date]]+2-TODAY()</f>
        <v>250</v>
      </c>
      <c r="AG554" s="316">
        <f>IF(ISBLANK(Table2[[#This Row],[Roster Received by]]),1,0)</f>
        <v>1</v>
      </c>
      <c r="AH554" s="316">
        <f ca="1">IF(Table2[[#This Row],[Start Date]]&gt;TODAY(),1,)</f>
        <v>1</v>
      </c>
      <c r="AI554" s="316">
        <f>IF(ISBLANK(Table2[[#This Row],[Primary Instructor]]),0,1)</f>
        <v>0</v>
      </c>
      <c r="AJ554" s="316">
        <f>IF(ISBLANK(Table2[[#This Row],[Instructor 2]]),0,1)</f>
        <v>0</v>
      </c>
      <c r="AK554" s="316" t="e">
        <f>Table2[[#This Row],[Course Length (Hours)]]/(SUM(Table2[[#This Row],[1]:[2]]))</f>
        <v>#DIV/0!</v>
      </c>
      <c r="AL554" s="638"/>
      <c r="AM554" s="444">
        <v>4</v>
      </c>
      <c r="AN554" s="363" t="str">
        <f>VLOOKUP(Table2[[#This Row],[Course Title]],'TSD-Data'!$A$1:$G$80,7,FALSE)</f>
        <v>N4</v>
      </c>
    </row>
    <row r="555" spans="2:40" s="428" customFormat="1" x14ac:dyDescent="0.25">
      <c r="B555" s="315"/>
      <c r="C555" s="364" t="s">
        <v>408</v>
      </c>
      <c r="D555" s="316" t="str">
        <f>VLOOKUP(Table2[[#This Row],[Course Title]],'TSD-Data'!$A$1:$E$80,2,FALSE)</f>
        <v>A-4J-0019</v>
      </c>
      <c r="E555" s="316" t="str">
        <f>VLOOKUP(Table2[[#This Row],[Course Title]],'TSD-Data'!$A$1:$E$80,3,FALSE)</f>
        <v>28SL/285M</v>
      </c>
      <c r="F555" s="364" t="s">
        <v>441</v>
      </c>
      <c r="G555" s="344">
        <v>46251</v>
      </c>
      <c r="H555" s="344">
        <v>46255</v>
      </c>
      <c r="I555" s="317" t="s">
        <v>163</v>
      </c>
      <c r="J555" s="318">
        <v>0.3125</v>
      </c>
      <c r="K555" s="318"/>
      <c r="L555" s="317"/>
      <c r="M555" s="317"/>
      <c r="N555" s="317"/>
      <c r="O555" s="317"/>
      <c r="P555" s="317"/>
      <c r="Q555" s="321" t="s">
        <v>442</v>
      </c>
      <c r="R555" s="321" t="s">
        <v>443</v>
      </c>
      <c r="S555" s="321"/>
      <c r="T555" s="316">
        <f>VLOOKUP(Table2[[#This Row],[Course Title]],'TSD-Data'!$A$1:$E$80,4,FALSE)</f>
        <v>20</v>
      </c>
      <c r="U555" s="316">
        <f>VLOOKUP(Table2[[#This Row],[Course Title]],'TSD-Data'!$A$1:$F$80,6,FALSE)</f>
        <v>40</v>
      </c>
      <c r="V555" s="323">
        <f>VLOOKUP(Table2[[#This Row],[Course Title]],'TSD-Data'!$A$1:$F$80,5,FALSE)</f>
        <v>5</v>
      </c>
      <c r="W555" s="323">
        <v>148</v>
      </c>
      <c r="X555" s="316"/>
      <c r="Y555" s="316"/>
      <c r="Z555" s="323"/>
      <c r="AA555" s="323"/>
      <c r="AB555" s="316"/>
      <c r="AC555" s="316"/>
      <c r="AD555" s="316"/>
      <c r="AE555" s="316"/>
      <c r="AF555" s="323">
        <f ca="1">Table2[[#This Row],[End Date]]+2-TODAY()</f>
        <v>250</v>
      </c>
      <c r="AG555" s="316">
        <f>IF(ISBLANK(Table2[[#This Row],[Roster Received by]]),1,0)</f>
        <v>1</v>
      </c>
      <c r="AH555" s="316">
        <f ca="1">IF(Table2[[#This Row],[Start Date]]&gt;TODAY(),1,)</f>
        <v>1</v>
      </c>
      <c r="AI555" s="316">
        <f>IF(ISBLANK(Table2[[#This Row],[Primary Instructor]]),0,1)</f>
        <v>1</v>
      </c>
      <c r="AJ555" s="316">
        <f>IF(ISBLANK(Table2[[#This Row],[Instructor 2]]),0,1)</f>
        <v>1</v>
      </c>
      <c r="AK555" s="316">
        <f>Table2[[#This Row],[Course Length (Hours)]]/(SUM(Table2[[#This Row],[1]:[2]]))</f>
        <v>20</v>
      </c>
      <c r="AL555" s="124"/>
      <c r="AM555" s="444">
        <v>4</v>
      </c>
      <c r="AN555" s="363" t="str">
        <f>VLOOKUP(Table2[[#This Row],[Course Title]],'TSD-Data'!$A$1:$G$80,7,FALSE)</f>
        <v>N8</v>
      </c>
    </row>
    <row r="556" spans="2:40" s="428" customFormat="1" x14ac:dyDescent="0.25">
      <c r="B556" s="315"/>
      <c r="C556" s="364" t="s">
        <v>65</v>
      </c>
      <c r="D556" s="316" t="str">
        <f>VLOOKUP(Table2[[#This Row],[Course Title]],'TSD-Data'!$A$1:$E$80,2,FALSE)</f>
        <v>A-493-0099</v>
      </c>
      <c r="E556" s="316" t="str">
        <f>VLOOKUP(Table2[[#This Row],[Course Title]],'TSD-Data'!$A$1:$E$80,3,FALSE)</f>
        <v>12JW</v>
      </c>
      <c r="F556" s="315" t="s">
        <v>25</v>
      </c>
      <c r="G556" s="317">
        <v>46252</v>
      </c>
      <c r="H556" s="317">
        <v>46254</v>
      </c>
      <c r="I556" s="317" t="s">
        <v>163</v>
      </c>
      <c r="J556" s="318"/>
      <c r="K556" s="318">
        <v>0.5</v>
      </c>
      <c r="L556" s="431">
        <v>0.375</v>
      </c>
      <c r="M556" s="431">
        <v>0.79166666666666663</v>
      </c>
      <c r="N556" s="431">
        <v>0.75</v>
      </c>
      <c r="O556" s="431">
        <v>0.25</v>
      </c>
      <c r="P556" s="431">
        <v>4.1666666666666664E-2</v>
      </c>
      <c r="Q556" s="321" t="s">
        <v>273</v>
      </c>
      <c r="R556" s="321"/>
      <c r="S556" s="321"/>
      <c r="T556" s="316">
        <f>VLOOKUP(Table2[[#This Row],[Course Title]],'TSD-Data'!$A$1:$E$80,4,FALSE)</f>
        <v>45</v>
      </c>
      <c r="U556" s="316">
        <f>VLOOKUP(Table2[[#This Row],[Course Title]],'TSD-Data'!$A$1:$F$80,6,FALSE)</f>
        <v>24</v>
      </c>
      <c r="V556" s="323">
        <f>VLOOKUP(Table2[[#This Row],[Course Title]],'TSD-Data'!$A$1:$F$80,5,FALSE)</f>
        <v>3</v>
      </c>
      <c r="W556" s="323">
        <v>934</v>
      </c>
      <c r="X556" s="316"/>
      <c r="Y556" s="316"/>
      <c r="Z556" s="323"/>
      <c r="AA556" s="323"/>
      <c r="AB556" s="316"/>
      <c r="AC556" s="316"/>
      <c r="AD556" s="316"/>
      <c r="AE556" s="316"/>
      <c r="AF556" s="323">
        <f ca="1">Table2[[#This Row],[End Date]]+2-TODAY()</f>
        <v>249</v>
      </c>
      <c r="AG556" s="316">
        <f>IF(ISBLANK(Table2[[#This Row],[Roster Received by]]),1,0)</f>
        <v>1</v>
      </c>
      <c r="AH556" s="316">
        <f ca="1">IF(Table2[[#This Row],[Start Date]]&gt;TODAY(),1,)</f>
        <v>1</v>
      </c>
      <c r="AI556" s="316">
        <f>IF(ISBLANK(Table2[[#This Row],[Primary Instructor]]),0,1)</f>
        <v>1</v>
      </c>
      <c r="AJ556" s="316">
        <f>IF(ISBLANK(Table2[[#This Row],[Instructor 2]]),0,1)</f>
        <v>0</v>
      </c>
      <c r="AK556" s="316">
        <f>Table2[[#This Row],[Course Length (Hours)]]/(SUM(Table2[[#This Row],[1]:[2]]))</f>
        <v>24</v>
      </c>
      <c r="AL556" s="124"/>
      <c r="AM556" s="444">
        <v>4</v>
      </c>
      <c r="AN556" s="363" t="str">
        <f>VLOOKUP(Table2[[#This Row],[Course Title]],'TSD-Data'!$A$1:$G$80,7,FALSE)</f>
        <v>N5</v>
      </c>
    </row>
    <row r="557" spans="2:40" s="428" customFormat="1" x14ac:dyDescent="0.25">
      <c r="B557" s="315"/>
      <c r="C557" s="364" t="s">
        <v>110</v>
      </c>
      <c r="D557" s="316" t="str">
        <f>VLOOKUP(Table2[[#This Row],[Course Title]],'TSD-Data'!$A$1:$E$80,2,FALSE)</f>
        <v>A-493-2501</v>
      </c>
      <c r="E557" s="316" t="str">
        <f>VLOOKUP(Table2[[#This Row],[Course Title]],'TSD-Data'!$A$1:$E$80,3,FALSE)</f>
        <v>05ZE</v>
      </c>
      <c r="F557" s="315" t="s">
        <v>295</v>
      </c>
      <c r="G557" s="344">
        <v>46252</v>
      </c>
      <c r="H557" s="317">
        <v>46252</v>
      </c>
      <c r="I557" s="341" t="s">
        <v>167</v>
      </c>
      <c r="J557" s="318">
        <v>0.33333333333333331</v>
      </c>
      <c r="K557" s="318"/>
      <c r="L557" s="344"/>
      <c r="M557" s="317"/>
      <c r="N557" s="317"/>
      <c r="O557" s="317"/>
      <c r="P557" s="317"/>
      <c r="Q557" s="321" t="s">
        <v>168</v>
      </c>
      <c r="R557" s="321"/>
      <c r="S557" s="321"/>
      <c r="T557" s="316">
        <f>VLOOKUP(Table2[[#This Row],[Course Title]],'TSD-Data'!$A$1:$E$80,4,FALSE)</f>
        <v>30</v>
      </c>
      <c r="U557" s="316">
        <f>VLOOKUP(Table2[[#This Row],[Course Title]],'TSD-Data'!$A$1:$F$80,6,FALSE)</f>
        <v>8</v>
      </c>
      <c r="V557" s="323">
        <f>VLOOKUP(Table2[[#This Row],[Course Title]],'TSD-Data'!$A$1:$F$80,5,FALSE)</f>
        <v>1</v>
      </c>
      <c r="W557" s="323">
        <v>30</v>
      </c>
      <c r="X557" s="316"/>
      <c r="Y557" s="316"/>
      <c r="Z557" s="323"/>
      <c r="AA557" s="323"/>
      <c r="AB557" s="363"/>
      <c r="AC557" s="363"/>
      <c r="AD557" s="316"/>
      <c r="AE557" s="316"/>
      <c r="AF557" s="323">
        <f ca="1">Table2[[#This Row],[End Date]]+2-TODAY()</f>
        <v>247</v>
      </c>
      <c r="AG557" s="316">
        <f>IF(ISBLANK(Table2[[#This Row],[Roster Received by]]),1,0)</f>
        <v>1</v>
      </c>
      <c r="AH557" s="316">
        <f ca="1">IF(Table2[[#This Row],[Start Date]]&gt;TODAY(),1,)</f>
        <v>1</v>
      </c>
      <c r="AI557" s="316">
        <f>IF(ISBLANK(Table2[[#This Row],[Primary Instructor]]),0,1)</f>
        <v>1</v>
      </c>
      <c r="AJ557" s="316">
        <f>IF(ISBLANK(Table2[[#This Row],[Instructor 2]]),0,1)</f>
        <v>0</v>
      </c>
      <c r="AK557" s="316">
        <f>Table2[[#This Row],[Course Length (Hours)]]/(SUM(Table2[[#This Row],[1]:[2]]))</f>
        <v>8</v>
      </c>
      <c r="AL557" s="638"/>
      <c r="AM557" s="444">
        <v>4</v>
      </c>
      <c r="AN557" s="363" t="str">
        <f>VLOOKUP(Table2[[#This Row],[Course Title]],'TSD-Data'!$A$1:$G$80,7,FALSE)</f>
        <v>N4</v>
      </c>
    </row>
    <row r="558" spans="2:40" s="428" customFormat="1" x14ac:dyDescent="0.25">
      <c r="B558" s="315"/>
      <c r="C558" s="315" t="s">
        <v>100</v>
      </c>
      <c r="D558" s="316" t="str">
        <f>VLOOKUP(Table2[[#This Row],[Course Title]],'TSD-Data'!$A$1:$E$80,2,FALSE)</f>
        <v>A-493-0550</v>
      </c>
      <c r="E558" s="316" t="str">
        <f>VLOOKUP(Table2[[#This Row],[Course Title]],'TSD-Data'!$A$1:$E$80,3,FALSE)</f>
        <v>09K5</v>
      </c>
      <c r="F558" s="315" t="s">
        <v>25</v>
      </c>
      <c r="G558" s="344">
        <v>46258</v>
      </c>
      <c r="H558" s="344">
        <v>46261</v>
      </c>
      <c r="I558" s="317" t="s">
        <v>163</v>
      </c>
      <c r="J558" s="318"/>
      <c r="K558" s="345">
        <v>0.33333333333333331</v>
      </c>
      <c r="L558" s="345">
        <v>0.20833333333333334</v>
      </c>
      <c r="M558" s="345">
        <v>0.625</v>
      </c>
      <c r="N558" s="345">
        <v>0.54166666666666663</v>
      </c>
      <c r="O558" s="345">
        <v>8.3333333333333329E-2</v>
      </c>
      <c r="P558" s="345">
        <v>0.875</v>
      </c>
      <c r="Q558" s="321" t="s">
        <v>426</v>
      </c>
      <c r="R558" s="321"/>
      <c r="S558" s="321"/>
      <c r="T558" s="316">
        <f>VLOOKUP(Table2[[#This Row],[Course Title]],'TSD-Data'!$A$1:$E$80,4,FALSE)</f>
        <v>45</v>
      </c>
      <c r="U558" s="316">
        <f>VLOOKUP(Table2[[#This Row],[Course Title]],'TSD-Data'!$A$1:$F$80,6,FALSE)</f>
        <v>32</v>
      </c>
      <c r="V558" s="323">
        <f>VLOOKUP(Table2[[#This Row],[Course Title]],'TSD-Data'!$A$1:$F$80,5,FALSE)</f>
        <v>4</v>
      </c>
      <c r="W558" s="323">
        <v>455</v>
      </c>
      <c r="X558" s="316"/>
      <c r="Y558" s="316"/>
      <c r="Z558" s="323"/>
      <c r="AA558" s="323"/>
      <c r="AB558" s="316"/>
      <c r="AC558" s="316"/>
      <c r="AD558" s="316"/>
      <c r="AE558" s="316"/>
      <c r="AF558" s="323">
        <f ca="1">Table2[[#This Row],[End Date]]+2-TODAY()</f>
        <v>256</v>
      </c>
      <c r="AG558" s="316">
        <f>IF(ISBLANK(Table2[[#This Row],[Roster Received by]]),1,0)</f>
        <v>1</v>
      </c>
      <c r="AH558" s="316">
        <f ca="1">IF(Table2[[#This Row],[Start Date]]&gt;TODAY(),1,)</f>
        <v>1</v>
      </c>
      <c r="AI558" s="316">
        <f>IF(ISBLANK(Table2[[#This Row],[Primary Instructor]]),0,1)</f>
        <v>1</v>
      </c>
      <c r="AJ558" s="316">
        <f>IF(ISBLANK(Table2[[#This Row],[Instructor 2]]),0,1)</f>
        <v>0</v>
      </c>
      <c r="AK558" s="316">
        <f>Table2[[#This Row],[Course Length (Hours)]]/(SUM(Table2[[#This Row],[1]:[2]]))</f>
        <v>32</v>
      </c>
      <c r="AL558" s="124"/>
      <c r="AM558" s="444">
        <v>4</v>
      </c>
      <c r="AN558" s="363" t="str">
        <f>VLOOKUP(Table2[[#This Row],[Course Title]],'TSD-Data'!$A$1:$G$80,7,FALSE)</f>
        <v>N5</v>
      </c>
    </row>
    <row r="559" spans="2:40" s="428" customFormat="1" x14ac:dyDescent="0.25">
      <c r="B559" s="315"/>
      <c r="C559" s="364" t="s">
        <v>44</v>
      </c>
      <c r="D559" s="421" t="str">
        <f>VLOOKUP(Table2[[#This Row],[Course Title]],'TSD-Data'!$A$1:$E$80,2,FALSE)</f>
        <v>A-493-0665</v>
      </c>
      <c r="E559" s="421" t="str">
        <f>VLOOKUP(Table2[[#This Row],[Course Title]],'TSD-Data'!$A$1:$E$80,3,FALSE)</f>
        <v>10KW</v>
      </c>
      <c r="F559" s="364" t="s">
        <v>25</v>
      </c>
      <c r="G559" s="344">
        <v>46258</v>
      </c>
      <c r="H559" s="344">
        <v>46260</v>
      </c>
      <c r="I559" s="317" t="s">
        <v>163</v>
      </c>
      <c r="J559" s="318"/>
      <c r="K559" s="345">
        <v>0.5</v>
      </c>
      <c r="L559" s="429">
        <v>0.375</v>
      </c>
      <c r="M559" s="431">
        <v>0.79166666666666663</v>
      </c>
      <c r="N559" s="431">
        <v>0.75</v>
      </c>
      <c r="O559" s="431">
        <v>0.25</v>
      </c>
      <c r="P559" s="431">
        <v>4.1666666666666664E-2</v>
      </c>
      <c r="Q559" s="321" t="s">
        <v>444</v>
      </c>
      <c r="R559" s="321"/>
      <c r="S559" s="321"/>
      <c r="T559" s="316">
        <f>VLOOKUP(Table2[[#This Row],[Course Title]],'TSD-Data'!$A$1:$E$80,4,FALSE)</f>
        <v>45</v>
      </c>
      <c r="U559" s="316">
        <f>VLOOKUP(Table2[[#This Row],[Course Title]],'TSD-Data'!$A$1:$F$80,6,FALSE)</f>
        <v>24</v>
      </c>
      <c r="V559" s="323">
        <f>VLOOKUP(Table2[[#This Row],[Course Title]],'TSD-Data'!$A$1:$F$80,5,FALSE)</f>
        <v>3</v>
      </c>
      <c r="W559" s="323">
        <v>337</v>
      </c>
      <c r="X559" s="316"/>
      <c r="Y559" s="316"/>
      <c r="Z559" s="323"/>
      <c r="AA559" s="323"/>
      <c r="AB559" s="316"/>
      <c r="AC559" s="316"/>
      <c r="AD559" s="316"/>
      <c r="AE559" s="316"/>
      <c r="AF559" s="323">
        <f ca="1">Table2[[#This Row],[End Date]]+2-TODAY()</f>
        <v>255</v>
      </c>
      <c r="AG559" s="316">
        <f>IF(ISBLANK(Table2[[#This Row],[Roster Received by]]),1,0)</f>
        <v>1</v>
      </c>
      <c r="AH559" s="316">
        <f ca="1">IF(Table2[[#This Row],[Start Date]]&gt;TODAY(),1,)</f>
        <v>1</v>
      </c>
      <c r="AI559" s="316">
        <f>IF(ISBLANK(Table2[[#This Row],[Primary Instructor]]),0,1)</f>
        <v>1</v>
      </c>
      <c r="AJ559" s="316">
        <f>IF(ISBLANK(Table2[[#This Row],[Instructor 2]]),0,1)</f>
        <v>0</v>
      </c>
      <c r="AK559" s="316">
        <f>Table2[[#This Row],[Course Length (Hours)]]/(SUM(Table2[[#This Row],[1]:[2]]))</f>
        <v>24</v>
      </c>
      <c r="AL559" s="124"/>
      <c r="AM559" s="444">
        <v>4</v>
      </c>
      <c r="AN559" s="363" t="str">
        <f>VLOOKUP(Table2[[#This Row],[Course Title]],'TSD-Data'!$A$1:$G$80,7,FALSE)</f>
        <v>N8</v>
      </c>
    </row>
    <row r="560" spans="2:40" s="428" customFormat="1" x14ac:dyDescent="0.25">
      <c r="B560" s="315"/>
      <c r="C560" s="364" t="s">
        <v>71</v>
      </c>
      <c r="D560" s="316" t="str">
        <f>VLOOKUP(Table2[[#This Row],[Course Title]],'TSD-Data'!$A$1:$E$80,2,FALSE)</f>
        <v>A-493-0061</v>
      </c>
      <c r="E560" s="316" t="str">
        <f>VLOOKUP(Table2[[#This Row],[Course Title]],'TSD-Data'!$A$1:$E$80,3,FALSE)</f>
        <v>288E</v>
      </c>
      <c r="F560" s="315" t="s">
        <v>25</v>
      </c>
      <c r="G560" s="344">
        <v>46258</v>
      </c>
      <c r="H560" s="344">
        <v>46261</v>
      </c>
      <c r="I560" s="317" t="s">
        <v>163</v>
      </c>
      <c r="J560" s="318"/>
      <c r="K560" s="318">
        <v>0.5</v>
      </c>
      <c r="L560" s="431">
        <v>0.375</v>
      </c>
      <c r="M560" s="431">
        <v>0.79166666666666663</v>
      </c>
      <c r="N560" s="431">
        <v>0.75</v>
      </c>
      <c r="O560" s="431">
        <v>0.25</v>
      </c>
      <c r="P560" s="431">
        <v>4.1666666666666664E-2</v>
      </c>
      <c r="Q560" s="321" t="s">
        <v>272</v>
      </c>
      <c r="R560" s="321"/>
      <c r="S560" s="321"/>
      <c r="T560" s="316">
        <f>VLOOKUP(Table2[[#This Row],[Course Title]],'TSD-Data'!$A$1:$E$80,4,FALSE)</f>
        <v>45</v>
      </c>
      <c r="U560" s="316">
        <f>VLOOKUP(Table2[[#This Row],[Course Title]],'TSD-Data'!$A$1:$F$80,6,FALSE)</f>
        <v>30</v>
      </c>
      <c r="V560" s="323">
        <f>VLOOKUP(Table2[[#This Row],[Course Title]],'TSD-Data'!$A$1:$F$80,5,FALSE)</f>
        <v>4</v>
      </c>
      <c r="W560" s="323">
        <v>620</v>
      </c>
      <c r="X560" s="316"/>
      <c r="Y560" s="316"/>
      <c r="Z560" s="323"/>
      <c r="AA560" s="323"/>
      <c r="AB560" s="316"/>
      <c r="AC560" s="316"/>
      <c r="AD560" s="316"/>
      <c r="AE560" s="316"/>
      <c r="AF560" s="323">
        <f ca="1">Table2[[#This Row],[End Date]]+2-TODAY()</f>
        <v>256</v>
      </c>
      <c r="AG560" s="316">
        <f>IF(ISBLANK(Table2[[#This Row],[Roster Received by]]),1,0)</f>
        <v>1</v>
      </c>
      <c r="AH560" s="316">
        <f ca="1">IF(Table2[[#This Row],[Start Date]]&gt;TODAY(),1,)</f>
        <v>1</v>
      </c>
      <c r="AI560" s="316">
        <f>IF(ISBLANK(Table2[[#This Row],[Primary Instructor]]),0,1)</f>
        <v>1</v>
      </c>
      <c r="AJ560" s="316">
        <f>IF(ISBLANK(Table2[[#This Row],[Instructor 2]]),0,1)</f>
        <v>0</v>
      </c>
      <c r="AK560" s="316">
        <f>Table2[[#This Row],[Course Length (Hours)]]/(SUM(Table2[[#This Row],[1]:[2]]))</f>
        <v>30</v>
      </c>
      <c r="AL560" s="124"/>
      <c r="AM560" s="444">
        <v>4</v>
      </c>
      <c r="AN560" s="363" t="str">
        <f>VLOOKUP(Table2[[#This Row],[Course Title]],'TSD-Data'!$A$1:$G$80,7,FALSE)</f>
        <v>N5</v>
      </c>
    </row>
    <row r="561" spans="2:40" s="428" customFormat="1" x14ac:dyDescent="0.25">
      <c r="B561" s="315"/>
      <c r="C561" s="364" t="s">
        <v>108</v>
      </c>
      <c r="D561" s="316" t="str">
        <f>VLOOKUP(Table2[[#This Row],[Course Title]],'TSD-Data'!$A$1:$E$80,2,FALSE)</f>
        <v>A-493-0085</v>
      </c>
      <c r="E561" s="316">
        <f>VLOOKUP(Table2[[#This Row],[Course Title]],'TSD-Data'!$A$1:$E$80,3,FALSE)</f>
        <v>3555</v>
      </c>
      <c r="F561" s="315" t="s">
        <v>25</v>
      </c>
      <c r="G561" s="344">
        <v>46258</v>
      </c>
      <c r="H561" s="344">
        <v>46261</v>
      </c>
      <c r="I561" s="317" t="s">
        <v>163</v>
      </c>
      <c r="J561" s="318"/>
      <c r="K561" s="345">
        <v>0.5</v>
      </c>
      <c r="L561" s="429">
        <v>0.375</v>
      </c>
      <c r="M561" s="429">
        <v>0.79166666666666663</v>
      </c>
      <c r="N561" s="429">
        <v>0.75</v>
      </c>
      <c r="O561" s="429">
        <v>0.25</v>
      </c>
      <c r="P561" s="429">
        <v>4.1666666666666664E-2</v>
      </c>
      <c r="Q561" s="321" t="s">
        <v>175</v>
      </c>
      <c r="R561" s="321"/>
      <c r="S561" s="321"/>
      <c r="T561" s="316">
        <f>VLOOKUP(Table2[[#This Row],[Course Title]],'TSD-Data'!$A$1:$E$80,4,FALSE)</f>
        <v>45</v>
      </c>
      <c r="U561" s="316">
        <f>VLOOKUP(Table2[[#This Row],[Course Title]],'TSD-Data'!$A$1:$F$80,6,FALSE)</f>
        <v>32</v>
      </c>
      <c r="V561" s="323">
        <f>VLOOKUP(Table2[[#This Row],[Course Title]],'TSD-Data'!$A$1:$F$80,5,FALSE)</f>
        <v>4</v>
      </c>
      <c r="W561" s="323">
        <v>688</v>
      </c>
      <c r="X561" s="316"/>
      <c r="Y561" s="316"/>
      <c r="Z561" s="323"/>
      <c r="AA561" s="323"/>
      <c r="AB561" s="316"/>
      <c r="AC561" s="316"/>
      <c r="AD561" s="316"/>
      <c r="AE561" s="316"/>
      <c r="AF561" s="323">
        <f ca="1">Table2[[#This Row],[End Date]]+2-TODAY()</f>
        <v>256</v>
      </c>
      <c r="AG561" s="316">
        <f>IF(ISBLANK(Table2[[#This Row],[Roster Received by]]),1,0)</f>
        <v>1</v>
      </c>
      <c r="AH561" s="316">
        <f ca="1">IF(Table2[[#This Row],[Start Date]]&gt;TODAY(),1,)</f>
        <v>1</v>
      </c>
      <c r="AI561" s="316">
        <f>IF(ISBLANK(Table2[[#This Row],[Primary Instructor]]),0,1)</f>
        <v>1</v>
      </c>
      <c r="AJ561" s="316">
        <f>IF(ISBLANK(Table2[[#This Row],[Instructor 2]]),0,1)</f>
        <v>0</v>
      </c>
      <c r="AK561" s="316">
        <f>Table2[[#This Row],[Course Length (Hours)]]/(SUM(Table2[[#This Row],[1]:[2]]))</f>
        <v>32</v>
      </c>
      <c r="AL561" s="124"/>
      <c r="AM561" s="444">
        <v>4</v>
      </c>
      <c r="AN561" s="363" t="str">
        <f>VLOOKUP(Table2[[#This Row],[Course Title]],'TSD-Data'!$A$1:$G$80,7,FALSE)</f>
        <v>N3</v>
      </c>
    </row>
    <row r="562" spans="2:40" s="428" customFormat="1" x14ac:dyDescent="0.25">
      <c r="B562" s="315"/>
      <c r="C562" s="364" t="s">
        <v>113</v>
      </c>
      <c r="D562" s="316" t="str">
        <f>VLOOKUP(Table2[[#This Row],[Course Title]],'TSD-Data'!$A$1:$E$80,2,FALSE)</f>
        <v>A-570-0100</v>
      </c>
      <c r="E562" s="316" t="str">
        <f>VLOOKUP(Table2[[#This Row],[Course Title]],'TSD-Data'!$A$1:$E$80,3,FALSE)</f>
        <v>18B7</v>
      </c>
      <c r="F562" s="315" t="s">
        <v>25</v>
      </c>
      <c r="G562" s="344">
        <v>46258</v>
      </c>
      <c r="H562" s="344">
        <v>46259</v>
      </c>
      <c r="I562" s="317" t="s">
        <v>163</v>
      </c>
      <c r="J562" s="318"/>
      <c r="K562" s="345">
        <v>0.5</v>
      </c>
      <c r="L562" s="429">
        <v>0.375</v>
      </c>
      <c r="M562" s="429">
        <v>0.79166666666666663</v>
      </c>
      <c r="N562" s="429">
        <v>0.75</v>
      </c>
      <c r="O562" s="429">
        <v>0.25</v>
      </c>
      <c r="P562" s="429">
        <v>4.1666666666666664E-2</v>
      </c>
      <c r="Q562" s="321" t="s">
        <v>431</v>
      </c>
      <c r="R562" s="321"/>
      <c r="S562" s="321"/>
      <c r="T562" s="316">
        <f>VLOOKUP(Table2[[#This Row],[Course Title]],'TSD-Data'!$A$1:$E$80,4,FALSE)</f>
        <v>45</v>
      </c>
      <c r="U562" s="316">
        <f>VLOOKUP(Table2[[#This Row],[Course Title]],'TSD-Data'!$A$1:$F$80,6,FALSE)</f>
        <v>16</v>
      </c>
      <c r="V562" s="323">
        <f>VLOOKUP(Table2[[#This Row],[Course Title]],'TSD-Data'!$A$1:$F$80,5,FALSE)</f>
        <v>2</v>
      </c>
      <c r="W562" s="323">
        <v>663</v>
      </c>
      <c r="X562" s="316"/>
      <c r="Y562" s="316"/>
      <c r="Z562" s="323"/>
      <c r="AA562" s="323"/>
      <c r="AB562" s="316"/>
      <c r="AC562" s="316"/>
      <c r="AD562" s="316"/>
      <c r="AE562" s="316"/>
      <c r="AF562" s="323">
        <f ca="1">Table2[[#This Row],[End Date]]+2-TODAY()</f>
        <v>254</v>
      </c>
      <c r="AG562" s="316">
        <f>IF(ISBLANK(Table2[[#This Row],[Roster Received by]]),1,0)</f>
        <v>1</v>
      </c>
      <c r="AH562" s="316">
        <f ca="1">IF(Table2[[#This Row],[Start Date]]&gt;TODAY(),1,)</f>
        <v>1</v>
      </c>
      <c r="AI562" s="316">
        <f>IF(ISBLANK(Table2[[#This Row],[Primary Instructor]]),0,1)</f>
        <v>1</v>
      </c>
      <c r="AJ562" s="316">
        <f>IF(ISBLANK(Table2[[#This Row],[Instructor 2]]),0,1)</f>
        <v>0</v>
      </c>
      <c r="AK562" s="316">
        <f>Table2[[#This Row],[Course Length (Hours)]]/(SUM(Table2[[#This Row],[1]:[2]]))</f>
        <v>16</v>
      </c>
      <c r="AL562" s="124"/>
      <c r="AM562" s="444">
        <v>4</v>
      </c>
      <c r="AN562" s="363" t="str">
        <f>VLOOKUP(Table2[[#This Row],[Course Title]],'TSD-Data'!$A$1:$G$80,7,FALSE)</f>
        <v>N8</v>
      </c>
    </row>
    <row r="563" spans="2:40" s="428" customFormat="1" x14ac:dyDescent="0.25">
      <c r="B563" s="315"/>
      <c r="C563" s="364" t="s">
        <v>116</v>
      </c>
      <c r="D563" s="316" t="str">
        <f>VLOOKUP(Table2[[#This Row],[Course Title]],'TSD-Data'!$A$1:$E$80,2,FALSE)</f>
        <v>A-493-0072</v>
      </c>
      <c r="E563" s="316" t="str">
        <f>VLOOKUP(Table2[[#This Row],[Course Title]],'TSD-Data'!$A$1:$E$80,3,FALSE)</f>
        <v>713U</v>
      </c>
      <c r="F563" s="364" t="s">
        <v>293</v>
      </c>
      <c r="G563" s="344">
        <v>46258</v>
      </c>
      <c r="H563" s="344">
        <v>46262</v>
      </c>
      <c r="I563" s="317" t="s">
        <v>163</v>
      </c>
      <c r="J563" s="318">
        <v>0.33333333333333331</v>
      </c>
      <c r="K563" s="345"/>
      <c r="L563" s="344"/>
      <c r="M563" s="344"/>
      <c r="N563" s="344"/>
      <c r="O563" s="344"/>
      <c r="P563" s="344"/>
      <c r="Q563" s="321" t="s">
        <v>174</v>
      </c>
      <c r="R563" s="321"/>
      <c r="S563" s="321" t="s">
        <v>509</v>
      </c>
      <c r="T563" s="316">
        <f>VLOOKUP(Table2[[#This Row],[Course Title]],'TSD-Data'!$A$1:$E$80,4,FALSE)</f>
        <v>30</v>
      </c>
      <c r="U563" s="316">
        <f>VLOOKUP(Table2[[#This Row],[Course Title]],'TSD-Data'!$A$1:$F$80,6,FALSE)</f>
        <v>40</v>
      </c>
      <c r="V563" s="323">
        <f>VLOOKUP(Table2[[#This Row],[Course Title]],'TSD-Data'!$A$1:$F$80,5,FALSE)</f>
        <v>5</v>
      </c>
      <c r="W563" s="323">
        <v>67</v>
      </c>
      <c r="X563" s="316"/>
      <c r="Y563" s="316"/>
      <c r="Z563" s="323"/>
      <c r="AA563" s="323"/>
      <c r="AB563" s="316"/>
      <c r="AC563" s="316"/>
      <c r="AD563" s="316"/>
      <c r="AE563" s="316"/>
      <c r="AF563" s="323">
        <f ca="1">Table2[[#This Row],[End Date]]+2-TODAY()</f>
        <v>257</v>
      </c>
      <c r="AG563" s="316">
        <f>IF(ISBLANK(Table2[[#This Row],[Roster Received by]]),1,0)</f>
        <v>1</v>
      </c>
      <c r="AH563" s="316">
        <f ca="1">IF(Table2[[#This Row],[Start Date]]&gt;TODAY(),1,)</f>
        <v>1</v>
      </c>
      <c r="AI563" s="316">
        <f>IF(ISBLANK(Table2[[#This Row],[Primary Instructor]]),0,1)</f>
        <v>1</v>
      </c>
      <c r="AJ563" s="316">
        <f>IF(ISBLANK(Table2[[#This Row],[Instructor 2]]),0,1)</f>
        <v>0</v>
      </c>
      <c r="AK563" s="316">
        <f>Table2[[#This Row],[Course Length (Hours)]]/(SUM(Table2[[#This Row],[1]:[2]]))</f>
        <v>40</v>
      </c>
      <c r="AL563" s="124"/>
      <c r="AM563" s="444">
        <v>4</v>
      </c>
      <c r="AN563" s="363" t="str">
        <f>VLOOKUP(Table2[[#This Row],[Course Title]],'TSD-Data'!$A$1:$G$80,7,FALSE)</f>
        <v>N3</v>
      </c>
    </row>
    <row r="564" spans="2:40" s="428" customFormat="1" x14ac:dyDescent="0.25">
      <c r="B564" s="315"/>
      <c r="C564" s="364" t="s">
        <v>106</v>
      </c>
      <c r="D564" s="316" t="str">
        <f>VLOOKUP(Table2[[#This Row],[Course Title]],'TSD-Data'!$A$1:$E$80,2,FALSE)</f>
        <v>A-493-0078</v>
      </c>
      <c r="E564" s="316">
        <f>VLOOKUP(Table2[[#This Row],[Course Title]],'TSD-Data'!$A$1:$E$80,3,FALSE)</f>
        <v>1228</v>
      </c>
      <c r="F564" s="364" t="s">
        <v>25</v>
      </c>
      <c r="G564" s="344">
        <v>46258</v>
      </c>
      <c r="H564" s="344">
        <v>46261</v>
      </c>
      <c r="I564" s="317" t="s">
        <v>163</v>
      </c>
      <c r="J564" s="318"/>
      <c r="K564" s="345">
        <v>0.79166666666666663</v>
      </c>
      <c r="L564" s="429">
        <v>0.66666666666666663</v>
      </c>
      <c r="M564" s="429">
        <v>8.3333333333333329E-2</v>
      </c>
      <c r="N564" s="429">
        <v>0</v>
      </c>
      <c r="O564" s="429">
        <v>0.54166666666666663</v>
      </c>
      <c r="P564" s="429">
        <v>0.33333333333333331</v>
      </c>
      <c r="Q564" s="321" t="s">
        <v>172</v>
      </c>
      <c r="R564" s="321"/>
      <c r="S564" s="321"/>
      <c r="T564" s="316">
        <f>VLOOKUP(Table2[[#This Row],[Course Title]],'TSD-Data'!$A$1:$E$80,4,FALSE)</f>
        <v>45</v>
      </c>
      <c r="U564" s="316">
        <f>VLOOKUP(Table2[[#This Row],[Course Title]],'TSD-Data'!$A$1:$F$80,6,FALSE)</f>
        <v>32</v>
      </c>
      <c r="V564" s="323">
        <f>VLOOKUP(Table2[[#This Row],[Course Title]],'TSD-Data'!$A$1:$F$80,5,FALSE)</f>
        <v>4</v>
      </c>
      <c r="W564" s="323">
        <v>181</v>
      </c>
      <c r="X564" s="316"/>
      <c r="Y564" s="316"/>
      <c r="Z564" s="323"/>
      <c r="AA564" s="323"/>
      <c r="AB564" s="316"/>
      <c r="AC564" s="316"/>
      <c r="AD564" s="316"/>
      <c r="AE564" s="316"/>
      <c r="AF564" s="323">
        <f ca="1">Table2[[#This Row],[End Date]]+2-TODAY()</f>
        <v>256</v>
      </c>
      <c r="AG564" s="316">
        <f>IF(ISBLANK(Table2[[#This Row],[Roster Received by]]),1,0)</f>
        <v>1</v>
      </c>
      <c r="AH564" s="316">
        <f ca="1">IF(Table2[[#This Row],[Start Date]]&gt;TODAY(),1,)</f>
        <v>1</v>
      </c>
      <c r="AI564" s="316">
        <f>IF(ISBLANK(Table2[[#This Row],[Primary Instructor]]),0,1)</f>
        <v>1</v>
      </c>
      <c r="AJ564" s="316">
        <f>IF(ISBLANK(Table2[[#This Row],[Instructor 2]]),0,1)</f>
        <v>0</v>
      </c>
      <c r="AK564" s="316">
        <f>Table2[[#This Row],[Course Length (Hours)]]/(SUM(Table2[[#This Row],[1]:[2]]))</f>
        <v>32</v>
      </c>
      <c r="AL564" s="124"/>
      <c r="AM564" s="444">
        <v>4</v>
      </c>
      <c r="AN564" s="363" t="str">
        <f>VLOOKUP(Table2[[#This Row],[Course Title]],'TSD-Data'!$A$1:$G$80,7,FALSE)</f>
        <v>N5</v>
      </c>
    </row>
    <row r="565" spans="2:40" s="428" customFormat="1" x14ac:dyDescent="0.25">
      <c r="B565" s="315"/>
      <c r="C565" s="364" t="s">
        <v>77</v>
      </c>
      <c r="D565" s="316" t="str">
        <f>VLOOKUP(Table2[[#This Row],[Course Title]],'TSD-Data'!$A$1:$E$80,2,FALSE)</f>
        <v>A-493-0077</v>
      </c>
      <c r="E565" s="316" t="str">
        <f>VLOOKUP(Table2[[#This Row],[Course Title]],'TSD-Data'!$A$1:$E$80,3,FALSE)</f>
        <v>0381</v>
      </c>
      <c r="F565" s="364" t="s">
        <v>166</v>
      </c>
      <c r="G565" s="344">
        <v>46259</v>
      </c>
      <c r="H565" s="344">
        <v>46261</v>
      </c>
      <c r="I565" s="341" t="s">
        <v>167</v>
      </c>
      <c r="J565" s="318">
        <v>0.33333333333333331</v>
      </c>
      <c r="K565" s="318"/>
      <c r="L565" s="317"/>
      <c r="M565" s="317"/>
      <c r="N565" s="317"/>
      <c r="O565" s="317"/>
      <c r="P565" s="317"/>
      <c r="Q565" s="321" t="s">
        <v>168</v>
      </c>
      <c r="R565" s="321"/>
      <c r="S565" s="321"/>
      <c r="T565" s="316">
        <f>VLOOKUP(Table2[[#This Row],[Course Title]],'TSD-Data'!$A$1:$E$80,4,FALSE)</f>
        <v>25</v>
      </c>
      <c r="U565" s="316">
        <f>VLOOKUP(Table2[[#This Row],[Course Title]],'TSD-Data'!$A$1:$F$80,6,FALSE)</f>
        <v>24</v>
      </c>
      <c r="V565" s="323">
        <f>VLOOKUP(Table2[[#This Row],[Course Title]],'TSD-Data'!$A$1:$F$80,5,FALSE)</f>
        <v>3</v>
      </c>
      <c r="W565" s="323">
        <v>25</v>
      </c>
      <c r="X565" s="316"/>
      <c r="Y565" s="316"/>
      <c r="Z565" s="323"/>
      <c r="AA565" s="323"/>
      <c r="AB565" s="363"/>
      <c r="AC565" s="363"/>
      <c r="AD565" s="316"/>
      <c r="AE565" s="316"/>
      <c r="AF565" s="323">
        <f ca="1">Table2[[#This Row],[End Date]]+2-TODAY()</f>
        <v>256</v>
      </c>
      <c r="AG565" s="316">
        <f>IF(ISBLANK(Table2[[#This Row],[Roster Received by]]),1,0)</f>
        <v>1</v>
      </c>
      <c r="AH565" s="316">
        <f ca="1">IF(Table2[[#This Row],[Start Date]]&gt;TODAY(),1,)</f>
        <v>1</v>
      </c>
      <c r="AI565" s="316">
        <f>IF(ISBLANK(Table2[[#This Row],[Primary Instructor]]),0,1)</f>
        <v>1</v>
      </c>
      <c r="AJ565" s="316">
        <f>IF(ISBLANK(Table2[[#This Row],[Instructor 2]]),0,1)</f>
        <v>0</v>
      </c>
      <c r="AK565" s="316">
        <f>Table2[[#This Row],[Course Length (Hours)]]/(SUM(Table2[[#This Row],[1]:[2]]))</f>
        <v>24</v>
      </c>
      <c r="AL565" s="638"/>
      <c r="AM565" s="444">
        <v>4</v>
      </c>
      <c r="AN565" s="363" t="str">
        <f>VLOOKUP(Table2[[#This Row],[Course Title]],'TSD-Data'!$A$1:$G$80,7,FALSE)</f>
        <v>N4</v>
      </c>
    </row>
    <row r="566" spans="2:40" s="428" customFormat="1" x14ac:dyDescent="0.25">
      <c r="B566" s="315" t="s">
        <v>510</v>
      </c>
      <c r="C566" s="364" t="s">
        <v>63</v>
      </c>
      <c r="D566" s="316" t="str">
        <f>VLOOKUP(Table2[[#This Row],[Course Title]],'TSD-Data'!$A$1:$E$80,2,FALSE)</f>
        <v>A-493-0013</v>
      </c>
      <c r="E566" s="316">
        <f>VLOOKUP(Table2[[#This Row],[Course Title]],'TSD-Data'!$A$1:$E$80,3,FALSE)</f>
        <v>3683</v>
      </c>
      <c r="F566" s="315" t="s">
        <v>344</v>
      </c>
      <c r="G566" s="317">
        <v>46260</v>
      </c>
      <c r="H566" s="317">
        <v>46262</v>
      </c>
      <c r="I566" s="341" t="s">
        <v>167</v>
      </c>
      <c r="J566" s="318">
        <v>0.33333333333333331</v>
      </c>
      <c r="K566" s="318"/>
      <c r="L566" s="344"/>
      <c r="M566" s="317"/>
      <c r="N566" s="317"/>
      <c r="O566" s="317"/>
      <c r="P566" s="317"/>
      <c r="Q566" s="321" t="s">
        <v>438</v>
      </c>
      <c r="R566" s="321"/>
      <c r="S566" s="321"/>
      <c r="T566" s="316">
        <f>VLOOKUP(Table2[[#This Row],[Course Title]],'TSD-Data'!$A$1:$E$80,4,FALSE)</f>
        <v>40</v>
      </c>
      <c r="U566" s="316">
        <f>VLOOKUP(Table2[[#This Row],[Course Title]],'TSD-Data'!$A$1:$F$80,6,FALSE)</f>
        <v>24</v>
      </c>
      <c r="V566" s="323">
        <f>VLOOKUP(Table2[[#This Row],[Course Title]],'TSD-Data'!$A$1:$F$80,5,FALSE)</f>
        <v>3</v>
      </c>
      <c r="W566" s="323">
        <v>20</v>
      </c>
      <c r="X566" s="316"/>
      <c r="Y566" s="316"/>
      <c r="Z566" s="323"/>
      <c r="AA566" s="323"/>
      <c r="AB566" s="363"/>
      <c r="AC566" s="363"/>
      <c r="AD566" s="316"/>
      <c r="AE566" s="316"/>
      <c r="AF566" s="323">
        <f ca="1">Table2[[#This Row],[End Date]]+2-TODAY()</f>
        <v>257</v>
      </c>
      <c r="AG566" s="316">
        <f>IF(ISBLANK(Table2[[#This Row],[Roster Received by]]),1,0)</f>
        <v>1</v>
      </c>
      <c r="AH566" s="316">
        <f ca="1">IF(Table2[[#This Row],[Start Date]]&gt;TODAY(),1,)</f>
        <v>1</v>
      </c>
      <c r="AI566" s="316">
        <f>IF(ISBLANK(Table2[[#This Row],[Primary Instructor]]),0,1)</f>
        <v>1</v>
      </c>
      <c r="AJ566" s="316">
        <f>IF(ISBLANK(Table2[[#This Row],[Instructor 2]]),0,1)</f>
        <v>0</v>
      </c>
      <c r="AK566" s="316">
        <f>Table2[[#This Row],[Course Length (Hours)]]/(SUM(Table2[[#This Row],[1]:[2]]))</f>
        <v>24</v>
      </c>
      <c r="AL566" s="638"/>
      <c r="AM566" s="444">
        <v>4</v>
      </c>
      <c r="AN566" s="363" t="str">
        <f>VLOOKUP(Table2[[#This Row],[Course Title]],'TSD-Data'!$A$1:$G$80,7,FALSE)</f>
        <v>N4</v>
      </c>
    </row>
    <row r="567" spans="2:40" s="428" customFormat="1" x14ac:dyDescent="0.25">
      <c r="B567" s="315"/>
      <c r="C567" s="364" t="s">
        <v>80</v>
      </c>
      <c r="D567" s="316" t="str">
        <f>VLOOKUP(Table2[[#This Row],[Course Title]],'TSD-Data'!$A$1:$E$80,2,FALSE)</f>
        <v>A-493-0083</v>
      </c>
      <c r="E567" s="316" t="str">
        <f>VLOOKUP(Table2[[#This Row],[Course Title]],'TSD-Data'!$A$1:$E$80,3,FALSE)</f>
        <v>339E</v>
      </c>
      <c r="F567" s="315" t="s">
        <v>166</v>
      </c>
      <c r="G567" s="317">
        <v>46262</v>
      </c>
      <c r="H567" s="317">
        <v>46262</v>
      </c>
      <c r="I567" s="341" t="s">
        <v>167</v>
      </c>
      <c r="J567" s="318">
        <v>0.33333333333333331</v>
      </c>
      <c r="K567" s="345"/>
      <c r="L567" s="344"/>
      <c r="M567" s="344"/>
      <c r="N567" s="344"/>
      <c r="O567" s="344"/>
      <c r="P567" s="344"/>
      <c r="Q567" s="321" t="s">
        <v>168</v>
      </c>
      <c r="R567" s="321"/>
      <c r="S567" s="321"/>
      <c r="T567" s="316">
        <f>VLOOKUP(Table2[[#This Row],[Course Title]],'TSD-Data'!$A$1:$E$80,4,FALSE)</f>
        <v>30</v>
      </c>
      <c r="U567" s="316">
        <f>VLOOKUP(Table2[[#This Row],[Course Title]],'TSD-Data'!$A$1:$F$80,6,FALSE)</f>
        <v>8</v>
      </c>
      <c r="V567" s="323">
        <f>VLOOKUP(Table2[[#This Row],[Course Title]],'TSD-Data'!$A$1:$F$80,5,FALSE)</f>
        <v>1</v>
      </c>
      <c r="W567" s="323">
        <v>30</v>
      </c>
      <c r="X567" s="316"/>
      <c r="Y567" s="316"/>
      <c r="Z567" s="323"/>
      <c r="AA567" s="323"/>
      <c r="AB567" s="363"/>
      <c r="AC567" s="363"/>
      <c r="AD567" s="316"/>
      <c r="AE567" s="316"/>
      <c r="AF567" s="323">
        <f ca="1">Table2[[#This Row],[End Date]]+2-TODAY()</f>
        <v>257</v>
      </c>
      <c r="AG567" s="316">
        <f>IF(ISBLANK(Table2[[#This Row],[Roster Received by]]),1,0)</f>
        <v>1</v>
      </c>
      <c r="AH567" s="316">
        <f ca="1">IF(Table2[[#This Row],[Start Date]]&gt;TODAY(),1,)</f>
        <v>1</v>
      </c>
      <c r="AI567" s="316">
        <f>IF(ISBLANK(Table2[[#This Row],[Primary Instructor]]),0,1)</f>
        <v>1</v>
      </c>
      <c r="AJ567" s="316">
        <f>IF(ISBLANK(Table2[[#This Row],[Instructor 2]]),0,1)</f>
        <v>0</v>
      </c>
      <c r="AK567" s="316">
        <f>Table2[[#This Row],[Course Length (Hours)]]/(SUM(Table2[[#This Row],[1]:[2]]))</f>
        <v>8</v>
      </c>
      <c r="AL567" s="638"/>
      <c r="AM567" s="444">
        <v>4</v>
      </c>
      <c r="AN567" s="363" t="str">
        <f>VLOOKUP(Table2[[#This Row],[Course Title]],'TSD-Data'!$A$1:$G$80,7,FALSE)</f>
        <v>N4</v>
      </c>
    </row>
    <row r="568" spans="2:40" s="428" customFormat="1" x14ac:dyDescent="0.25">
      <c r="B568" s="315" t="s">
        <v>511</v>
      </c>
      <c r="C568" s="364" t="s">
        <v>61</v>
      </c>
      <c r="D568" s="316" t="str">
        <f>VLOOKUP(Table2[[#This Row],[Course Title]],'TSD-Data'!$A$1:$E$80,2,FALSE)</f>
        <v>A-493-0012</v>
      </c>
      <c r="E568" s="316">
        <f>VLOOKUP(Table2[[#This Row],[Course Title]],'TSD-Data'!$A$1:$E$80,3,FALSE)</f>
        <v>3682</v>
      </c>
      <c r="F568" s="315" t="s">
        <v>300</v>
      </c>
      <c r="G568" s="344">
        <v>46265</v>
      </c>
      <c r="H568" s="344">
        <v>46269</v>
      </c>
      <c r="I568" s="341" t="s">
        <v>167</v>
      </c>
      <c r="J568" s="318">
        <v>0.33333333333333331</v>
      </c>
      <c r="K568" s="318"/>
      <c r="L568" s="344"/>
      <c r="M568" s="317"/>
      <c r="N568" s="317"/>
      <c r="O568" s="317"/>
      <c r="P568" s="317"/>
      <c r="Q568" s="321" t="s">
        <v>438</v>
      </c>
      <c r="R568" s="321"/>
      <c r="S568" s="321"/>
      <c r="T568" s="316">
        <f>VLOOKUP(Table2[[#This Row],[Course Title]],'TSD-Data'!$A$1:$E$80,4,FALSE)</f>
        <v>40</v>
      </c>
      <c r="U568" s="316">
        <f>VLOOKUP(Table2[[#This Row],[Course Title]],'TSD-Data'!$A$1:$F$80,6,FALSE)</f>
        <v>40</v>
      </c>
      <c r="V568" s="323">
        <f>VLOOKUP(Table2[[#This Row],[Course Title]],'TSD-Data'!$A$1:$F$80,5,FALSE)</f>
        <v>5</v>
      </c>
      <c r="W568" s="323">
        <v>30</v>
      </c>
      <c r="X568" s="316"/>
      <c r="Y568" s="316"/>
      <c r="Z568" s="323"/>
      <c r="AA568" s="323"/>
      <c r="AB568" s="363"/>
      <c r="AC568" s="363"/>
      <c r="AD568" s="316"/>
      <c r="AE568" s="316"/>
      <c r="AF568" s="323">
        <f ca="1">Table2[[#This Row],[End Date]]+2-TODAY()</f>
        <v>264</v>
      </c>
      <c r="AG568" s="316">
        <f>IF(ISBLANK(Table2[[#This Row],[Roster Received by]]),1,0)</f>
        <v>1</v>
      </c>
      <c r="AH568" s="316">
        <f ca="1">IF(Table2[[#This Row],[Start Date]]&gt;TODAY(),1,)</f>
        <v>1</v>
      </c>
      <c r="AI568" s="316">
        <f>IF(ISBLANK(Table2[[#This Row],[Primary Instructor]]),0,1)</f>
        <v>1</v>
      </c>
      <c r="AJ568" s="316">
        <f>IF(ISBLANK(Table2[[#This Row],[Instructor 2]]),0,1)</f>
        <v>0</v>
      </c>
      <c r="AK568" s="316">
        <f>Table2[[#This Row],[Course Length (Hours)]]/(SUM(Table2[[#This Row],[1]:[2]]))</f>
        <v>40</v>
      </c>
      <c r="AL568" s="638"/>
      <c r="AM568" s="444">
        <v>4</v>
      </c>
      <c r="AN568" s="363" t="str">
        <f>VLOOKUP(Table2[[#This Row],[Course Title]],'TSD-Data'!$A$1:$G$80,7,FALSE)</f>
        <v>N4</v>
      </c>
    </row>
    <row r="569" spans="2:40" s="428" customFormat="1" x14ac:dyDescent="0.25">
      <c r="B569" s="315" t="s">
        <v>512</v>
      </c>
      <c r="C569" s="364" t="s">
        <v>63</v>
      </c>
      <c r="D569" s="316" t="str">
        <f>VLOOKUP(Table2[[#This Row],[Course Title]],'TSD-Data'!$A$1:$E$80,2,FALSE)</f>
        <v>A-493-0013</v>
      </c>
      <c r="E569" s="316">
        <f>VLOOKUP(Table2[[#This Row],[Course Title]],'TSD-Data'!$A$1:$E$80,3,FALSE)</f>
        <v>3683</v>
      </c>
      <c r="F569" s="315" t="s">
        <v>255</v>
      </c>
      <c r="G569" s="317">
        <v>46265</v>
      </c>
      <c r="H569" s="317">
        <v>46267</v>
      </c>
      <c r="I569" s="341" t="s">
        <v>167</v>
      </c>
      <c r="J569" s="318">
        <v>0.33333333333333331</v>
      </c>
      <c r="K569" s="318"/>
      <c r="L569" s="317"/>
      <c r="M569" s="317"/>
      <c r="N569" s="317"/>
      <c r="O569" s="317"/>
      <c r="P569" s="317"/>
      <c r="Q569" s="321" t="s">
        <v>438</v>
      </c>
      <c r="R569" s="321"/>
      <c r="S569" s="321"/>
      <c r="T569" s="316">
        <f>VLOOKUP(Table2[[#This Row],[Course Title]],'TSD-Data'!$A$1:$E$80,4,FALSE)</f>
        <v>40</v>
      </c>
      <c r="U569" s="316">
        <f>VLOOKUP(Table2[[#This Row],[Course Title]],'TSD-Data'!$A$1:$F$80,6,FALSE)</f>
        <v>24</v>
      </c>
      <c r="V569" s="323">
        <f>VLOOKUP(Table2[[#This Row],[Course Title]],'TSD-Data'!$A$1:$F$80,5,FALSE)</f>
        <v>3</v>
      </c>
      <c r="W569" s="323">
        <v>8</v>
      </c>
      <c r="X569" s="316"/>
      <c r="Y569" s="316"/>
      <c r="Z569" s="323"/>
      <c r="AA569" s="323"/>
      <c r="AB569" s="363"/>
      <c r="AC569" s="363"/>
      <c r="AD569" s="316"/>
      <c r="AE569" s="316"/>
      <c r="AF569" s="323">
        <f ca="1">Table2[[#This Row],[End Date]]+2-TODAY()</f>
        <v>262</v>
      </c>
      <c r="AG569" s="316">
        <f>IF(ISBLANK(Table2[[#This Row],[Roster Received by]]),1,0)</f>
        <v>1</v>
      </c>
      <c r="AH569" s="316">
        <f ca="1">IF(Table2[[#This Row],[Start Date]]&gt;TODAY(),1,)</f>
        <v>1</v>
      </c>
      <c r="AI569" s="316">
        <f>IF(ISBLANK(Table2[[#This Row],[Primary Instructor]]),0,1)</f>
        <v>1</v>
      </c>
      <c r="AJ569" s="316">
        <f>IF(ISBLANK(Table2[[#This Row],[Instructor 2]]),0,1)</f>
        <v>0</v>
      </c>
      <c r="AK569" s="316">
        <f>Table2[[#This Row],[Course Length (Hours)]]/(SUM(Table2[[#This Row],[1]:[2]]))</f>
        <v>24</v>
      </c>
      <c r="AL569" s="638"/>
      <c r="AM569" s="444">
        <v>4</v>
      </c>
      <c r="AN569" s="363" t="str">
        <f>VLOOKUP(Table2[[#This Row],[Course Title]],'TSD-Data'!$A$1:$G$80,7,FALSE)</f>
        <v>N4</v>
      </c>
    </row>
    <row r="570" spans="2:40" s="428" customFormat="1" x14ac:dyDescent="0.25">
      <c r="B570" s="315"/>
      <c r="C570" s="442" t="s">
        <v>92</v>
      </c>
      <c r="D570" s="316" t="str">
        <f>VLOOKUP(Table2[[#This Row],[Course Title]],'TSD-Data'!$A$1:$E$80,2,FALSE)</f>
        <v>A-493-0092</v>
      </c>
      <c r="E570" s="316">
        <f>VLOOKUP(Table2[[#This Row],[Course Title]],'TSD-Data'!$A$1:$E$80,3,FALSE)</f>
        <v>5891</v>
      </c>
      <c r="F570" s="364" t="s">
        <v>293</v>
      </c>
      <c r="G570" s="317">
        <v>46265</v>
      </c>
      <c r="H570" s="317">
        <v>46267</v>
      </c>
      <c r="I570" s="317" t="s">
        <v>163</v>
      </c>
      <c r="J570" s="318">
        <v>0.33333333333333331</v>
      </c>
      <c r="K570" s="345"/>
      <c r="L570" s="344"/>
      <c r="M570" s="344"/>
      <c r="N570" s="344"/>
      <c r="O570" s="344"/>
      <c r="P570" s="344"/>
      <c r="Q570" s="321" t="s">
        <v>174</v>
      </c>
      <c r="R570" s="321"/>
      <c r="S570" s="321" t="s">
        <v>509</v>
      </c>
      <c r="T570" s="316">
        <f>VLOOKUP(Table2[[#This Row],[Course Title]],'TSD-Data'!$A$1:$E$80,4,FALSE)</f>
        <v>25</v>
      </c>
      <c r="U570" s="316">
        <f>VLOOKUP(Table2[[#This Row],[Course Title]],'TSD-Data'!$A$1:$F$80,6,FALSE)</f>
        <v>24</v>
      </c>
      <c r="V570" s="323">
        <f>VLOOKUP(Table2[[#This Row],[Course Title]],'TSD-Data'!$A$1:$F$80,5,FALSE)</f>
        <v>3</v>
      </c>
      <c r="W570" s="323">
        <v>41</v>
      </c>
      <c r="X570" s="316"/>
      <c r="Y570" s="316"/>
      <c r="Z570" s="323"/>
      <c r="AA570" s="323"/>
      <c r="AB570" s="316"/>
      <c r="AC570" s="316"/>
      <c r="AD570" s="316"/>
      <c r="AE570" s="316"/>
      <c r="AF570" s="323">
        <f ca="1">Table2[[#This Row],[End Date]]+2-TODAY()</f>
        <v>262</v>
      </c>
      <c r="AG570" s="316">
        <f>IF(ISBLANK(Table2[[#This Row],[Roster Received by]]),1,0)</f>
        <v>1</v>
      </c>
      <c r="AH570" s="316">
        <f ca="1">IF(Table2[[#This Row],[Start Date]]&gt;TODAY(),1,)</f>
        <v>1</v>
      </c>
      <c r="AI570" s="316">
        <f>IF(ISBLANK(Table2[[#This Row],[Primary Instructor]]),0,1)</f>
        <v>1</v>
      </c>
      <c r="AJ570" s="316">
        <f>IF(ISBLANK(Table2[[#This Row],[Instructor 2]]),0,1)</f>
        <v>0</v>
      </c>
      <c r="AK570" s="316">
        <f>Table2[[#This Row],[Course Length (Hours)]]/(SUM(Table2[[#This Row],[1]:[2]]))</f>
        <v>24</v>
      </c>
      <c r="AL570" s="124"/>
      <c r="AM570" s="444">
        <v>4</v>
      </c>
      <c r="AN570" s="363" t="str">
        <f>VLOOKUP(Table2[[#This Row],[Course Title]],'TSD-Data'!$A$1:$G$80,7,FALSE)</f>
        <v>N3</v>
      </c>
    </row>
    <row r="571" spans="2:40" s="428" customFormat="1" x14ac:dyDescent="0.25">
      <c r="B571" s="315" t="s">
        <v>513</v>
      </c>
      <c r="C571" s="364" t="s">
        <v>505</v>
      </c>
      <c r="D571" s="316" t="str">
        <f>VLOOKUP(Table2[[#This Row],[Course Title]],'TSD-Data'!$A$1:$E$80,2,FALSE)</f>
        <v>TBD</v>
      </c>
      <c r="E571" s="316" t="str">
        <f>VLOOKUP(Table2[[#This Row],[Course Title]],'TSD-Data'!$A$1:$E$80,3,FALSE)</f>
        <v>TBD</v>
      </c>
      <c r="F571" s="315" t="s">
        <v>25</v>
      </c>
      <c r="G571" s="317">
        <v>46265</v>
      </c>
      <c r="H571" s="317">
        <v>46268</v>
      </c>
      <c r="I571" s="317" t="s">
        <v>163</v>
      </c>
      <c r="J571" s="318"/>
      <c r="K571" s="345">
        <v>0.33333333333333331</v>
      </c>
      <c r="L571" s="345">
        <v>0.20833333333333334</v>
      </c>
      <c r="M571" s="345">
        <v>0.625</v>
      </c>
      <c r="N571" s="345">
        <v>0.54166666666666663</v>
      </c>
      <c r="O571" s="345">
        <v>8.3333333333333329E-2</v>
      </c>
      <c r="P571" s="345">
        <v>0.875</v>
      </c>
      <c r="Q571" s="321" t="s">
        <v>272</v>
      </c>
      <c r="R571" s="321"/>
      <c r="S571" s="321"/>
      <c r="T571" s="316">
        <f>VLOOKUP(Table2[[#This Row],[Course Title]],'TSD-Data'!$A$1:$E$80,4,FALSE)</f>
        <v>0</v>
      </c>
      <c r="U571" s="316">
        <f>VLOOKUP(Table2[[#This Row],[Course Title]],'TSD-Data'!$A$1:$F$80,6,FALSE)</f>
        <v>0</v>
      </c>
      <c r="V571" s="323">
        <f>VLOOKUP(Table2[[#This Row],[Course Title]],'TSD-Data'!$A$1:$F$80,5,FALSE)</f>
        <v>0</v>
      </c>
      <c r="W571" s="323">
        <v>0</v>
      </c>
      <c r="X571" s="316"/>
      <c r="Y571" s="316"/>
      <c r="Z571" s="323"/>
      <c r="AA571" s="323"/>
      <c r="AB571" s="316"/>
      <c r="AC571" s="316"/>
      <c r="AD571" s="316"/>
      <c r="AE571" s="316"/>
      <c r="AF571" s="323">
        <f ca="1">Table2[[#This Row],[End Date]]+2-TODAY()</f>
        <v>263</v>
      </c>
      <c r="AG571" s="316">
        <f>IF(ISBLANK(Table2[[#This Row],[Roster Received by]]),1,0)</f>
        <v>1</v>
      </c>
      <c r="AH571" s="316">
        <f ca="1">IF(Table2[[#This Row],[Start Date]]&gt;TODAY(),1,)</f>
        <v>1</v>
      </c>
      <c r="AI571" s="316">
        <f>IF(ISBLANK(Table2[[#This Row],[Primary Instructor]]),0,1)</f>
        <v>1</v>
      </c>
      <c r="AJ571" s="316">
        <f>IF(ISBLANK(Table2[[#This Row],[Instructor 2]]),0,1)</f>
        <v>0</v>
      </c>
      <c r="AK571" s="316">
        <f>Table2[[#This Row],[Course Length (Hours)]]/(SUM(Table2[[#This Row],[1]:[2]]))</f>
        <v>0</v>
      </c>
      <c r="AL571" s="124"/>
      <c r="AM571" s="444">
        <v>4</v>
      </c>
      <c r="AN571" s="363" t="str">
        <f>VLOOKUP(Table2[[#This Row],[Course Title]],'TSD-Data'!$A$1:$G$80,7,FALSE)</f>
        <v>N5</v>
      </c>
    </row>
    <row r="572" spans="2:40" s="428" customFormat="1" x14ac:dyDescent="0.25">
      <c r="B572" s="315"/>
      <c r="C572" s="439" t="s">
        <v>94</v>
      </c>
      <c r="D572" s="316" t="str">
        <f>VLOOKUP(Table2[[#This Row],[Course Title]],'TSD-Data'!$A$1:$E$80,2,FALSE)</f>
        <v>A-493-0331</v>
      </c>
      <c r="E572" s="316" t="str">
        <f>VLOOKUP(Table2[[#This Row],[Course Title]],'TSD-Data'!$A$1:$E$80,3,FALSE)</f>
        <v>10UG</v>
      </c>
      <c r="F572" s="315" t="s">
        <v>25</v>
      </c>
      <c r="G572" s="317">
        <v>46266</v>
      </c>
      <c r="H572" s="317">
        <v>46268</v>
      </c>
      <c r="I572" s="317" t="s">
        <v>163</v>
      </c>
      <c r="J572" s="318"/>
      <c r="K572" s="345">
        <v>0.79166666666666663</v>
      </c>
      <c r="L572" s="429">
        <v>0.66666666666666663</v>
      </c>
      <c r="M572" s="429">
        <v>8.3333333333333329E-2</v>
      </c>
      <c r="N572" s="429">
        <v>0</v>
      </c>
      <c r="O572" s="429">
        <v>0.54166666666666663</v>
      </c>
      <c r="P572" s="429">
        <v>0.33333333333333331</v>
      </c>
      <c r="Q572" s="321" t="s">
        <v>436</v>
      </c>
      <c r="R572" s="321"/>
      <c r="S572" s="321"/>
      <c r="T572" s="316">
        <f>VLOOKUP(Table2[[#This Row],[Course Title]],'TSD-Data'!$A$1:$E$80,4,FALSE)</f>
        <v>45</v>
      </c>
      <c r="U572" s="316">
        <f>VLOOKUP(Table2[[#This Row],[Course Title]],'TSD-Data'!$A$1:$F$80,6,FALSE)</f>
        <v>24</v>
      </c>
      <c r="V572" s="323">
        <f>VLOOKUP(Table2[[#This Row],[Course Title]],'TSD-Data'!$A$1:$F$80,5,FALSE)</f>
        <v>3</v>
      </c>
      <c r="W572" s="323">
        <v>183</v>
      </c>
      <c r="X572" s="316"/>
      <c r="Y572" s="316"/>
      <c r="Z572" s="323"/>
      <c r="AA572" s="323"/>
      <c r="AB572" s="316"/>
      <c r="AC572" s="316"/>
      <c r="AD572" s="316"/>
      <c r="AE572" s="316"/>
      <c r="AF572" s="323">
        <f ca="1">Table2[[#This Row],[End Date]]+2-TODAY()</f>
        <v>263</v>
      </c>
      <c r="AG572" s="316">
        <f>IF(ISBLANK(Table2[[#This Row],[Roster Received by]]),1,0)</f>
        <v>1</v>
      </c>
      <c r="AH572" s="316">
        <f ca="1">IF(Table2[[#This Row],[Start Date]]&gt;TODAY(),1,)</f>
        <v>1</v>
      </c>
      <c r="AI572" s="316">
        <f>IF(ISBLANK(Table2[[#This Row],[Primary Instructor]]),0,1)</f>
        <v>1</v>
      </c>
      <c r="AJ572" s="316">
        <f>IF(ISBLANK(Table2[[#This Row],[Instructor 2]]),0,1)</f>
        <v>0</v>
      </c>
      <c r="AK572" s="316">
        <f>Table2[[#This Row],[Course Length (Hours)]]/(SUM(Table2[[#This Row],[1]:[2]]))</f>
        <v>24</v>
      </c>
      <c r="AL572" s="124"/>
      <c r="AM572" s="444">
        <v>4</v>
      </c>
      <c r="AN572" s="363" t="str">
        <f>VLOOKUP(Table2[[#This Row],[Course Title]],'TSD-Data'!$A$1:$G$80,7,FALSE)</f>
        <v>N3</v>
      </c>
    </row>
    <row r="573" spans="2:40" s="428" customFormat="1" x14ac:dyDescent="0.25">
      <c r="B573" s="315"/>
      <c r="C573" s="364" t="s">
        <v>65</v>
      </c>
      <c r="D573" s="316" t="str">
        <f>VLOOKUP(Table2[[#This Row],[Course Title]],'TSD-Data'!$A$1:$E$80,2,FALSE)</f>
        <v>A-493-0099</v>
      </c>
      <c r="E573" s="316" t="str">
        <f>VLOOKUP(Table2[[#This Row],[Course Title]],'TSD-Data'!$A$1:$E$80,3,FALSE)</f>
        <v>12JW</v>
      </c>
      <c r="F573" s="315" t="s">
        <v>25</v>
      </c>
      <c r="G573" s="317">
        <v>46267</v>
      </c>
      <c r="H573" s="317">
        <v>46269</v>
      </c>
      <c r="I573" s="317" t="s">
        <v>163</v>
      </c>
      <c r="J573" s="318"/>
      <c r="K573" s="345">
        <v>0.79166666666666663</v>
      </c>
      <c r="L573" s="429">
        <v>0.66666666666666663</v>
      </c>
      <c r="M573" s="429">
        <v>8.3333333333333329E-2</v>
      </c>
      <c r="N573" s="429">
        <v>0</v>
      </c>
      <c r="O573" s="429">
        <v>0.54166666666666663</v>
      </c>
      <c r="P573" s="429">
        <v>0.33333333333333331</v>
      </c>
      <c r="Q573" s="321" t="s">
        <v>273</v>
      </c>
      <c r="R573" s="321"/>
      <c r="S573" s="321"/>
      <c r="T573" s="316">
        <f>VLOOKUP(Table2[[#This Row],[Course Title]],'TSD-Data'!$A$1:$E$80,4,FALSE)</f>
        <v>45</v>
      </c>
      <c r="U573" s="316">
        <f>VLOOKUP(Table2[[#This Row],[Course Title]],'TSD-Data'!$A$1:$F$80,6,FALSE)</f>
        <v>24</v>
      </c>
      <c r="V573" s="323">
        <f>VLOOKUP(Table2[[#This Row],[Course Title]],'TSD-Data'!$A$1:$F$80,5,FALSE)</f>
        <v>3</v>
      </c>
      <c r="W573" s="323">
        <v>224</v>
      </c>
      <c r="X573" s="316"/>
      <c r="Y573" s="316"/>
      <c r="Z573" s="323"/>
      <c r="AA573" s="323"/>
      <c r="AB573" s="316"/>
      <c r="AC573" s="316"/>
      <c r="AD573" s="316"/>
      <c r="AE573" s="316"/>
      <c r="AF573" s="323">
        <f ca="1">Table2[[#This Row],[End Date]]+2-TODAY()</f>
        <v>264</v>
      </c>
      <c r="AG573" s="316">
        <f>IF(ISBLANK(Table2[[#This Row],[Roster Received by]]),1,0)</f>
        <v>1</v>
      </c>
      <c r="AH573" s="316">
        <f ca="1">IF(Table2[[#This Row],[Start Date]]&gt;TODAY(),1,)</f>
        <v>1</v>
      </c>
      <c r="AI573" s="316">
        <f>IF(ISBLANK(Table2[[#This Row],[Primary Instructor]]),0,1)</f>
        <v>1</v>
      </c>
      <c r="AJ573" s="316">
        <f>IF(ISBLANK(Table2[[#This Row],[Instructor 2]]),0,1)</f>
        <v>0</v>
      </c>
      <c r="AK573" s="316">
        <f>Table2[[#This Row],[Course Length (Hours)]]/(SUM(Table2[[#This Row],[1]:[2]]))</f>
        <v>24</v>
      </c>
      <c r="AL573" s="124"/>
      <c r="AM573" s="444">
        <v>4</v>
      </c>
      <c r="AN573" s="363" t="str">
        <f>VLOOKUP(Table2[[#This Row],[Course Title]],'TSD-Data'!$A$1:$G$80,7,FALSE)</f>
        <v>N5</v>
      </c>
    </row>
    <row r="574" spans="2:40" s="428" customFormat="1" x14ac:dyDescent="0.25">
      <c r="B574" s="315" t="s">
        <v>248</v>
      </c>
      <c r="C574" s="364" t="s">
        <v>238</v>
      </c>
      <c r="D574" s="316" t="str">
        <f>VLOOKUP(Table2[[#This Row],[Course Title]],'TSD-Data'!$A$1:$E$80,2,FALSE)</f>
        <v>Holiday</v>
      </c>
      <c r="E574" s="316" t="str">
        <f>VLOOKUP(Table2[[#This Row],[Course Title]],'TSD-Data'!$A$1:$E$80,3,FALSE)</f>
        <v>Holiday</v>
      </c>
      <c r="F574" s="315" t="s">
        <v>238</v>
      </c>
      <c r="G574" s="317">
        <v>46272</v>
      </c>
      <c r="H574" s="317">
        <v>46272</v>
      </c>
      <c r="I574" s="317" t="s">
        <v>433</v>
      </c>
      <c r="J574" s="318"/>
      <c r="K574" s="318"/>
      <c r="L574" s="317"/>
      <c r="M574" s="317"/>
      <c r="N574" s="317"/>
      <c r="O574" s="317"/>
      <c r="P574" s="317"/>
      <c r="Q574" s="321" t="s">
        <v>434</v>
      </c>
      <c r="R574" s="321"/>
      <c r="S574" s="445"/>
      <c r="T574" s="316">
        <f>VLOOKUP(Table2[[#This Row],[Course Title]],'TSD-Data'!$A$1:$E$80,4,FALSE)</f>
        <v>0</v>
      </c>
      <c r="U574" s="316">
        <f>VLOOKUP(Table2[[#This Row],[Course Title]],'TSD-Data'!$A$1:$F$80,6,FALSE)</f>
        <v>0</v>
      </c>
      <c r="V574" s="323">
        <f>VLOOKUP(Table2[[#This Row],[Course Title]],'TSD-Data'!$A$1:$F$80,5,FALSE)</f>
        <v>0</v>
      </c>
      <c r="W574" s="323">
        <v>0</v>
      </c>
      <c r="X574" s="316">
        <v>0</v>
      </c>
      <c r="Y574" s="316">
        <v>0</v>
      </c>
      <c r="Z574" s="316">
        <v>0</v>
      </c>
      <c r="AA574" s="316">
        <v>0</v>
      </c>
      <c r="AB574" s="316">
        <v>0</v>
      </c>
      <c r="AC574" s="316">
        <v>0</v>
      </c>
      <c r="AD574" s="316">
        <v>0</v>
      </c>
      <c r="AE574" s="316" t="s">
        <v>435</v>
      </c>
      <c r="AF574" s="323">
        <f ca="1">Table2[[#This Row],[End Date]]+2-TODAY()</f>
        <v>267</v>
      </c>
      <c r="AG574" s="316">
        <f>IF(ISBLANK(Table2[[#This Row],[Roster Received by]]),1,0)</f>
        <v>0</v>
      </c>
      <c r="AH574" s="316">
        <f ca="1">IF(Table2[[#This Row],[Start Date]]&gt;TODAY(),1,)</f>
        <v>1</v>
      </c>
      <c r="AI574" s="316">
        <f>IF(ISBLANK(Table2[[#This Row],[Primary Instructor]]),0,1)</f>
        <v>1</v>
      </c>
      <c r="AJ574" s="316">
        <f>IF(ISBLANK(Table2[[#This Row],[Instructor 2]]),0,1)</f>
        <v>0</v>
      </c>
      <c r="AK574" s="316">
        <f>Table2[[#This Row],[Course Length (Hours)]]/(SUM(Table2[[#This Row],[1]:[2]]))</f>
        <v>0</v>
      </c>
      <c r="AL574" s="124"/>
      <c r="AM574" s="444">
        <v>4</v>
      </c>
      <c r="AN574" s="363" t="str">
        <f>VLOOKUP(Table2[[#This Row],[Course Title]],'TSD-Data'!$A$1:$G$80,7,FALSE)</f>
        <v>TSD</v>
      </c>
    </row>
    <row r="575" spans="2:40" s="428" customFormat="1" x14ac:dyDescent="0.25">
      <c r="B575" s="315"/>
      <c r="C575" s="364" t="s">
        <v>74</v>
      </c>
      <c r="D575" s="421" t="str">
        <f>VLOOKUP(Table2[[#This Row],[Course Title]],'TSD-Data'!$A$1:$E$80,2,FALSE)</f>
        <v>A-322-2604</v>
      </c>
      <c r="E575" s="421" t="str">
        <f>VLOOKUP(Table2[[#This Row],[Course Title]],'TSD-Data'!$A$1:$E$80,3,FALSE)</f>
        <v>10ZZ</v>
      </c>
      <c r="F575" s="364" t="s">
        <v>25</v>
      </c>
      <c r="G575" s="344">
        <v>46273</v>
      </c>
      <c r="H575" s="344">
        <v>46275</v>
      </c>
      <c r="I575" s="317" t="s">
        <v>163</v>
      </c>
      <c r="J575" s="318"/>
      <c r="K575" s="345">
        <v>0.5</v>
      </c>
      <c r="L575" s="429">
        <v>0.375</v>
      </c>
      <c r="M575" s="429">
        <v>0.79166666666666663</v>
      </c>
      <c r="N575" s="429">
        <v>0.75</v>
      </c>
      <c r="O575" s="429">
        <v>0.25</v>
      </c>
      <c r="P575" s="429">
        <v>4.1666666666666664E-2</v>
      </c>
      <c r="Q575" s="321" t="s">
        <v>444</v>
      </c>
      <c r="R575" s="321"/>
      <c r="S575" s="321"/>
      <c r="T575" s="316">
        <f>VLOOKUP(Table2[[#This Row],[Course Title]],'TSD-Data'!$A$1:$E$80,4,FALSE)</f>
        <v>45</v>
      </c>
      <c r="U575" s="316">
        <f>VLOOKUP(Table2[[#This Row],[Course Title]],'TSD-Data'!$A$1:$F$80,6,FALSE)</f>
        <v>24</v>
      </c>
      <c r="V575" s="323">
        <f>VLOOKUP(Table2[[#This Row],[Course Title]],'TSD-Data'!$A$1:$F$80,5,FALSE)</f>
        <v>3</v>
      </c>
      <c r="W575" s="323">
        <v>621</v>
      </c>
      <c r="X575" s="316"/>
      <c r="Y575" s="316"/>
      <c r="Z575" s="323"/>
      <c r="AA575" s="323"/>
      <c r="AB575" s="316"/>
      <c r="AC575" s="316"/>
      <c r="AD575" s="316"/>
      <c r="AE575" s="316"/>
      <c r="AF575" s="323">
        <f ca="1">Table2[[#This Row],[End Date]]+2-TODAY()</f>
        <v>270</v>
      </c>
      <c r="AG575" s="316">
        <f>IF(ISBLANK(Table2[[#This Row],[Roster Received by]]),1,0)</f>
        <v>1</v>
      </c>
      <c r="AH575" s="316">
        <f ca="1">IF(Table2[[#This Row],[Start Date]]&gt;TODAY(),1,)</f>
        <v>1</v>
      </c>
      <c r="AI575" s="316">
        <f>IF(ISBLANK(Table2[[#This Row],[Primary Instructor]]),0,1)</f>
        <v>1</v>
      </c>
      <c r="AJ575" s="316">
        <f>IF(ISBLANK(Table2[[#This Row],[Instructor 2]]),0,1)</f>
        <v>0</v>
      </c>
      <c r="AK575" s="316">
        <f>Table2[[#This Row],[Course Length (Hours)]]/(SUM(Table2[[#This Row],[1]:[2]]))</f>
        <v>24</v>
      </c>
      <c r="AL575" s="124"/>
      <c r="AM575" s="444">
        <v>4</v>
      </c>
      <c r="AN575" s="363" t="str">
        <f>VLOOKUP(Table2[[#This Row],[Course Title]],'TSD-Data'!$A$1:$G$80,7,FALSE)</f>
        <v>N8</v>
      </c>
    </row>
    <row r="576" spans="2:40" s="428" customFormat="1" x14ac:dyDescent="0.25">
      <c r="B576" s="315" t="s">
        <v>514</v>
      </c>
      <c r="C576" s="364" t="s">
        <v>63</v>
      </c>
      <c r="D576" s="316" t="str">
        <f>VLOOKUP(Table2[[#This Row],[Course Title]],'TSD-Data'!$A$1:$E$80,2,FALSE)</f>
        <v>A-493-0013</v>
      </c>
      <c r="E576" s="316">
        <f>VLOOKUP(Table2[[#This Row],[Course Title]],'TSD-Data'!$A$1:$E$80,3,FALSE)</f>
        <v>3683</v>
      </c>
      <c r="F576" s="315" t="s">
        <v>259</v>
      </c>
      <c r="G576" s="317">
        <v>46274</v>
      </c>
      <c r="H576" s="317">
        <v>46276</v>
      </c>
      <c r="I576" s="341" t="s">
        <v>167</v>
      </c>
      <c r="J576" s="318">
        <v>0.33333333333333331</v>
      </c>
      <c r="K576" s="318"/>
      <c r="L576" s="344"/>
      <c r="M576" s="317"/>
      <c r="N576" s="317"/>
      <c r="O576" s="317"/>
      <c r="P576" s="317"/>
      <c r="Q576" s="321" t="s">
        <v>447</v>
      </c>
      <c r="R576" s="321"/>
      <c r="S576" s="321"/>
      <c r="T576" s="316">
        <f>VLOOKUP(Table2[[#This Row],[Course Title]],'TSD-Data'!$A$1:$E$80,4,FALSE)</f>
        <v>40</v>
      </c>
      <c r="U576" s="316">
        <f>VLOOKUP(Table2[[#This Row],[Course Title]],'TSD-Data'!$A$1:$F$80,6,FALSE)</f>
        <v>24</v>
      </c>
      <c r="V576" s="323">
        <f>VLOOKUP(Table2[[#This Row],[Course Title]],'TSD-Data'!$A$1:$F$80,5,FALSE)</f>
        <v>3</v>
      </c>
      <c r="W576" s="323">
        <v>10</v>
      </c>
      <c r="X576" s="316"/>
      <c r="Y576" s="316"/>
      <c r="Z576" s="323"/>
      <c r="AA576" s="323"/>
      <c r="AB576" s="363"/>
      <c r="AC576" s="363"/>
      <c r="AD576" s="316"/>
      <c r="AE576" s="316"/>
      <c r="AF576" s="323">
        <f ca="1">Table2[[#This Row],[End Date]]+2-TODAY()</f>
        <v>271</v>
      </c>
      <c r="AG576" s="316">
        <f>IF(ISBLANK(Table2[[#This Row],[Roster Received by]]),1,0)</f>
        <v>1</v>
      </c>
      <c r="AH576" s="316">
        <f ca="1">IF(Table2[[#This Row],[Start Date]]&gt;TODAY(),1,)</f>
        <v>1</v>
      </c>
      <c r="AI576" s="316">
        <f>IF(ISBLANK(Table2[[#This Row],[Primary Instructor]]),0,1)</f>
        <v>1</v>
      </c>
      <c r="AJ576" s="316">
        <f>IF(ISBLANK(Table2[[#This Row],[Instructor 2]]),0,1)</f>
        <v>0</v>
      </c>
      <c r="AK576" s="316">
        <f>Table2[[#This Row],[Course Length (Hours)]]/(SUM(Table2[[#This Row],[1]:[2]]))</f>
        <v>24</v>
      </c>
      <c r="AL576" s="638"/>
      <c r="AM576" s="444">
        <v>4</v>
      </c>
      <c r="AN576" s="363" t="str">
        <f>VLOOKUP(Table2[[#This Row],[Course Title]],'TSD-Data'!$A$1:$G$80,7,FALSE)</f>
        <v>N4</v>
      </c>
    </row>
    <row r="577" spans="2:40" s="428" customFormat="1" x14ac:dyDescent="0.25">
      <c r="B577" s="315"/>
      <c r="C577" s="364" t="s">
        <v>77</v>
      </c>
      <c r="D577" s="316" t="str">
        <f>VLOOKUP(Table2[[#This Row],[Course Title]],'TSD-Data'!$A$1:$E$80,2,FALSE)</f>
        <v>A-493-0077</v>
      </c>
      <c r="E577" s="316" t="str">
        <f>VLOOKUP(Table2[[#This Row],[Course Title]],'TSD-Data'!$A$1:$E$80,3,FALSE)</f>
        <v>0381</v>
      </c>
      <c r="F577" s="315" t="s">
        <v>303</v>
      </c>
      <c r="G577" s="317">
        <v>46274</v>
      </c>
      <c r="H577" s="317">
        <v>46276</v>
      </c>
      <c r="I577" s="341" t="s">
        <v>167</v>
      </c>
      <c r="J577" s="318">
        <v>0.33333333333333331</v>
      </c>
      <c r="K577" s="318"/>
      <c r="L577" s="317"/>
      <c r="M577" s="317"/>
      <c r="N577" s="317"/>
      <c r="O577" s="317"/>
      <c r="P577" s="317"/>
      <c r="Q577" s="321" t="s">
        <v>168</v>
      </c>
      <c r="R577" s="321"/>
      <c r="S577" s="321"/>
      <c r="T577" s="316">
        <f>VLOOKUP(Table2[[#This Row],[Course Title]],'TSD-Data'!$A$1:$E$80,4,FALSE)</f>
        <v>25</v>
      </c>
      <c r="U577" s="316">
        <f>VLOOKUP(Table2[[#This Row],[Course Title]],'TSD-Data'!$A$1:$F$80,6,FALSE)</f>
        <v>24</v>
      </c>
      <c r="V577" s="323">
        <f>VLOOKUP(Table2[[#This Row],[Course Title]],'TSD-Data'!$A$1:$F$80,5,FALSE)</f>
        <v>3</v>
      </c>
      <c r="W577" s="323">
        <v>10</v>
      </c>
      <c r="X577" s="316"/>
      <c r="Y577" s="316"/>
      <c r="Z577" s="323"/>
      <c r="AA577" s="323"/>
      <c r="AB577" s="363"/>
      <c r="AC577" s="363"/>
      <c r="AD577" s="316"/>
      <c r="AE577" s="316"/>
      <c r="AF577" s="323">
        <f ca="1">Table2[[#This Row],[End Date]]+2-TODAY()</f>
        <v>271</v>
      </c>
      <c r="AG577" s="316">
        <f>IF(ISBLANK(Table2[[#This Row],[Roster Received by]]),1,0)</f>
        <v>1</v>
      </c>
      <c r="AH577" s="316">
        <f ca="1">IF(Table2[[#This Row],[Start Date]]&gt;TODAY(),1,)</f>
        <v>1</v>
      </c>
      <c r="AI577" s="316">
        <f>IF(ISBLANK(Table2[[#This Row],[Primary Instructor]]),0,1)</f>
        <v>1</v>
      </c>
      <c r="AJ577" s="316">
        <f>IF(ISBLANK(Table2[[#This Row],[Instructor 2]]),0,1)</f>
        <v>0</v>
      </c>
      <c r="AK577" s="316">
        <f>Table2[[#This Row],[Course Length (Hours)]]/(SUM(Table2[[#This Row],[1]:[2]]))</f>
        <v>24</v>
      </c>
      <c r="AL577" s="638"/>
      <c r="AM577" s="444">
        <v>4</v>
      </c>
      <c r="AN577" s="363" t="str">
        <f>VLOOKUP(Table2[[#This Row],[Course Title]],'TSD-Data'!$A$1:$G$80,7,FALSE)</f>
        <v>N4</v>
      </c>
    </row>
    <row r="578" spans="2:40" s="428" customFormat="1" x14ac:dyDescent="0.25">
      <c r="B578" s="315"/>
      <c r="C578" s="442" t="s">
        <v>92</v>
      </c>
      <c r="D578" s="316" t="str">
        <f>VLOOKUP(Table2[[#This Row],[Course Title]],'TSD-Data'!$A$1:$E$80,2,FALSE)</f>
        <v>A-493-0092</v>
      </c>
      <c r="E578" s="316">
        <f>VLOOKUP(Table2[[#This Row],[Course Title]],'TSD-Data'!$A$1:$E$80,3,FALSE)</f>
        <v>5891</v>
      </c>
      <c r="F578" s="315" t="s">
        <v>263</v>
      </c>
      <c r="G578" s="317">
        <v>46274</v>
      </c>
      <c r="H578" s="317">
        <v>46276</v>
      </c>
      <c r="I578" s="317" t="s">
        <v>163</v>
      </c>
      <c r="J578" s="318">
        <v>0.33333333333333331</v>
      </c>
      <c r="K578" s="318"/>
      <c r="L578" s="344"/>
      <c r="M578" s="317"/>
      <c r="N578" s="317"/>
      <c r="O578" s="317"/>
      <c r="P578" s="317"/>
      <c r="Q578" s="321" t="s">
        <v>445</v>
      </c>
      <c r="R578" s="321"/>
      <c r="S578" s="321" t="s">
        <v>172</v>
      </c>
      <c r="T578" s="316">
        <f>VLOOKUP(Table2[[#This Row],[Course Title]],'TSD-Data'!$A$1:$E$80,4,FALSE)</f>
        <v>25</v>
      </c>
      <c r="U578" s="316">
        <f>VLOOKUP(Table2[[#This Row],[Course Title]],'TSD-Data'!$A$1:$F$80,6,FALSE)</f>
        <v>24</v>
      </c>
      <c r="V578" s="323">
        <f>VLOOKUP(Table2[[#This Row],[Course Title]],'TSD-Data'!$A$1:$F$80,5,FALSE)</f>
        <v>3</v>
      </c>
      <c r="W578" s="323">
        <v>63</v>
      </c>
      <c r="X578" s="316"/>
      <c r="Y578" s="316"/>
      <c r="Z578" s="323"/>
      <c r="AA578" s="323"/>
      <c r="AB578" s="316"/>
      <c r="AC578" s="316"/>
      <c r="AD578" s="316"/>
      <c r="AE578" s="316"/>
      <c r="AF578" s="323">
        <f ca="1">Table2[[#This Row],[End Date]]+2-TODAY()</f>
        <v>271</v>
      </c>
      <c r="AG578" s="316">
        <f>IF(ISBLANK(Table2[[#This Row],[Roster Received by]]),1,0)</f>
        <v>1</v>
      </c>
      <c r="AH578" s="316">
        <f ca="1">IF(Table2[[#This Row],[Start Date]]&gt;TODAY(),1,)</f>
        <v>1</v>
      </c>
      <c r="AI578" s="316">
        <f>IF(ISBLANK(Table2[[#This Row],[Primary Instructor]]),0,1)</f>
        <v>1</v>
      </c>
      <c r="AJ578" s="316">
        <f>IF(ISBLANK(Table2[[#This Row],[Instructor 2]]),0,1)</f>
        <v>0</v>
      </c>
      <c r="AK578" s="316">
        <f>Table2[[#This Row],[Course Length (Hours)]]/(SUM(Table2[[#This Row],[1]:[2]]))</f>
        <v>24</v>
      </c>
      <c r="AL578" s="124"/>
      <c r="AM578" s="444">
        <v>4</v>
      </c>
      <c r="AN578" s="363" t="str">
        <f>VLOOKUP(Table2[[#This Row],[Course Title]],'TSD-Data'!$A$1:$G$80,7,FALSE)</f>
        <v>N3</v>
      </c>
    </row>
    <row r="579" spans="2:40" s="428" customFormat="1" x14ac:dyDescent="0.25">
      <c r="B579" s="315"/>
      <c r="C579" s="364" t="s">
        <v>48</v>
      </c>
      <c r="D579" s="316" t="str">
        <f>VLOOKUP(Table2[[#This Row],[Course Title]],'TSD-Data'!$A$1:$E$80,2,FALSE)</f>
        <v>A-493-0103</v>
      </c>
      <c r="E579" s="316" t="str">
        <f>VLOOKUP(Table2[[#This Row],[Course Title]],'TSD-Data'!$A$1:$E$80,3,FALSE)</f>
        <v>12JY</v>
      </c>
      <c r="F579" s="364" t="s">
        <v>170</v>
      </c>
      <c r="G579" s="344">
        <v>46279</v>
      </c>
      <c r="H579" s="344">
        <v>46283</v>
      </c>
      <c r="I579" s="317" t="s">
        <v>163</v>
      </c>
      <c r="J579" s="318">
        <v>0.33333333333333331</v>
      </c>
      <c r="K579" s="345"/>
      <c r="L579" s="344"/>
      <c r="M579" s="344"/>
      <c r="N579" s="344"/>
      <c r="O579" s="344"/>
      <c r="P579" s="344"/>
      <c r="Q579" s="321" t="s">
        <v>275</v>
      </c>
      <c r="R579" s="321"/>
      <c r="S579" s="321"/>
      <c r="T579" s="316">
        <f>VLOOKUP(Table2[[#This Row],[Course Title]],'TSD-Data'!$A$1:$E$80,4,FALSE)</f>
        <v>25</v>
      </c>
      <c r="U579" s="316">
        <f>VLOOKUP(Table2[[#This Row],[Course Title]],'TSD-Data'!$A$1:$F$80,6,FALSE)</f>
        <v>40</v>
      </c>
      <c r="V579" s="323">
        <f>VLOOKUP(Table2[[#This Row],[Course Title]],'TSD-Data'!$A$1:$F$80,5,FALSE)</f>
        <v>5</v>
      </c>
      <c r="W579" s="323">
        <v>107</v>
      </c>
      <c r="X579" s="316"/>
      <c r="Y579" s="316"/>
      <c r="Z579" s="323"/>
      <c r="AA579" s="323"/>
      <c r="AB579" s="316"/>
      <c r="AC579" s="316"/>
      <c r="AD579" s="316"/>
      <c r="AE579" s="316"/>
      <c r="AF579" s="323">
        <f ca="1">Table2[[#This Row],[End Date]]+2-TODAY()</f>
        <v>278</v>
      </c>
      <c r="AG579" s="316">
        <f>IF(ISBLANK(Table2[[#This Row],[Roster Received by]]),1,0)</f>
        <v>1</v>
      </c>
      <c r="AH579" s="316">
        <f ca="1">IF(Table2[[#This Row],[Start Date]]&gt;TODAY(),1,)</f>
        <v>1</v>
      </c>
      <c r="AI579" s="316">
        <f>IF(ISBLANK(Table2[[#This Row],[Primary Instructor]]),0,1)</f>
        <v>1</v>
      </c>
      <c r="AJ579" s="316">
        <f>IF(ISBLANK(Table2[[#This Row],[Instructor 2]]),0,1)</f>
        <v>0</v>
      </c>
      <c r="AK579" s="316">
        <f>Table2[[#This Row],[Course Length (Hours)]]/(SUM(Table2[[#This Row],[1]:[2]]))</f>
        <v>40</v>
      </c>
      <c r="AL579" s="124"/>
      <c r="AM579" s="444">
        <v>4</v>
      </c>
      <c r="AN579" s="363" t="str">
        <f>VLOOKUP(Table2[[#This Row],[Course Title]],'TSD-Data'!$A$1:$G$80,7,FALSE)</f>
        <v>N5</v>
      </c>
    </row>
    <row r="580" spans="2:40" s="428" customFormat="1" x14ac:dyDescent="0.25">
      <c r="B580" s="315"/>
      <c r="C580" s="364" t="s">
        <v>48</v>
      </c>
      <c r="D580" s="316" t="str">
        <f>VLOOKUP(Table2[[#This Row],[Course Title]],'TSD-Data'!$A$1:$E$80,2,FALSE)</f>
        <v>A-493-0103</v>
      </c>
      <c r="E580" s="316" t="str">
        <f>VLOOKUP(Table2[[#This Row],[Course Title]],'TSD-Data'!$A$1:$E$80,3,FALSE)</f>
        <v>12JY</v>
      </c>
      <c r="F580" s="364" t="s">
        <v>229</v>
      </c>
      <c r="G580" s="344">
        <v>46279</v>
      </c>
      <c r="H580" s="344">
        <v>46283</v>
      </c>
      <c r="I580" s="317" t="s">
        <v>163</v>
      </c>
      <c r="J580" s="318">
        <v>0.33333333333333331</v>
      </c>
      <c r="K580" s="345"/>
      <c r="L580" s="344"/>
      <c r="M580" s="344"/>
      <c r="N580" s="344"/>
      <c r="O580" s="344"/>
      <c r="P580" s="344"/>
      <c r="Q580" s="321" t="s">
        <v>275</v>
      </c>
      <c r="R580" s="321"/>
      <c r="S580" s="321"/>
      <c r="T580" s="316">
        <f>VLOOKUP(Table2[[#This Row],[Course Title]],'TSD-Data'!$A$1:$E$80,4,FALSE)</f>
        <v>25</v>
      </c>
      <c r="U580" s="316">
        <f>VLOOKUP(Table2[[#This Row],[Course Title]],'TSD-Data'!$A$1:$F$80,6,FALSE)</f>
        <v>40</v>
      </c>
      <c r="V580" s="323">
        <f>VLOOKUP(Table2[[#This Row],[Course Title]],'TSD-Data'!$A$1:$F$80,5,FALSE)</f>
        <v>5</v>
      </c>
      <c r="W580" s="323">
        <v>512</v>
      </c>
      <c r="X580" s="316"/>
      <c r="Y580" s="316"/>
      <c r="Z580" s="323"/>
      <c r="AA580" s="323"/>
      <c r="AB580" s="316"/>
      <c r="AC580" s="316"/>
      <c r="AD580" s="316"/>
      <c r="AE580" s="316"/>
      <c r="AF580" s="323">
        <f ca="1">Table2[[#This Row],[End Date]]+2-TODAY()</f>
        <v>278</v>
      </c>
      <c r="AG580" s="316">
        <f>IF(ISBLANK(Table2[[#This Row],[Roster Received by]]),1,0)</f>
        <v>1</v>
      </c>
      <c r="AH580" s="316">
        <f ca="1">IF(Table2[[#This Row],[Start Date]]&gt;TODAY(),1,)</f>
        <v>1</v>
      </c>
      <c r="AI580" s="316">
        <f>IF(ISBLANK(Table2[[#This Row],[Primary Instructor]]),0,1)</f>
        <v>1</v>
      </c>
      <c r="AJ580" s="316">
        <f>IF(ISBLANK(Table2[[#This Row],[Instructor 2]]),0,1)</f>
        <v>0</v>
      </c>
      <c r="AK580" s="316">
        <f>Table2[[#This Row],[Course Length (Hours)]]/(SUM(Table2[[#This Row],[1]:[2]]))</f>
        <v>40</v>
      </c>
      <c r="AL580" s="124"/>
      <c r="AM580" s="444">
        <v>4</v>
      </c>
      <c r="AN580" s="363" t="str">
        <f>VLOOKUP(Table2[[#This Row],[Course Title]],'TSD-Data'!$A$1:$G$80,7,FALSE)</f>
        <v>N5</v>
      </c>
    </row>
    <row r="581" spans="2:40" s="428" customFormat="1" x14ac:dyDescent="0.25">
      <c r="B581" s="315"/>
      <c r="C581" s="315" t="s">
        <v>100</v>
      </c>
      <c r="D581" s="316" t="str">
        <f>VLOOKUP(Table2[[#This Row],[Course Title]],'TSD-Data'!$A$1:$E$80,2,FALSE)</f>
        <v>A-493-0550</v>
      </c>
      <c r="E581" s="316" t="str">
        <f>VLOOKUP(Table2[[#This Row],[Course Title]],'TSD-Data'!$A$1:$E$80,3,FALSE)</f>
        <v>09K5</v>
      </c>
      <c r="F581" s="364" t="s">
        <v>25</v>
      </c>
      <c r="G581" s="344">
        <v>46279</v>
      </c>
      <c r="H581" s="344">
        <v>46282</v>
      </c>
      <c r="I581" s="317" t="s">
        <v>163</v>
      </c>
      <c r="J581" s="318"/>
      <c r="K581" s="345">
        <v>0.5</v>
      </c>
      <c r="L581" s="429">
        <v>0.375</v>
      </c>
      <c r="M581" s="429">
        <v>0.79166666666666663</v>
      </c>
      <c r="N581" s="429">
        <v>0.75</v>
      </c>
      <c r="O581" s="429">
        <v>0.25</v>
      </c>
      <c r="P581" s="429">
        <v>4.1666666666666664E-2</v>
      </c>
      <c r="Q581" s="321" t="s">
        <v>426</v>
      </c>
      <c r="R581" s="321"/>
      <c r="S581" s="321"/>
      <c r="T581" s="316">
        <f>VLOOKUP(Table2[[#This Row],[Course Title]],'TSD-Data'!$A$1:$E$80,4,FALSE)</f>
        <v>45</v>
      </c>
      <c r="U581" s="316">
        <f>VLOOKUP(Table2[[#This Row],[Course Title]],'TSD-Data'!$A$1:$F$80,6,FALSE)</f>
        <v>32</v>
      </c>
      <c r="V581" s="323">
        <f>VLOOKUP(Table2[[#This Row],[Course Title]],'TSD-Data'!$A$1:$F$80,5,FALSE)</f>
        <v>4</v>
      </c>
      <c r="W581" s="323">
        <v>864</v>
      </c>
      <c r="X581" s="316"/>
      <c r="Y581" s="316"/>
      <c r="Z581" s="323"/>
      <c r="AA581" s="323"/>
      <c r="AB581" s="316"/>
      <c r="AC581" s="316"/>
      <c r="AD581" s="316"/>
      <c r="AE581" s="316"/>
      <c r="AF581" s="323">
        <f ca="1">Table2[[#This Row],[End Date]]+2-TODAY()</f>
        <v>277</v>
      </c>
      <c r="AG581" s="316">
        <f>IF(ISBLANK(Table2[[#This Row],[Roster Received by]]),1,0)</f>
        <v>1</v>
      </c>
      <c r="AH581" s="316">
        <f ca="1">IF(Table2[[#This Row],[Start Date]]&gt;TODAY(),1,)</f>
        <v>1</v>
      </c>
      <c r="AI581" s="316">
        <f>IF(ISBLANK(Table2[[#This Row],[Primary Instructor]]),0,1)</f>
        <v>1</v>
      </c>
      <c r="AJ581" s="316">
        <f>IF(ISBLANK(Table2[[#This Row],[Instructor 2]]),0,1)</f>
        <v>0</v>
      </c>
      <c r="AK581" s="316">
        <f>Table2[[#This Row],[Course Length (Hours)]]/(SUM(Table2[[#This Row],[1]:[2]]))</f>
        <v>32</v>
      </c>
      <c r="AL581" s="124"/>
      <c r="AM581" s="444">
        <v>4</v>
      </c>
      <c r="AN581" s="363" t="str">
        <f>VLOOKUP(Table2[[#This Row],[Course Title]],'TSD-Data'!$A$1:$G$80,7,FALSE)</f>
        <v>N5</v>
      </c>
    </row>
    <row r="582" spans="2:40" s="428" customFormat="1" x14ac:dyDescent="0.25">
      <c r="B582" s="315"/>
      <c r="C582" s="364" t="s">
        <v>23</v>
      </c>
      <c r="D582" s="316" t="str">
        <f>VLOOKUP(Table2[[#This Row],[Course Title]],'TSD-Data'!$A$1:$E$80,2,FALSE)</f>
        <v>A-4J-0022</v>
      </c>
      <c r="E582" s="316" t="str">
        <f>VLOOKUP(Table2[[#This Row],[Course Title]],'TSD-Data'!$A$1:$E$80,3,FALSE)</f>
        <v>09ER</v>
      </c>
      <c r="F582" s="364" t="s">
        <v>25</v>
      </c>
      <c r="G582" s="344">
        <v>46279</v>
      </c>
      <c r="H582" s="344">
        <v>46283</v>
      </c>
      <c r="I582" s="317" t="s">
        <v>163</v>
      </c>
      <c r="J582" s="318"/>
      <c r="K582" s="429">
        <v>0.79166666666666663</v>
      </c>
      <c r="L582" s="429">
        <v>0.66666666666666663</v>
      </c>
      <c r="M582" s="429">
        <v>8.3333333333333329E-2</v>
      </c>
      <c r="N582" s="429">
        <v>0</v>
      </c>
      <c r="O582" s="429">
        <v>0.54166666666666663</v>
      </c>
      <c r="P582" s="429">
        <v>0.33333333333333331</v>
      </c>
      <c r="Q582" s="321" t="s">
        <v>436</v>
      </c>
      <c r="R582" s="321"/>
      <c r="S582" s="321"/>
      <c r="T582" s="316">
        <f>VLOOKUP(Table2[[#This Row],[Course Title]],'TSD-Data'!$A$1:$E$80,4,FALSE)</f>
        <v>45</v>
      </c>
      <c r="U582" s="316">
        <f>VLOOKUP(Table2[[#This Row],[Course Title]],'TSD-Data'!$A$1:$F$80,6,FALSE)</f>
        <v>16</v>
      </c>
      <c r="V582" s="323">
        <f>VLOOKUP(Table2[[#This Row],[Course Title]],'TSD-Data'!$A$1:$F$80,5,FALSE)</f>
        <v>2</v>
      </c>
      <c r="W582" s="323">
        <v>63</v>
      </c>
      <c r="X582" s="316"/>
      <c r="Y582" s="316"/>
      <c r="Z582" s="323"/>
      <c r="AA582" s="323"/>
      <c r="AB582" s="316"/>
      <c r="AC582" s="316"/>
      <c r="AD582" s="316"/>
      <c r="AE582" s="316"/>
      <c r="AF582" s="323">
        <f ca="1">Table2[[#This Row],[End Date]]+2-TODAY()</f>
        <v>278</v>
      </c>
      <c r="AG582" s="316">
        <f>IF(ISBLANK(Table2[[#This Row],[Roster Received by]]),1,0)</f>
        <v>1</v>
      </c>
      <c r="AH582" s="316">
        <f ca="1">IF(Table2[[#This Row],[Start Date]]&gt;TODAY(),1,)</f>
        <v>1</v>
      </c>
      <c r="AI582" s="316">
        <f>IF(ISBLANK(Table2[[#This Row],[Primary Instructor]]),0,1)</f>
        <v>1</v>
      </c>
      <c r="AJ582" s="316">
        <f>IF(ISBLANK(Table2[[#This Row],[Instructor 2]]),0,1)</f>
        <v>0</v>
      </c>
      <c r="AK582" s="316">
        <f>Table2[[#This Row],[Course Length (Hours)]]/(SUM(Table2[[#This Row],[1]:[2]]))</f>
        <v>16</v>
      </c>
      <c r="AL582" s="124"/>
      <c r="AM582" s="444">
        <v>4</v>
      </c>
      <c r="AN582" s="363" t="str">
        <f>VLOOKUP(Table2[[#This Row],[Course Title]],'TSD-Data'!$A$1:$G$80,7,FALSE)</f>
        <v>N4</v>
      </c>
    </row>
    <row r="583" spans="2:40" s="428" customFormat="1" x14ac:dyDescent="0.25">
      <c r="B583" s="315"/>
      <c r="C583" s="364" t="s">
        <v>55</v>
      </c>
      <c r="D583" s="316" t="str">
        <f>VLOOKUP(Table2[[#This Row],[Course Title]],'TSD-Data'!$A$1:$E$80,2,FALSE)</f>
        <v>A-493-0021</v>
      </c>
      <c r="E583" s="316" t="str">
        <f>VLOOKUP(Table2[[#This Row],[Course Title]],'TSD-Data'!$A$1:$E$80,3,FALSE)</f>
        <v>18BN</v>
      </c>
      <c r="F583" s="315" t="s">
        <v>173</v>
      </c>
      <c r="G583" s="317">
        <v>46279</v>
      </c>
      <c r="H583" s="317">
        <v>46283</v>
      </c>
      <c r="I583" s="317" t="s">
        <v>163</v>
      </c>
      <c r="J583" s="318">
        <v>0.33333333333333331</v>
      </c>
      <c r="K583" s="345"/>
      <c r="L583" s="344"/>
      <c r="M583" s="344"/>
      <c r="N583" s="344"/>
      <c r="O583" s="344"/>
      <c r="P583" s="344"/>
      <c r="Q583" s="321" t="s">
        <v>275</v>
      </c>
      <c r="R583" s="321"/>
      <c r="S583" s="321"/>
      <c r="T583" s="316">
        <f>VLOOKUP(Table2[[#This Row],[Course Title]],'TSD-Data'!$A$1:$E$80,4,FALSE)</f>
        <v>35</v>
      </c>
      <c r="U583" s="316">
        <f>VLOOKUP(Table2[[#This Row],[Course Title]],'TSD-Data'!$A$1:$F$80,6,FALSE)</f>
        <v>30</v>
      </c>
      <c r="V583" s="323">
        <f>VLOOKUP(Table2[[#This Row],[Course Title]],'TSD-Data'!$A$1:$F$80,5,FALSE)</f>
        <v>5</v>
      </c>
      <c r="W583" s="323">
        <v>33</v>
      </c>
      <c r="X583" s="316"/>
      <c r="Y583" s="316"/>
      <c r="Z583" s="323"/>
      <c r="AA583" s="323"/>
      <c r="AB583" s="316"/>
      <c r="AC583" s="316"/>
      <c r="AD583" s="316"/>
      <c r="AE583" s="316"/>
      <c r="AF583" s="323">
        <f ca="1">Table2[[#This Row],[End Date]]+2-TODAY()</f>
        <v>278</v>
      </c>
      <c r="AG583" s="316">
        <f>IF(ISBLANK(Table2[[#This Row],[Roster Received by]]),1,0)</f>
        <v>1</v>
      </c>
      <c r="AH583" s="316">
        <f ca="1">IF(Table2[[#This Row],[Start Date]]&gt;TODAY(),1,)</f>
        <v>1</v>
      </c>
      <c r="AI583" s="316">
        <f>IF(ISBLANK(Table2[[#This Row],[Primary Instructor]]),0,1)</f>
        <v>1</v>
      </c>
      <c r="AJ583" s="316">
        <f>IF(ISBLANK(Table2[[#This Row],[Instructor 2]]),0,1)</f>
        <v>0</v>
      </c>
      <c r="AK583" s="316">
        <f>Table2[[#This Row],[Course Length (Hours)]]/(SUM(Table2[[#This Row],[1]:[2]]))</f>
        <v>30</v>
      </c>
      <c r="AL583" s="124"/>
      <c r="AM583" s="444">
        <v>4</v>
      </c>
      <c r="AN583" s="363" t="str">
        <f>VLOOKUP(Table2[[#This Row],[Course Title]],'TSD-Data'!$A$1:$G$80,7,FALSE)</f>
        <v>N5</v>
      </c>
    </row>
    <row r="584" spans="2:40" s="428" customFormat="1" x14ac:dyDescent="0.25">
      <c r="B584" s="437"/>
      <c r="C584" s="343" t="s">
        <v>61</v>
      </c>
      <c r="D584" s="316" t="str">
        <f>VLOOKUP(Table2[[#This Row],[Course Title]],'TSD-Data'!$A$1:$E$80,2,FALSE)</f>
        <v>A-493-0012</v>
      </c>
      <c r="E584" s="316">
        <f>VLOOKUP(Table2[[#This Row],[Course Title]],'TSD-Data'!$A$1:$E$80,3,FALSE)</f>
        <v>3682</v>
      </c>
      <c r="F584" s="343" t="s">
        <v>287</v>
      </c>
      <c r="G584" s="416">
        <v>46279</v>
      </c>
      <c r="H584" s="416">
        <v>46283</v>
      </c>
      <c r="I584" s="341" t="s">
        <v>167</v>
      </c>
      <c r="J584" s="318">
        <v>0.33333333333333331</v>
      </c>
      <c r="K584" s="345"/>
      <c r="L584" s="344"/>
      <c r="M584" s="344"/>
      <c r="N584" s="344"/>
      <c r="O584" s="344"/>
      <c r="P584" s="344"/>
      <c r="Q584" s="321" t="s">
        <v>438</v>
      </c>
      <c r="R584" s="321"/>
      <c r="S584" s="321"/>
      <c r="T584" s="316">
        <f>VLOOKUP(Table2[[#This Row],[Course Title]],'TSD-Data'!$A$1:$E$80,4,FALSE)</f>
        <v>40</v>
      </c>
      <c r="U584" s="316">
        <f>VLOOKUP(Table2[[#This Row],[Course Title]],'TSD-Data'!$A$1:$F$80,6,FALSE)</f>
        <v>40</v>
      </c>
      <c r="V584" s="323">
        <f>VLOOKUP(Table2[[#This Row],[Course Title]],'TSD-Data'!$A$1:$F$80,5,FALSE)</f>
        <v>5</v>
      </c>
      <c r="W584" s="316">
        <v>30</v>
      </c>
      <c r="X584" s="316"/>
      <c r="Y584" s="316"/>
      <c r="Z584" s="323"/>
      <c r="AA584" s="323"/>
      <c r="AB584" s="316"/>
      <c r="AC584" s="316"/>
      <c r="AD584" s="316"/>
      <c r="AE584" s="316"/>
      <c r="AF584" s="323">
        <f ca="1">Table2[[#This Row],[End Date]]+2-TODAY()</f>
        <v>278</v>
      </c>
      <c r="AG584" s="316">
        <f>IF(ISBLANK(Table2[[#This Row],[Roster Received by]]),1,0)</f>
        <v>1</v>
      </c>
      <c r="AH584" s="316">
        <f ca="1">IF(Table2[[#This Row],[Start Date]]&gt;TODAY(),1,)</f>
        <v>1</v>
      </c>
      <c r="AI584" s="316">
        <f>IF(ISBLANK(Table2[[#This Row],[Primary Instructor]]),0,1)</f>
        <v>1</v>
      </c>
      <c r="AJ584" s="316">
        <f>IF(ISBLANK(Table2[[#This Row],[Instructor 2]]),0,1)</f>
        <v>0</v>
      </c>
      <c r="AK584" s="316">
        <f>Table2[[#This Row],[Course Length (Hours)]]/(SUM(Table2[[#This Row],[1]:[2]]))</f>
        <v>40</v>
      </c>
      <c r="AL584" s="124"/>
      <c r="AM584" s="444">
        <v>4</v>
      </c>
      <c r="AN584" s="363" t="str">
        <f>VLOOKUP(Table2[[#This Row],[Course Title]],'TSD-Data'!$A$1:$G$80,7,FALSE)</f>
        <v>N4</v>
      </c>
    </row>
    <row r="585" spans="2:40" s="428" customFormat="1" x14ac:dyDescent="0.25">
      <c r="B585" s="438" t="s">
        <v>515</v>
      </c>
      <c r="C585" s="343" t="s">
        <v>61</v>
      </c>
      <c r="D585" s="316" t="str">
        <f>VLOOKUP(Table2[[#This Row],[Course Title]],'TSD-Data'!$A$1:$E$80,2,FALSE)</f>
        <v>A-493-0012</v>
      </c>
      <c r="E585" s="316">
        <f>VLOOKUP(Table2[[#This Row],[Course Title]],'TSD-Data'!$A$1:$E$80,3,FALSE)</f>
        <v>3682</v>
      </c>
      <c r="F585" s="712" t="s">
        <v>257</v>
      </c>
      <c r="G585" s="713">
        <v>46279</v>
      </c>
      <c r="H585" s="713">
        <v>46283</v>
      </c>
      <c r="I585" s="341" t="s">
        <v>167</v>
      </c>
      <c r="J585" s="318">
        <v>0.33333333333333331</v>
      </c>
      <c r="K585" s="318"/>
      <c r="L585" s="317"/>
      <c r="M585" s="317"/>
      <c r="N585" s="317"/>
      <c r="O585" s="317"/>
      <c r="P585" s="317"/>
      <c r="Q585" s="321" t="s">
        <v>453</v>
      </c>
      <c r="R585" s="321"/>
      <c r="S585" s="321"/>
      <c r="T585" s="316">
        <f>VLOOKUP(Table2[[#This Row],[Course Title]],'TSD-Data'!$A$1:$E$80,4,FALSE)</f>
        <v>40</v>
      </c>
      <c r="U585" s="316">
        <f>VLOOKUP(Table2[[#This Row],[Course Title]],'TSD-Data'!$A$1:$F$80,6,FALSE)</f>
        <v>40</v>
      </c>
      <c r="V585" s="323">
        <f>VLOOKUP(Table2[[#This Row],[Course Title]],'TSD-Data'!$A$1:$F$80,5,FALSE)</f>
        <v>5</v>
      </c>
      <c r="W585" s="316">
        <v>45</v>
      </c>
      <c r="X585" s="316"/>
      <c r="Y585" s="316"/>
      <c r="Z585" s="323"/>
      <c r="AA585" s="323"/>
      <c r="AB585" s="316"/>
      <c r="AC585" s="316"/>
      <c r="AD585" s="316"/>
      <c r="AE585" s="316"/>
      <c r="AF585" s="323">
        <f ca="1">Table2[[#This Row],[End Date]]+2-TODAY()</f>
        <v>278</v>
      </c>
      <c r="AG585" s="316">
        <f>IF(ISBLANK(Table2[[#This Row],[Roster Received by]]),1,0)</f>
        <v>1</v>
      </c>
      <c r="AH585" s="316">
        <f ca="1">IF(Table2[[#This Row],[Start Date]]&gt;TODAY(),1,)</f>
        <v>1</v>
      </c>
      <c r="AI585" s="316">
        <f>IF(ISBLANK(Table2[[#This Row],[Primary Instructor]]),0,1)</f>
        <v>1</v>
      </c>
      <c r="AJ585" s="316">
        <f>IF(ISBLANK(Table2[[#This Row],[Instructor 2]]),0,1)</f>
        <v>0</v>
      </c>
      <c r="AK585" s="316">
        <f>Table2[[#This Row],[Course Length (Hours)]]/(SUM(Table2[[#This Row],[1]:[2]]))</f>
        <v>40</v>
      </c>
      <c r="AL585" s="124"/>
      <c r="AM585" s="444">
        <v>4</v>
      </c>
      <c r="AN585" s="363" t="str">
        <f>VLOOKUP(Table2[[#This Row],[Course Title]],'TSD-Data'!$A$1:$G$80,7,FALSE)</f>
        <v>N4</v>
      </c>
    </row>
    <row r="586" spans="2:40" s="428" customFormat="1" x14ac:dyDescent="0.25">
      <c r="B586" s="315"/>
      <c r="C586" s="364" t="s">
        <v>71</v>
      </c>
      <c r="D586" s="316" t="str">
        <f>VLOOKUP(Table2[[#This Row],[Course Title]],'TSD-Data'!$A$1:$E$80,2,FALSE)</f>
        <v>A-493-0061</v>
      </c>
      <c r="E586" s="316" t="str">
        <f>VLOOKUP(Table2[[#This Row],[Course Title]],'TSD-Data'!$A$1:$E$80,3,FALSE)</f>
        <v>288E</v>
      </c>
      <c r="F586" s="364" t="s">
        <v>25</v>
      </c>
      <c r="G586" s="344">
        <v>46279</v>
      </c>
      <c r="H586" s="344">
        <v>46282</v>
      </c>
      <c r="I586" s="317" t="s">
        <v>163</v>
      </c>
      <c r="J586" s="318"/>
      <c r="K586" s="318">
        <v>0.33333333333333331</v>
      </c>
      <c r="L586" s="318">
        <v>0.20833333333333334</v>
      </c>
      <c r="M586" s="318">
        <v>0.625</v>
      </c>
      <c r="N586" s="318">
        <v>0.54166666666666663</v>
      </c>
      <c r="O586" s="318">
        <v>8.3333333333333329E-2</v>
      </c>
      <c r="P586" s="318">
        <v>0.875</v>
      </c>
      <c r="Q586" s="321" t="s">
        <v>272</v>
      </c>
      <c r="R586" s="321"/>
      <c r="S586" s="321"/>
      <c r="T586" s="316">
        <f>VLOOKUP(Table2[[#This Row],[Course Title]],'TSD-Data'!$A$1:$E$80,4,FALSE)</f>
        <v>45</v>
      </c>
      <c r="U586" s="316">
        <f>VLOOKUP(Table2[[#This Row],[Course Title]],'TSD-Data'!$A$1:$F$80,6,FALSE)</f>
        <v>30</v>
      </c>
      <c r="V586" s="323">
        <f>VLOOKUP(Table2[[#This Row],[Course Title]],'TSD-Data'!$A$1:$F$80,5,FALSE)</f>
        <v>4</v>
      </c>
      <c r="W586" s="323">
        <v>366</v>
      </c>
      <c r="X586" s="316"/>
      <c r="Y586" s="316"/>
      <c r="Z586" s="323"/>
      <c r="AA586" s="323"/>
      <c r="AB586" s="316"/>
      <c r="AC586" s="316"/>
      <c r="AD586" s="316"/>
      <c r="AE586" s="316"/>
      <c r="AF586" s="323">
        <f ca="1">Table2[[#This Row],[End Date]]+2-TODAY()</f>
        <v>277</v>
      </c>
      <c r="AG586" s="316">
        <f>IF(ISBLANK(Table2[[#This Row],[Roster Received by]]),1,0)</f>
        <v>1</v>
      </c>
      <c r="AH586" s="316">
        <f ca="1">IF(Table2[[#This Row],[Start Date]]&gt;TODAY(),1,)</f>
        <v>1</v>
      </c>
      <c r="AI586" s="316">
        <f>IF(ISBLANK(Table2[[#This Row],[Primary Instructor]]),0,1)</f>
        <v>1</v>
      </c>
      <c r="AJ586" s="316">
        <f>IF(ISBLANK(Table2[[#This Row],[Instructor 2]]),0,1)</f>
        <v>0</v>
      </c>
      <c r="AK586" s="316">
        <f>Table2[[#This Row],[Course Length (Hours)]]/(SUM(Table2[[#This Row],[1]:[2]]))</f>
        <v>30</v>
      </c>
      <c r="AL586" s="124"/>
      <c r="AM586" s="444">
        <v>4</v>
      </c>
      <c r="AN586" s="363" t="str">
        <f>VLOOKUP(Table2[[#This Row],[Course Title]],'TSD-Data'!$A$1:$G$80,7,FALSE)</f>
        <v>N5</v>
      </c>
    </row>
    <row r="587" spans="2:40" s="428" customFormat="1" x14ac:dyDescent="0.25">
      <c r="B587" s="315"/>
      <c r="C587" s="315" t="s">
        <v>77</v>
      </c>
      <c r="D587" s="316" t="str">
        <f>VLOOKUP(Table2[[#This Row],[Course Title]],'TSD-Data'!$A$1:$E$80,2,FALSE)</f>
        <v>A-493-0077</v>
      </c>
      <c r="E587" s="316" t="str">
        <f>VLOOKUP(Table2[[#This Row],[Course Title]],'TSD-Data'!$A$1:$E$80,3,FALSE)</f>
        <v>0381</v>
      </c>
      <c r="F587" s="447" t="s">
        <v>279</v>
      </c>
      <c r="G587" s="414">
        <v>46279</v>
      </c>
      <c r="H587" s="414">
        <v>46281</v>
      </c>
      <c r="I587" s="341" t="s">
        <v>167</v>
      </c>
      <c r="J587" s="318">
        <v>0.33333333333333331</v>
      </c>
      <c r="K587" s="318"/>
      <c r="L587" s="344"/>
      <c r="M587" s="344"/>
      <c r="N587" s="344"/>
      <c r="O587" s="344"/>
      <c r="P587" s="344"/>
      <c r="Q587" s="321" t="s">
        <v>168</v>
      </c>
      <c r="R587" s="321"/>
      <c r="S587" s="321"/>
      <c r="T587" s="316">
        <f>VLOOKUP(Table2[[#This Row],[Course Title]],'TSD-Data'!$A$1:$E$80,4,FALSE)</f>
        <v>25</v>
      </c>
      <c r="U587" s="316">
        <f>VLOOKUP(Table2[[#This Row],[Course Title]],'TSD-Data'!$A$1:$F$80,6,FALSE)</f>
        <v>24</v>
      </c>
      <c r="V587" s="323">
        <f>VLOOKUP(Table2[[#This Row],[Course Title]],'TSD-Data'!$A$1:$F$80,5,FALSE)</f>
        <v>3</v>
      </c>
      <c r="W587" s="323">
        <v>11</v>
      </c>
      <c r="X587" s="316"/>
      <c r="Y587" s="316"/>
      <c r="Z587" s="323"/>
      <c r="AA587" s="323"/>
      <c r="AB587" s="363"/>
      <c r="AC587" s="363"/>
      <c r="AD587" s="316"/>
      <c r="AE587" s="316"/>
      <c r="AF587" s="323">
        <f ca="1">Table2[[#This Row],[End Date]]+2-TODAY()</f>
        <v>276</v>
      </c>
      <c r="AG587" s="316">
        <f>IF(ISBLANK(Table2[[#This Row],[Roster Received by]]),1,0)</f>
        <v>1</v>
      </c>
      <c r="AH587" s="316">
        <f ca="1">IF(Table2[[#This Row],[Start Date]]&gt;TODAY(),1,)</f>
        <v>1</v>
      </c>
      <c r="AI587" s="316">
        <f>IF(ISBLANK(Table2[[#This Row],[Primary Instructor]]),0,1)</f>
        <v>1</v>
      </c>
      <c r="AJ587" s="316">
        <f>IF(ISBLANK(Table2[[#This Row],[Instructor 2]]),0,1)</f>
        <v>0</v>
      </c>
      <c r="AK587" s="316">
        <f>Table2[[#This Row],[Course Length (Hours)]]/(SUM(Table2[[#This Row],[1]:[2]]))</f>
        <v>24</v>
      </c>
      <c r="AL587" s="638"/>
      <c r="AM587" s="444">
        <v>4</v>
      </c>
      <c r="AN587" s="363" t="str">
        <f>VLOOKUP(Table2[[#This Row],[Course Title]],'TSD-Data'!$A$1:$G$80,7,FALSE)</f>
        <v>N4</v>
      </c>
    </row>
    <row r="588" spans="2:40" s="428" customFormat="1" x14ac:dyDescent="0.25">
      <c r="B588" s="315" t="s">
        <v>468</v>
      </c>
      <c r="C588" s="364" t="s">
        <v>389</v>
      </c>
      <c r="D588" s="316" t="str">
        <f>VLOOKUP(Table2[[#This Row],[Course Title]],'TSD-Data'!$A$1:$E$80,2,FALSE)</f>
        <v>A-493-0078</v>
      </c>
      <c r="E588" s="316" t="str">
        <f>VLOOKUP(Table2[[#This Row],[Course Title]],'TSD-Data'!$A$1:$E$80,3,FALSE)</f>
        <v>32FJ</v>
      </c>
      <c r="F588" s="364" t="s">
        <v>263</v>
      </c>
      <c r="G588" s="344">
        <v>46279</v>
      </c>
      <c r="H588" s="344">
        <v>46283</v>
      </c>
      <c r="I588" s="317" t="s">
        <v>163</v>
      </c>
      <c r="J588" s="318">
        <v>0.33333333333333331</v>
      </c>
      <c r="K588" s="318"/>
      <c r="L588" s="317"/>
      <c r="M588" s="317"/>
      <c r="N588" s="317"/>
      <c r="O588" s="317"/>
      <c r="P588" s="317"/>
      <c r="Q588" s="321" t="s">
        <v>172</v>
      </c>
      <c r="R588" s="321"/>
      <c r="S588" s="321"/>
      <c r="T588" s="316">
        <f>VLOOKUP(Table2[[#This Row],[Course Title]],'TSD-Data'!$A$1:$E$80,4,FALSE)</f>
        <v>30</v>
      </c>
      <c r="U588" s="316">
        <f>VLOOKUP(Table2[[#This Row],[Course Title]],'TSD-Data'!$A$1:$F$80,6,FALSE)</f>
        <v>32</v>
      </c>
      <c r="V588" s="323">
        <f>VLOOKUP(Table2[[#This Row],[Course Title]],'TSD-Data'!$A$1:$F$80,5,FALSE)</f>
        <v>4</v>
      </c>
      <c r="W588" s="323">
        <v>0</v>
      </c>
      <c r="X588" s="316"/>
      <c r="Y588" s="316"/>
      <c r="Z588" s="323"/>
      <c r="AA588" s="323"/>
      <c r="AB588" s="316"/>
      <c r="AC588" s="316"/>
      <c r="AD588" s="316"/>
      <c r="AE588" s="316"/>
      <c r="AF588" s="323">
        <f ca="1">Table2[[#This Row],[End Date]]+2-TODAY()</f>
        <v>278</v>
      </c>
      <c r="AG588" s="316">
        <f>IF(ISBLANK(Table2[[#This Row],[Roster Received by]]),1,0)</f>
        <v>1</v>
      </c>
      <c r="AH588" s="316">
        <f ca="1">IF(Table2[[#This Row],[Start Date]]&gt;TODAY(),1,)</f>
        <v>1</v>
      </c>
      <c r="AI588" s="316">
        <f>IF(ISBLANK(Table2[[#This Row],[Primary Instructor]]),0,1)</f>
        <v>1</v>
      </c>
      <c r="AJ588" s="316">
        <f>IF(ISBLANK(Table2[[#This Row],[Instructor 2]]),0,1)</f>
        <v>0</v>
      </c>
      <c r="AK588" s="316">
        <f>Table2[[#This Row],[Course Length (Hours)]]/(SUM(Table2[[#This Row],[1]:[2]]))</f>
        <v>32</v>
      </c>
      <c r="AL588" s="124"/>
      <c r="AM588" s="444">
        <v>4</v>
      </c>
      <c r="AN588" s="363" t="str">
        <f>VLOOKUP(Table2[[#This Row],[Course Title]],'TSD-Data'!$A$1:$G$80,7,FALSE)</f>
        <v>N5</v>
      </c>
    </row>
    <row r="589" spans="2:40" s="428" customFormat="1" x14ac:dyDescent="0.25">
      <c r="B589" s="364"/>
      <c r="C589" s="364" t="s">
        <v>113</v>
      </c>
      <c r="D589" s="316" t="str">
        <f>VLOOKUP(Table2[[#This Row],[Course Title]],'TSD-Data'!$A$1:$E$80,2,FALSE)</f>
        <v>A-570-0100</v>
      </c>
      <c r="E589" s="316" t="str">
        <f>VLOOKUP(Table2[[#This Row],[Course Title]],'TSD-Data'!$A$1:$E$80,3,FALSE)</f>
        <v>18B7</v>
      </c>
      <c r="F589" s="364" t="s">
        <v>25</v>
      </c>
      <c r="G589" s="344">
        <v>46279</v>
      </c>
      <c r="H589" s="344">
        <v>46280</v>
      </c>
      <c r="I589" s="317" t="s">
        <v>163</v>
      </c>
      <c r="J589" s="318"/>
      <c r="K589" s="318">
        <v>0.5</v>
      </c>
      <c r="L589" s="431">
        <v>0.375</v>
      </c>
      <c r="M589" s="431">
        <v>0.79166666666666663</v>
      </c>
      <c r="N589" s="431">
        <v>0.75</v>
      </c>
      <c r="O589" s="431">
        <v>0.25</v>
      </c>
      <c r="P589" s="431">
        <v>4.1666666666666664E-2</v>
      </c>
      <c r="Q589" s="321" t="s">
        <v>431</v>
      </c>
      <c r="R589" s="321"/>
      <c r="S589" s="321"/>
      <c r="T589" s="316">
        <f>VLOOKUP(Table2[[#This Row],[Course Title]],'TSD-Data'!$A$1:$E$80,4,FALSE)</f>
        <v>45</v>
      </c>
      <c r="U589" s="316">
        <f>VLOOKUP(Table2[[#This Row],[Course Title]],'TSD-Data'!$A$1:$F$80,6,FALSE)</f>
        <v>16</v>
      </c>
      <c r="V589" s="323">
        <f>VLOOKUP(Table2[[#This Row],[Course Title]],'TSD-Data'!$A$1:$F$80,5,FALSE)</f>
        <v>2</v>
      </c>
      <c r="W589" s="323">
        <v>663</v>
      </c>
      <c r="X589" s="316"/>
      <c r="Y589" s="316"/>
      <c r="Z589" s="323"/>
      <c r="AA589" s="323"/>
      <c r="AB589" s="316"/>
      <c r="AC589" s="316"/>
      <c r="AD589" s="316"/>
      <c r="AE589" s="316"/>
      <c r="AF589" s="323">
        <f ca="1">Table2[[#This Row],[End Date]]+2-TODAY()</f>
        <v>275</v>
      </c>
      <c r="AG589" s="316">
        <f>IF(ISBLANK(Table2[[#This Row],[Roster Received by]]),1,0)</f>
        <v>1</v>
      </c>
      <c r="AH589" s="316">
        <f ca="1">IF(Table2[[#This Row],[Start Date]]&gt;TODAY(),1,)</f>
        <v>1</v>
      </c>
      <c r="AI589" s="316">
        <f>IF(ISBLANK(Table2[[#This Row],[Primary Instructor]]),0,1)</f>
        <v>1</v>
      </c>
      <c r="AJ589" s="316">
        <f>IF(ISBLANK(Table2[[#This Row],[Instructor 2]]),0,1)</f>
        <v>0</v>
      </c>
      <c r="AK589" s="316">
        <f>Table2[[#This Row],[Course Length (Hours)]]/(SUM(Table2[[#This Row],[1]:[2]]))</f>
        <v>16</v>
      </c>
      <c r="AL589" s="124"/>
      <c r="AM589" s="444">
        <v>4</v>
      </c>
      <c r="AN589" s="363" t="str">
        <f>VLOOKUP(Table2[[#This Row],[Course Title]],'TSD-Data'!$A$1:$G$80,7,FALSE)</f>
        <v>N8</v>
      </c>
    </row>
    <row r="590" spans="2:40" s="428" customFormat="1" x14ac:dyDescent="0.25">
      <c r="B590" s="315"/>
      <c r="C590" s="364" t="s">
        <v>116</v>
      </c>
      <c r="D590" s="316" t="str">
        <f>VLOOKUP(Table2[[#This Row],[Course Title]],'TSD-Data'!$A$1:$E$80,2,FALSE)</f>
        <v>A-493-0072</v>
      </c>
      <c r="E590" s="316" t="str">
        <f>VLOOKUP(Table2[[#This Row],[Course Title]],'TSD-Data'!$A$1:$E$80,3,FALSE)</f>
        <v>713U</v>
      </c>
      <c r="F590" s="364" t="s">
        <v>265</v>
      </c>
      <c r="G590" s="344">
        <v>46279</v>
      </c>
      <c r="H590" s="344">
        <v>46283</v>
      </c>
      <c r="I590" s="317" t="s">
        <v>163</v>
      </c>
      <c r="J590" s="318">
        <v>0.33333333333333331</v>
      </c>
      <c r="K590" s="345"/>
      <c r="L590" s="344"/>
      <c r="M590" s="344"/>
      <c r="N590" s="344"/>
      <c r="O590" s="344"/>
      <c r="P590" s="344"/>
      <c r="Q590" s="321" t="s">
        <v>174</v>
      </c>
      <c r="R590" s="321"/>
      <c r="S590" s="321" t="s">
        <v>444</v>
      </c>
      <c r="T590" s="316">
        <f>VLOOKUP(Table2[[#This Row],[Course Title]],'TSD-Data'!$A$1:$E$80,4,FALSE)</f>
        <v>30</v>
      </c>
      <c r="U590" s="316">
        <f>VLOOKUP(Table2[[#This Row],[Course Title]],'TSD-Data'!$A$1:$F$80,6,FALSE)</f>
        <v>40</v>
      </c>
      <c r="V590" s="323">
        <f>VLOOKUP(Table2[[#This Row],[Course Title]],'TSD-Data'!$A$1:$F$80,5,FALSE)</f>
        <v>5</v>
      </c>
      <c r="W590" s="323">
        <v>69</v>
      </c>
      <c r="X590" s="316"/>
      <c r="Y590" s="316"/>
      <c r="Z590" s="323"/>
      <c r="AA590" s="323"/>
      <c r="AB590" s="316"/>
      <c r="AC590" s="316"/>
      <c r="AD590" s="316"/>
      <c r="AE590" s="316"/>
      <c r="AF590" s="323">
        <f ca="1">Table2[[#This Row],[End Date]]+2-TODAY()</f>
        <v>278</v>
      </c>
      <c r="AG590" s="316">
        <f>IF(ISBLANK(Table2[[#This Row],[Roster Received by]]),1,0)</f>
        <v>1</v>
      </c>
      <c r="AH590" s="316">
        <f ca="1">IF(Table2[[#This Row],[Start Date]]&gt;TODAY(),1,)</f>
        <v>1</v>
      </c>
      <c r="AI590" s="316">
        <f>IF(ISBLANK(Table2[[#This Row],[Primary Instructor]]),0,1)</f>
        <v>1</v>
      </c>
      <c r="AJ590" s="316">
        <f>IF(ISBLANK(Table2[[#This Row],[Instructor 2]]),0,1)</f>
        <v>0</v>
      </c>
      <c r="AK590" s="316">
        <f>Table2[[#This Row],[Course Length (Hours)]]/(SUM(Table2[[#This Row],[1]:[2]]))</f>
        <v>40</v>
      </c>
      <c r="AL590" s="124"/>
      <c r="AM590" s="444">
        <v>4</v>
      </c>
      <c r="AN590" s="363" t="str">
        <f>VLOOKUP(Table2[[#This Row],[Course Title]],'TSD-Data'!$A$1:$G$80,7,FALSE)</f>
        <v>N3</v>
      </c>
    </row>
    <row r="591" spans="2:40" s="428" customFormat="1" x14ac:dyDescent="0.25">
      <c r="B591" s="315"/>
      <c r="C591" s="364" t="s">
        <v>116</v>
      </c>
      <c r="D591" s="316" t="str">
        <f>VLOOKUP(Table2[[#This Row],[Course Title]],'TSD-Data'!$A$1:$E$80,2,FALSE)</f>
        <v>A-493-0072</v>
      </c>
      <c r="E591" s="316" t="str">
        <f>VLOOKUP(Table2[[#This Row],[Course Title]],'TSD-Data'!$A$1:$E$80,3,FALSE)</f>
        <v>713U</v>
      </c>
      <c r="F591" s="364" t="s">
        <v>263</v>
      </c>
      <c r="G591" s="344">
        <v>46279</v>
      </c>
      <c r="H591" s="344">
        <v>46283</v>
      </c>
      <c r="I591" s="317" t="s">
        <v>163</v>
      </c>
      <c r="J591" s="318">
        <v>0.33333333333333331</v>
      </c>
      <c r="K591" s="345"/>
      <c r="L591" s="344"/>
      <c r="M591" s="344"/>
      <c r="N591" s="344"/>
      <c r="O591" s="344"/>
      <c r="P591" s="344"/>
      <c r="Q591" s="321" t="s">
        <v>445</v>
      </c>
      <c r="R591" s="321"/>
      <c r="S591" s="321" t="s">
        <v>172</v>
      </c>
      <c r="T591" s="316">
        <f>VLOOKUP(Table2[[#This Row],[Course Title]],'TSD-Data'!$A$1:$E$80,4,FALSE)</f>
        <v>30</v>
      </c>
      <c r="U591" s="316">
        <f>VLOOKUP(Table2[[#This Row],[Course Title]],'TSD-Data'!$A$1:$F$80,6,FALSE)</f>
        <v>40</v>
      </c>
      <c r="V591" s="323">
        <f>VLOOKUP(Table2[[#This Row],[Course Title]],'TSD-Data'!$A$1:$F$80,5,FALSE)</f>
        <v>5</v>
      </c>
      <c r="W591" s="323">
        <v>99</v>
      </c>
      <c r="X591" s="316"/>
      <c r="Y591" s="316"/>
      <c r="Z591" s="323"/>
      <c r="AA591" s="323"/>
      <c r="AB591" s="316"/>
      <c r="AC591" s="316"/>
      <c r="AD591" s="316"/>
      <c r="AE591" s="316"/>
      <c r="AF591" s="323">
        <f ca="1">Table2[[#This Row],[End Date]]+2-TODAY()</f>
        <v>278</v>
      </c>
      <c r="AG591" s="316">
        <f>IF(ISBLANK(Table2[[#This Row],[Roster Received by]]),1,0)</f>
        <v>1</v>
      </c>
      <c r="AH591" s="316">
        <f ca="1">IF(Table2[[#This Row],[Start Date]]&gt;TODAY(),1,)</f>
        <v>1</v>
      </c>
      <c r="AI591" s="316">
        <f>IF(ISBLANK(Table2[[#This Row],[Primary Instructor]]),0,1)</f>
        <v>1</v>
      </c>
      <c r="AJ591" s="316">
        <f>IF(ISBLANK(Table2[[#This Row],[Instructor 2]]),0,1)</f>
        <v>0</v>
      </c>
      <c r="AK591" s="316">
        <f>Table2[[#This Row],[Course Length (Hours)]]/(SUM(Table2[[#This Row],[1]:[2]]))</f>
        <v>40</v>
      </c>
      <c r="AL591" s="124"/>
      <c r="AM591" s="444">
        <v>4</v>
      </c>
      <c r="AN591" s="363" t="str">
        <f>VLOOKUP(Table2[[#This Row],[Course Title]],'TSD-Data'!$A$1:$G$80,7,FALSE)</f>
        <v>N3</v>
      </c>
    </row>
    <row r="592" spans="2:40" s="428" customFormat="1" x14ac:dyDescent="0.25">
      <c r="B592" s="315"/>
      <c r="C592" s="364" t="s">
        <v>119</v>
      </c>
      <c r="D592" s="316" t="str">
        <f>VLOOKUP(Table2[[#This Row],[Course Title]],'TSD-Data'!$A$1:$E$80,2,FALSE)</f>
        <v>A-493-2098</v>
      </c>
      <c r="E592" s="316" t="str">
        <f>VLOOKUP(Table2[[#This Row],[Course Title]],'TSD-Data'!$A$1:$E$80,3,FALSE)</f>
        <v>09WW</v>
      </c>
      <c r="F592" s="364" t="s">
        <v>25</v>
      </c>
      <c r="G592" s="344">
        <v>46279</v>
      </c>
      <c r="H592" s="344">
        <v>46281</v>
      </c>
      <c r="I592" s="317" t="s">
        <v>163</v>
      </c>
      <c r="J592" s="318"/>
      <c r="K592" s="318">
        <v>0.79166666666666663</v>
      </c>
      <c r="L592" s="431">
        <v>0.66666666666666663</v>
      </c>
      <c r="M592" s="431">
        <v>8.3333333333333329E-2</v>
      </c>
      <c r="N592" s="431">
        <v>0</v>
      </c>
      <c r="O592" s="431">
        <v>0.54166666666666663</v>
      </c>
      <c r="P592" s="431">
        <v>0.33333333333333331</v>
      </c>
      <c r="Q592" s="321" t="s">
        <v>164</v>
      </c>
      <c r="R592" s="321"/>
      <c r="S592" s="321"/>
      <c r="T592" s="316">
        <f>VLOOKUP(Table2[[#This Row],[Course Title]],'TSD-Data'!$A$1:$E$80,4,FALSE)</f>
        <v>100</v>
      </c>
      <c r="U592" s="316">
        <f>VLOOKUP(Table2[[#This Row],[Course Title]],'TSD-Data'!$A$1:$F$80,6,FALSE)</f>
        <v>16</v>
      </c>
      <c r="V592" s="323">
        <f>VLOOKUP(Table2[[#This Row],[Course Title]],'TSD-Data'!$A$1:$F$80,5,FALSE)</f>
        <v>3</v>
      </c>
      <c r="W592" s="323">
        <v>356</v>
      </c>
      <c r="X592" s="316"/>
      <c r="Y592" s="316"/>
      <c r="Z592" s="323"/>
      <c r="AA592" s="323"/>
      <c r="AB592" s="316"/>
      <c r="AC592" s="316"/>
      <c r="AD592" s="316"/>
      <c r="AE592" s="316"/>
      <c r="AF592" s="323">
        <f ca="1">Table2[[#This Row],[End Date]]+2-TODAY()</f>
        <v>276</v>
      </c>
      <c r="AG592" s="316">
        <f>IF(ISBLANK(Table2[[#This Row],[Roster Received by]]),1,0)</f>
        <v>1</v>
      </c>
      <c r="AH592" s="316">
        <f ca="1">IF(Table2[[#This Row],[Start Date]]&gt;TODAY(),1,)</f>
        <v>1</v>
      </c>
      <c r="AI592" s="316">
        <f>IF(ISBLANK(Table2[[#This Row],[Primary Instructor]]),0,1)</f>
        <v>1</v>
      </c>
      <c r="AJ592" s="316">
        <f>IF(ISBLANK(Table2[[#This Row],[Instructor 2]]),0,1)</f>
        <v>0</v>
      </c>
      <c r="AK592" s="316">
        <f>Table2[[#This Row],[Course Length (Hours)]]/(SUM(Table2[[#This Row],[1]:[2]]))</f>
        <v>16</v>
      </c>
      <c r="AL592" s="124"/>
      <c r="AM592" s="444">
        <v>4</v>
      </c>
      <c r="AN592" s="363" t="str">
        <f>VLOOKUP(Table2[[#This Row],[Course Title]],'TSD-Data'!$A$1:$G$80,7,FALSE)</f>
        <v>N8</v>
      </c>
    </row>
    <row r="593" spans="2:40" s="428" customFormat="1" x14ac:dyDescent="0.25">
      <c r="B593" s="315"/>
      <c r="C593" s="364" t="s">
        <v>122</v>
      </c>
      <c r="D593" s="316" t="str">
        <f>VLOOKUP(Table2[[#This Row],[Course Title]],'TSD-Data'!$A$1:$E$80,2,FALSE)</f>
        <v>F-4J-0023</v>
      </c>
      <c r="E593" s="316" t="str">
        <f>VLOOKUP(Table2[[#This Row],[Course Title]],'TSD-Data'!$A$1:$E$80,3,FALSE)</f>
        <v>11A2</v>
      </c>
      <c r="F593" s="364" t="s">
        <v>25</v>
      </c>
      <c r="G593" s="344">
        <v>46279</v>
      </c>
      <c r="H593" s="344">
        <v>46280</v>
      </c>
      <c r="I593" s="317" t="s">
        <v>163</v>
      </c>
      <c r="J593" s="318"/>
      <c r="K593" s="318">
        <v>0.33333333333333331</v>
      </c>
      <c r="L593" s="318">
        <v>0.20833333333333334</v>
      </c>
      <c r="M593" s="318">
        <v>0.625</v>
      </c>
      <c r="N593" s="318">
        <v>0.54166666666666663</v>
      </c>
      <c r="O593" s="318">
        <v>8.3333333333333329E-2</v>
      </c>
      <c r="P593" s="318">
        <v>0.875</v>
      </c>
      <c r="Q593" s="321" t="s">
        <v>461</v>
      </c>
      <c r="R593" s="321"/>
      <c r="S593" s="321"/>
      <c r="T593" s="316">
        <f>VLOOKUP(Table2[[#This Row],[Course Title]],'TSD-Data'!$A$1:$E$80,4,FALSE)</f>
        <v>45</v>
      </c>
      <c r="U593" s="316">
        <f>VLOOKUP(Table2[[#This Row],[Course Title]],'TSD-Data'!$A$1:$F$80,6,FALSE)</f>
        <v>16</v>
      </c>
      <c r="V593" s="323">
        <f>VLOOKUP(Table2[[#This Row],[Course Title]],'TSD-Data'!$A$1:$F$80,5,FALSE)</f>
        <v>2</v>
      </c>
      <c r="W593" s="323">
        <v>28</v>
      </c>
      <c r="X593" s="316"/>
      <c r="Y593" s="316"/>
      <c r="Z593" s="323"/>
      <c r="AA593" s="323"/>
      <c r="AB593" s="316"/>
      <c r="AC593" s="316"/>
      <c r="AD593" s="316"/>
      <c r="AE593" s="316"/>
      <c r="AF593" s="323">
        <f ca="1">Table2[[#This Row],[End Date]]+2-TODAY()</f>
        <v>275</v>
      </c>
      <c r="AG593" s="316">
        <f>IF(ISBLANK(Table2[[#This Row],[Roster Received by]]),1,0)</f>
        <v>1</v>
      </c>
      <c r="AH593" s="316">
        <f ca="1">IF(Table2[[#This Row],[Start Date]]&gt;TODAY(),1,)</f>
        <v>1</v>
      </c>
      <c r="AI593" s="316">
        <f>IF(ISBLANK(Table2[[#This Row],[Primary Instructor]]),0,1)</f>
        <v>1</v>
      </c>
      <c r="AJ593" s="316">
        <f>IF(ISBLANK(Table2[[#This Row],[Instructor 2]]),0,1)</f>
        <v>0</v>
      </c>
      <c r="AK593" s="316">
        <f>Table2[[#This Row],[Course Length (Hours)]]/(SUM(Table2[[#This Row],[1]:[2]]))</f>
        <v>16</v>
      </c>
      <c r="AL593" s="124"/>
      <c r="AM593" s="444">
        <v>4</v>
      </c>
      <c r="AN593" s="363" t="str">
        <f>VLOOKUP(Table2[[#This Row],[Course Title]],'TSD-Data'!$A$1:$G$80,7,FALSE)</f>
        <v>N8</v>
      </c>
    </row>
    <row r="594" spans="2:40" s="428" customFormat="1" x14ac:dyDescent="0.25">
      <c r="B594" s="315"/>
      <c r="C594" s="439" t="s">
        <v>94</v>
      </c>
      <c r="D594" s="316" t="str">
        <f>VLOOKUP(Table2[[#This Row],[Course Title]],'TSD-Data'!$A$1:$E$80,2,FALSE)</f>
        <v>A-493-0331</v>
      </c>
      <c r="E594" s="316" t="str">
        <f>VLOOKUP(Table2[[#This Row],[Course Title]],'TSD-Data'!$A$1:$E$80,3,FALSE)</f>
        <v>10UG</v>
      </c>
      <c r="F594" s="447" t="s">
        <v>25</v>
      </c>
      <c r="G594" s="414">
        <v>46280</v>
      </c>
      <c r="H594" s="414">
        <v>46282</v>
      </c>
      <c r="I594" s="317" t="s">
        <v>163</v>
      </c>
      <c r="J594" s="318"/>
      <c r="K594" s="345">
        <v>0.5</v>
      </c>
      <c r="L594" s="429">
        <v>0.375</v>
      </c>
      <c r="M594" s="429">
        <v>0.79166666666666663</v>
      </c>
      <c r="N594" s="429">
        <v>0.75</v>
      </c>
      <c r="O594" s="429">
        <v>0.25</v>
      </c>
      <c r="P594" s="429">
        <v>4.1666666666666664E-2</v>
      </c>
      <c r="Q594" s="321" t="s">
        <v>175</v>
      </c>
      <c r="R594" s="321"/>
      <c r="S594" s="321"/>
      <c r="T594" s="316">
        <f>VLOOKUP(Table2[[#This Row],[Course Title]],'TSD-Data'!$A$1:$E$80,4,FALSE)</f>
        <v>45</v>
      </c>
      <c r="U594" s="316">
        <f>VLOOKUP(Table2[[#This Row],[Course Title]],'TSD-Data'!$A$1:$F$80,6,FALSE)</f>
        <v>24</v>
      </c>
      <c r="V594" s="323">
        <f>VLOOKUP(Table2[[#This Row],[Course Title]],'TSD-Data'!$A$1:$F$80,5,FALSE)</f>
        <v>3</v>
      </c>
      <c r="W594" s="323">
        <v>844</v>
      </c>
      <c r="X594" s="316"/>
      <c r="Y594" s="316"/>
      <c r="Z594" s="323"/>
      <c r="AA594" s="323"/>
      <c r="AB594" s="316"/>
      <c r="AC594" s="316"/>
      <c r="AD594" s="316"/>
      <c r="AE594" s="316"/>
      <c r="AF594" s="323">
        <f ca="1">Table2[[#This Row],[End Date]]+2-TODAY()</f>
        <v>277</v>
      </c>
      <c r="AG594" s="316">
        <f>IF(ISBLANK(Table2[[#This Row],[Roster Received by]]),1,0)</f>
        <v>1</v>
      </c>
      <c r="AH594" s="316">
        <f ca="1">IF(Table2[[#This Row],[Start Date]]&gt;TODAY(),1,)</f>
        <v>1</v>
      </c>
      <c r="AI594" s="316">
        <f>IF(ISBLANK(Table2[[#This Row],[Primary Instructor]]),0,1)</f>
        <v>1</v>
      </c>
      <c r="AJ594" s="316">
        <f>IF(ISBLANK(Table2[[#This Row],[Instructor 2]]),0,1)</f>
        <v>0</v>
      </c>
      <c r="AK594" s="316">
        <f>Table2[[#This Row],[Course Length (Hours)]]/(SUM(Table2[[#This Row],[1]:[2]]))</f>
        <v>24</v>
      </c>
      <c r="AL594" s="124"/>
      <c r="AM594" s="444">
        <v>4</v>
      </c>
      <c r="AN594" s="363" t="str">
        <f>VLOOKUP(Table2[[#This Row],[Course Title]],'TSD-Data'!$A$1:$G$80,7,FALSE)</f>
        <v>N3</v>
      </c>
    </row>
    <row r="595" spans="2:40" s="428" customFormat="1" x14ac:dyDescent="0.25">
      <c r="B595" s="315"/>
      <c r="C595" s="364" t="s">
        <v>65</v>
      </c>
      <c r="D595" s="316" t="str">
        <f>VLOOKUP(Table2[[#This Row],[Course Title]],'TSD-Data'!$A$1:$E$80,2,FALSE)</f>
        <v>A-493-0099</v>
      </c>
      <c r="E595" s="316" t="str">
        <f>VLOOKUP(Table2[[#This Row],[Course Title]],'TSD-Data'!$A$1:$E$80,3,FALSE)</f>
        <v>12JW</v>
      </c>
      <c r="F595" s="364" t="s">
        <v>25</v>
      </c>
      <c r="G595" s="317">
        <v>46281</v>
      </c>
      <c r="H595" s="317">
        <v>46283</v>
      </c>
      <c r="I595" s="317" t="s">
        <v>163</v>
      </c>
      <c r="J595" s="318"/>
      <c r="K595" s="318">
        <v>0.33333333333333331</v>
      </c>
      <c r="L595" s="318">
        <v>0.20833333333333334</v>
      </c>
      <c r="M595" s="318">
        <v>0.625</v>
      </c>
      <c r="N595" s="318">
        <v>0.54166666666666663</v>
      </c>
      <c r="O595" s="318">
        <v>8.3333333333333329E-2</v>
      </c>
      <c r="P595" s="318">
        <v>0.875</v>
      </c>
      <c r="Q595" s="321" t="s">
        <v>273</v>
      </c>
      <c r="R595" s="321"/>
      <c r="S595" s="321"/>
      <c r="T595" s="316">
        <f>VLOOKUP(Table2[[#This Row],[Course Title]],'TSD-Data'!$A$1:$E$80,4,FALSE)</f>
        <v>45</v>
      </c>
      <c r="U595" s="316">
        <f>VLOOKUP(Table2[[#This Row],[Course Title]],'TSD-Data'!$A$1:$F$80,6,FALSE)</f>
        <v>24</v>
      </c>
      <c r="V595" s="323">
        <f>VLOOKUP(Table2[[#This Row],[Course Title]],'TSD-Data'!$A$1:$F$80,5,FALSE)</f>
        <v>3</v>
      </c>
      <c r="W595" s="323">
        <v>334</v>
      </c>
      <c r="X595" s="316"/>
      <c r="Y595" s="316"/>
      <c r="Z595" s="323"/>
      <c r="AA595" s="323"/>
      <c r="AB595" s="316"/>
      <c r="AC595" s="316"/>
      <c r="AD595" s="316"/>
      <c r="AE595" s="316"/>
      <c r="AF595" s="323">
        <f ca="1">Table2[[#This Row],[End Date]]+2-TODAY()</f>
        <v>278</v>
      </c>
      <c r="AG595" s="316">
        <f>IF(ISBLANK(Table2[[#This Row],[Roster Received by]]),1,0)</f>
        <v>1</v>
      </c>
      <c r="AH595" s="316">
        <f ca="1">IF(Table2[[#This Row],[Start Date]]&gt;TODAY(),1,)</f>
        <v>1</v>
      </c>
      <c r="AI595" s="316">
        <f>IF(ISBLANK(Table2[[#This Row],[Primary Instructor]]),0,1)</f>
        <v>1</v>
      </c>
      <c r="AJ595" s="316">
        <f>IF(ISBLANK(Table2[[#This Row],[Instructor 2]]),0,1)</f>
        <v>0</v>
      </c>
      <c r="AK595" s="316">
        <f>Table2[[#This Row],[Course Length (Hours)]]/(SUM(Table2[[#This Row],[1]:[2]]))</f>
        <v>24</v>
      </c>
      <c r="AL595" s="124"/>
      <c r="AM595" s="444">
        <v>4</v>
      </c>
      <c r="AN595" s="363" t="str">
        <f>VLOOKUP(Table2[[#This Row],[Course Title]],'TSD-Data'!$A$1:$G$80,7,FALSE)</f>
        <v>N5</v>
      </c>
    </row>
    <row r="596" spans="2:40" s="428" customFormat="1" x14ac:dyDescent="0.25">
      <c r="B596" s="315"/>
      <c r="C596" s="442" t="s">
        <v>92</v>
      </c>
      <c r="D596" s="316" t="str">
        <f>VLOOKUP(Table2[[#This Row],[Course Title]],'TSD-Data'!$A$1:$E$80,2,FALSE)</f>
        <v>A-493-0092</v>
      </c>
      <c r="E596" s="316">
        <f>VLOOKUP(Table2[[#This Row],[Course Title]],'TSD-Data'!$A$1:$E$80,3,FALSE)</f>
        <v>5891</v>
      </c>
      <c r="F596" s="364" t="s">
        <v>264</v>
      </c>
      <c r="G596" s="317">
        <v>46281</v>
      </c>
      <c r="H596" s="317">
        <v>46283</v>
      </c>
      <c r="I596" s="317" t="s">
        <v>163</v>
      </c>
      <c r="J596" s="318">
        <v>0.33333333333333331</v>
      </c>
      <c r="K596" s="345"/>
      <c r="L596" s="344"/>
      <c r="M596" s="344"/>
      <c r="N596" s="344"/>
      <c r="O596" s="344"/>
      <c r="P596" s="344"/>
      <c r="Q596" s="321" t="s">
        <v>174</v>
      </c>
      <c r="R596" s="321"/>
      <c r="S596" s="321" t="s">
        <v>516</v>
      </c>
      <c r="T596" s="316">
        <f>VLOOKUP(Table2[[#This Row],[Course Title]],'TSD-Data'!$A$1:$E$80,4,FALSE)</f>
        <v>25</v>
      </c>
      <c r="U596" s="316">
        <f>VLOOKUP(Table2[[#This Row],[Course Title]],'TSD-Data'!$A$1:$F$80,6,FALSE)</f>
        <v>24</v>
      </c>
      <c r="V596" s="323">
        <f>VLOOKUP(Table2[[#This Row],[Course Title]],'TSD-Data'!$A$1:$F$80,5,FALSE)</f>
        <v>3</v>
      </c>
      <c r="W596" s="323">
        <v>114</v>
      </c>
      <c r="X596" s="316"/>
      <c r="Y596" s="316"/>
      <c r="Z596" s="323"/>
      <c r="AA596" s="323"/>
      <c r="AB596" s="316"/>
      <c r="AC596" s="316"/>
      <c r="AD596" s="316"/>
      <c r="AE596" s="316"/>
      <c r="AF596" s="323">
        <f ca="1">Table2[[#This Row],[End Date]]+2-TODAY()</f>
        <v>278</v>
      </c>
      <c r="AG596" s="316">
        <f>IF(ISBLANK(Table2[[#This Row],[Roster Received by]]),1,0)</f>
        <v>1</v>
      </c>
      <c r="AH596" s="316">
        <f ca="1">IF(Table2[[#This Row],[Start Date]]&gt;TODAY(),1,)</f>
        <v>1</v>
      </c>
      <c r="AI596" s="316">
        <f>IF(ISBLANK(Table2[[#This Row],[Primary Instructor]]),0,1)</f>
        <v>1</v>
      </c>
      <c r="AJ596" s="316">
        <f>IF(ISBLANK(Table2[[#This Row],[Instructor 2]]),0,1)</f>
        <v>0</v>
      </c>
      <c r="AK596" s="316">
        <f>Table2[[#This Row],[Course Length (Hours)]]/(SUM(Table2[[#This Row],[1]:[2]]))</f>
        <v>24</v>
      </c>
      <c r="AL596" s="124"/>
      <c r="AM596" s="444">
        <v>4</v>
      </c>
      <c r="AN596" s="363" t="str">
        <f>VLOOKUP(Table2[[#This Row],[Course Title]],'TSD-Data'!$A$1:$G$80,7,FALSE)</f>
        <v>N3</v>
      </c>
    </row>
    <row r="597" spans="2:40" s="428" customFormat="1" x14ac:dyDescent="0.25">
      <c r="B597" s="315"/>
      <c r="C597" s="430" t="s">
        <v>48</v>
      </c>
      <c r="D597" s="316" t="str">
        <f>VLOOKUP(Table2[[#This Row],[Course Title]],'TSD-Data'!$A$1:$E$80,2,FALSE)</f>
        <v>A-493-0103</v>
      </c>
      <c r="E597" s="316" t="str">
        <f>VLOOKUP(Table2[[#This Row],[Course Title]],'TSD-Data'!$A$1:$E$80,3,FALSE)</f>
        <v>12JY</v>
      </c>
      <c r="F597" s="447" t="s">
        <v>170</v>
      </c>
      <c r="G597" s="414">
        <v>46286</v>
      </c>
      <c r="H597" s="414">
        <v>46290</v>
      </c>
      <c r="I597" s="317" t="s">
        <v>163</v>
      </c>
      <c r="J597" s="318">
        <v>0.33333333333333331</v>
      </c>
      <c r="K597" s="318"/>
      <c r="L597" s="344"/>
      <c r="M597" s="317"/>
      <c r="N597" s="317"/>
      <c r="O597" s="317"/>
      <c r="P597" s="317"/>
      <c r="Q597" s="321" t="s">
        <v>275</v>
      </c>
      <c r="R597" s="321"/>
      <c r="S597" s="321"/>
      <c r="T597" s="316">
        <f>VLOOKUP(Table2[[#This Row],[Course Title]],'TSD-Data'!$A$1:$E$80,4,FALSE)</f>
        <v>25</v>
      </c>
      <c r="U597" s="316">
        <f>VLOOKUP(Table2[[#This Row],[Course Title]],'TSD-Data'!$A$1:$F$80,6,FALSE)</f>
        <v>40</v>
      </c>
      <c r="V597" s="323">
        <f>VLOOKUP(Table2[[#This Row],[Course Title]],'TSD-Data'!$A$1:$F$80,5,FALSE)</f>
        <v>5</v>
      </c>
      <c r="W597" s="323">
        <v>107</v>
      </c>
      <c r="X597" s="316"/>
      <c r="Y597" s="316"/>
      <c r="Z597" s="323"/>
      <c r="AA597" s="323"/>
      <c r="AB597" s="316"/>
      <c r="AC597" s="316"/>
      <c r="AD597" s="316"/>
      <c r="AE597" s="316"/>
      <c r="AF597" s="323">
        <f ca="1">Table2[[#This Row],[End Date]]+2-TODAY()</f>
        <v>285</v>
      </c>
      <c r="AG597" s="316">
        <f>IF(ISBLANK(Table2[[#This Row],[Roster Received by]]),1,0)</f>
        <v>1</v>
      </c>
      <c r="AH597" s="316">
        <f ca="1">IF(Table2[[#This Row],[Start Date]]&gt;TODAY(),1,)</f>
        <v>1</v>
      </c>
      <c r="AI597" s="316">
        <f>IF(ISBLANK(Table2[[#This Row],[Primary Instructor]]),0,1)</f>
        <v>1</v>
      </c>
      <c r="AJ597" s="316">
        <f>IF(ISBLANK(Table2[[#This Row],[Instructor 2]]),0,1)</f>
        <v>0</v>
      </c>
      <c r="AK597" s="316">
        <f>Table2[[#This Row],[Course Length (Hours)]]/(SUM(Table2[[#This Row],[1]:[2]]))</f>
        <v>40</v>
      </c>
      <c r="AL597" s="124"/>
      <c r="AM597" s="444">
        <v>4</v>
      </c>
      <c r="AN597" s="363" t="str">
        <f>VLOOKUP(Table2[[#This Row],[Course Title]],'TSD-Data'!$A$1:$G$80,7,FALSE)</f>
        <v>N5</v>
      </c>
    </row>
    <row r="598" spans="2:40" s="428" customFormat="1" x14ac:dyDescent="0.25">
      <c r="B598" s="315"/>
      <c r="C598" s="430" t="s">
        <v>74</v>
      </c>
      <c r="D598" s="316" t="str">
        <f>VLOOKUP(Table2[[#This Row],[Course Title]],'TSD-Data'!$A$1:$E$80,2,FALSE)</f>
        <v>A-322-2604</v>
      </c>
      <c r="E598" s="316" t="str">
        <f>VLOOKUP(Table2[[#This Row],[Course Title]],'TSD-Data'!$A$1:$E$80,3,FALSE)</f>
        <v>10ZZ</v>
      </c>
      <c r="F598" s="364" t="s">
        <v>25</v>
      </c>
      <c r="G598" s="344">
        <v>46286</v>
      </c>
      <c r="H598" s="344">
        <v>46288</v>
      </c>
      <c r="I598" s="317" t="s">
        <v>163</v>
      </c>
      <c r="J598" s="318"/>
      <c r="K598" s="332">
        <v>0.5</v>
      </c>
      <c r="L598" s="431">
        <v>0.375</v>
      </c>
      <c r="M598" s="431">
        <v>0.79166666666666663</v>
      </c>
      <c r="N598" s="431">
        <v>0.75</v>
      </c>
      <c r="O598" s="431">
        <v>0.25</v>
      </c>
      <c r="P598" s="431">
        <v>4.1666666666666664E-2</v>
      </c>
      <c r="Q598" s="321" t="s">
        <v>444</v>
      </c>
      <c r="R598" s="321"/>
      <c r="S598" s="321"/>
      <c r="T598" s="316">
        <f>VLOOKUP(Table2[[#This Row],[Course Title]],'TSD-Data'!$A$1:$E$80,4,FALSE)</f>
        <v>45</v>
      </c>
      <c r="U598" s="316">
        <f>VLOOKUP(Table2[[#This Row],[Course Title]],'TSD-Data'!$A$1:$F$80,6,FALSE)</f>
        <v>24</v>
      </c>
      <c r="V598" s="323">
        <f>VLOOKUP(Table2[[#This Row],[Course Title]],'TSD-Data'!$A$1:$F$80,5,FALSE)</f>
        <v>3</v>
      </c>
      <c r="W598" s="323">
        <v>621</v>
      </c>
      <c r="X598" s="316"/>
      <c r="Y598" s="316"/>
      <c r="Z598" s="323"/>
      <c r="AA598" s="323"/>
      <c r="AB598" s="316"/>
      <c r="AC598" s="316"/>
      <c r="AD598" s="316"/>
      <c r="AE598" s="316"/>
      <c r="AF598" s="323">
        <f ca="1">Table2[[#This Row],[End Date]]+2-TODAY()</f>
        <v>283</v>
      </c>
      <c r="AG598" s="316">
        <f>IF(ISBLANK(Table2[[#This Row],[Roster Received by]]),1,0)</f>
        <v>1</v>
      </c>
      <c r="AH598" s="316">
        <f ca="1">IF(Table2[[#This Row],[Start Date]]&gt;TODAY(),1,)</f>
        <v>1</v>
      </c>
      <c r="AI598" s="316">
        <f>IF(ISBLANK(Table2[[#This Row],[Primary Instructor]]),0,1)</f>
        <v>1</v>
      </c>
      <c r="AJ598" s="316">
        <f>IF(ISBLANK(Table2[[#This Row],[Instructor 2]]),0,1)</f>
        <v>0</v>
      </c>
      <c r="AK598" s="316">
        <f>Table2[[#This Row],[Course Length (Hours)]]/(SUM(Table2[[#This Row],[1]:[2]]))</f>
        <v>24</v>
      </c>
      <c r="AL598" s="124"/>
      <c r="AM598" s="444">
        <v>4</v>
      </c>
      <c r="AN598" s="363" t="str">
        <f>VLOOKUP(Table2[[#This Row],[Course Title]],'TSD-Data'!$A$1:$G$80,7,FALSE)</f>
        <v>N8</v>
      </c>
    </row>
    <row r="599" spans="2:40" s="428" customFormat="1" x14ac:dyDescent="0.25">
      <c r="B599" s="315"/>
      <c r="C599" s="364" t="s">
        <v>106</v>
      </c>
      <c r="D599" s="316" t="str">
        <f>VLOOKUP(Table2[[#This Row],[Course Title]],'TSD-Data'!$A$1:$E$80,2,FALSE)</f>
        <v>A-493-0078</v>
      </c>
      <c r="E599" s="316">
        <f>VLOOKUP(Table2[[#This Row],[Course Title]],'TSD-Data'!$A$1:$E$80,3,FALSE)</f>
        <v>1228</v>
      </c>
      <c r="F599" s="364" t="s">
        <v>25</v>
      </c>
      <c r="G599" s="344">
        <v>46286</v>
      </c>
      <c r="H599" s="344">
        <v>46289</v>
      </c>
      <c r="I599" s="317" t="s">
        <v>163</v>
      </c>
      <c r="J599" s="318"/>
      <c r="K599" s="345">
        <v>0.33333333333333331</v>
      </c>
      <c r="L599" s="345">
        <v>0.20833333333333334</v>
      </c>
      <c r="M599" s="345">
        <v>0.625</v>
      </c>
      <c r="N599" s="345">
        <v>0.54166666666666663</v>
      </c>
      <c r="O599" s="345">
        <v>8.3333333333333329E-2</v>
      </c>
      <c r="P599" s="345">
        <v>0.875</v>
      </c>
      <c r="Q599" s="321" t="s">
        <v>172</v>
      </c>
      <c r="R599" s="321"/>
      <c r="S599" s="321"/>
      <c r="T599" s="316">
        <f>VLOOKUP(Table2[[#This Row],[Course Title]],'TSD-Data'!$A$1:$E$80,4,FALSE)</f>
        <v>45</v>
      </c>
      <c r="U599" s="316">
        <f>VLOOKUP(Table2[[#This Row],[Course Title]],'TSD-Data'!$A$1:$F$80,6,FALSE)</f>
        <v>32</v>
      </c>
      <c r="V599" s="323">
        <f>VLOOKUP(Table2[[#This Row],[Course Title]],'TSD-Data'!$A$1:$F$80,5,FALSE)</f>
        <v>4</v>
      </c>
      <c r="W599" s="323">
        <v>454</v>
      </c>
      <c r="X599" s="316"/>
      <c r="Y599" s="316"/>
      <c r="Z599" s="323"/>
      <c r="AA599" s="323"/>
      <c r="AB599" s="316"/>
      <c r="AC599" s="316"/>
      <c r="AD599" s="316"/>
      <c r="AE599" s="316"/>
      <c r="AF599" s="323">
        <f ca="1">Table2[[#This Row],[End Date]]+2-TODAY()</f>
        <v>284</v>
      </c>
      <c r="AG599" s="316">
        <f>IF(ISBLANK(Table2[[#This Row],[Roster Received by]]),1,0)</f>
        <v>1</v>
      </c>
      <c r="AH599" s="316">
        <f ca="1">IF(Table2[[#This Row],[Start Date]]&gt;TODAY(),1,)</f>
        <v>1</v>
      </c>
      <c r="AI599" s="316">
        <f>IF(ISBLANK(Table2[[#This Row],[Primary Instructor]]),0,1)</f>
        <v>1</v>
      </c>
      <c r="AJ599" s="316">
        <f>IF(ISBLANK(Table2[[#This Row],[Instructor 2]]),0,1)</f>
        <v>0</v>
      </c>
      <c r="AK599" s="316">
        <f>Table2[[#This Row],[Course Length (Hours)]]/(SUM(Table2[[#This Row],[1]:[2]]))</f>
        <v>32</v>
      </c>
      <c r="AL599" s="124"/>
      <c r="AM599" s="444">
        <v>4</v>
      </c>
      <c r="AN599" s="363" t="str">
        <f>VLOOKUP(Table2[[#This Row],[Course Title]],'TSD-Data'!$A$1:$G$80,7,FALSE)</f>
        <v>N5</v>
      </c>
    </row>
    <row r="600" spans="2:40" s="428" customFormat="1" x14ac:dyDescent="0.25">
      <c r="B600" s="438" t="s">
        <v>517</v>
      </c>
      <c r="C600" s="343" t="s">
        <v>61</v>
      </c>
      <c r="D600" s="316" t="str">
        <f>VLOOKUP(Table2[[#This Row],[Course Title]],'TSD-Data'!$A$1:$E$80,2,FALSE)</f>
        <v>A-493-0012</v>
      </c>
      <c r="E600" s="316">
        <f>VLOOKUP(Table2[[#This Row],[Course Title]],'TSD-Data'!$A$1:$E$80,3,FALSE)</f>
        <v>3682</v>
      </c>
      <c r="F600" s="343" t="s">
        <v>309</v>
      </c>
      <c r="G600" s="416">
        <v>46286</v>
      </c>
      <c r="H600" s="416">
        <v>46290</v>
      </c>
      <c r="I600" s="341" t="s">
        <v>167</v>
      </c>
      <c r="J600" s="318">
        <v>0.33333333333333331</v>
      </c>
      <c r="K600" s="318"/>
      <c r="L600" s="344"/>
      <c r="M600" s="317"/>
      <c r="N600" s="317"/>
      <c r="O600" s="317"/>
      <c r="P600" s="317"/>
      <c r="Q600" s="321" t="s">
        <v>447</v>
      </c>
      <c r="R600" s="321"/>
      <c r="S600" s="321"/>
      <c r="T600" s="316">
        <f>VLOOKUP(Table2[[#This Row],[Course Title]],'TSD-Data'!$A$1:$E$80,4,FALSE)</f>
        <v>40</v>
      </c>
      <c r="U600" s="316">
        <f>VLOOKUP(Table2[[#This Row],[Course Title]],'TSD-Data'!$A$1:$F$80,6,FALSE)</f>
        <v>40</v>
      </c>
      <c r="V600" s="323">
        <f>VLOOKUP(Table2[[#This Row],[Course Title]],'TSD-Data'!$A$1:$F$80,5,FALSE)</f>
        <v>5</v>
      </c>
      <c r="W600" s="316">
        <v>42</v>
      </c>
      <c r="X600" s="316"/>
      <c r="Y600" s="316"/>
      <c r="Z600" s="323"/>
      <c r="AA600" s="323"/>
      <c r="AB600" s="316"/>
      <c r="AC600" s="316"/>
      <c r="AD600" s="316"/>
      <c r="AE600" s="316"/>
      <c r="AF600" s="323">
        <f ca="1">Table2[[#This Row],[End Date]]+2-TODAY()</f>
        <v>285</v>
      </c>
      <c r="AG600" s="316">
        <f>IF(ISBLANK(Table2[[#This Row],[Roster Received by]]),1,0)</f>
        <v>1</v>
      </c>
      <c r="AH600" s="316">
        <f ca="1">IF(Table2[[#This Row],[Start Date]]&gt;TODAY(),1,)</f>
        <v>1</v>
      </c>
      <c r="AI600" s="316">
        <f>IF(ISBLANK(Table2[[#This Row],[Primary Instructor]]),0,1)</f>
        <v>1</v>
      </c>
      <c r="AJ600" s="316">
        <f>IF(ISBLANK(Table2[[#This Row],[Instructor 2]]),0,1)</f>
        <v>0</v>
      </c>
      <c r="AK600" s="316">
        <f>Table2[[#This Row],[Course Length (Hours)]]/(SUM(Table2[[#This Row],[1]:[2]]))</f>
        <v>40</v>
      </c>
      <c r="AL600" s="124"/>
      <c r="AM600" s="444">
        <v>4</v>
      </c>
      <c r="AN600" s="363" t="str">
        <f>VLOOKUP(Table2[[#This Row],[Course Title]],'TSD-Data'!$A$1:$G$80,7,FALSE)</f>
        <v>N4</v>
      </c>
    </row>
    <row r="601" spans="2:40" s="428" customFormat="1" x14ac:dyDescent="0.25">
      <c r="B601" s="343" t="s">
        <v>518</v>
      </c>
      <c r="C601" s="343" t="s">
        <v>61</v>
      </c>
      <c r="D601" s="316" t="str">
        <f>VLOOKUP(Table2[[#This Row],[Course Title]],'TSD-Data'!$A$1:$E$80,2,FALSE)</f>
        <v>A-493-0012</v>
      </c>
      <c r="E601" s="316">
        <f>VLOOKUP(Table2[[#This Row],[Course Title]],'TSD-Data'!$A$1:$E$80,3,FALSE)</f>
        <v>3682</v>
      </c>
      <c r="F601" s="343" t="s">
        <v>298</v>
      </c>
      <c r="G601" s="341">
        <v>46286</v>
      </c>
      <c r="H601" s="341">
        <v>46290</v>
      </c>
      <c r="I601" s="341" t="s">
        <v>167</v>
      </c>
      <c r="J601" s="318">
        <v>0.33333333333333331</v>
      </c>
      <c r="K601" s="345"/>
      <c r="L601" s="344"/>
      <c r="M601" s="344"/>
      <c r="N601" s="344"/>
      <c r="O601" s="344"/>
      <c r="P601" s="344"/>
      <c r="Q601" s="321" t="s">
        <v>453</v>
      </c>
      <c r="R601" s="321"/>
      <c r="S601" s="321"/>
      <c r="T601" s="316">
        <f>VLOOKUP(Table2[[#This Row],[Course Title]],'TSD-Data'!$A$1:$E$80,4,FALSE)</f>
        <v>40</v>
      </c>
      <c r="U601" s="316">
        <f>VLOOKUP(Table2[[#This Row],[Course Title]],'TSD-Data'!$A$1:$F$80,6,FALSE)</f>
        <v>40</v>
      </c>
      <c r="V601" s="323">
        <f>VLOOKUP(Table2[[#This Row],[Course Title]],'TSD-Data'!$A$1:$F$80,5,FALSE)</f>
        <v>5</v>
      </c>
      <c r="W601" s="316">
        <v>32</v>
      </c>
      <c r="X601" s="316"/>
      <c r="Y601" s="316"/>
      <c r="Z601" s="323"/>
      <c r="AA601" s="323"/>
      <c r="AB601" s="316"/>
      <c r="AC601" s="316"/>
      <c r="AD601" s="316"/>
      <c r="AE601" s="316"/>
      <c r="AF601" s="323">
        <f ca="1">Table2[[#This Row],[End Date]]+2-TODAY()</f>
        <v>285</v>
      </c>
      <c r="AG601" s="316">
        <f>IF(ISBLANK(Table2[[#This Row],[Roster Received by]]),1,0)</f>
        <v>1</v>
      </c>
      <c r="AH601" s="316">
        <f ca="1">IF(Table2[[#This Row],[Start Date]]&gt;TODAY(),1,)</f>
        <v>1</v>
      </c>
      <c r="AI601" s="316">
        <f>IF(ISBLANK(Table2[[#This Row],[Primary Instructor]]),0,1)</f>
        <v>1</v>
      </c>
      <c r="AJ601" s="316">
        <f>IF(ISBLANK(Table2[[#This Row],[Instructor 2]]),0,1)</f>
        <v>0</v>
      </c>
      <c r="AK601" s="316">
        <f>Table2[[#This Row],[Course Length (Hours)]]/(SUM(Table2[[#This Row],[1]:[2]]))</f>
        <v>40</v>
      </c>
      <c r="AL601" s="124"/>
      <c r="AM601" s="444">
        <v>4</v>
      </c>
      <c r="AN601" s="363" t="str">
        <f>VLOOKUP(Table2[[#This Row],[Course Title]],'TSD-Data'!$A$1:$G$80,7,FALSE)</f>
        <v>N4</v>
      </c>
    </row>
    <row r="602" spans="2:40" s="428" customFormat="1" x14ac:dyDescent="0.25">
      <c r="B602" s="315"/>
      <c r="C602" s="315" t="s">
        <v>77</v>
      </c>
      <c r="D602" s="316" t="str">
        <f>VLOOKUP(Table2[[#This Row],[Course Title]],'TSD-Data'!$A$1:$E$80,2,FALSE)</f>
        <v>A-493-0077</v>
      </c>
      <c r="E602" s="316" t="str">
        <f>VLOOKUP(Table2[[#This Row],[Course Title]],'TSD-Data'!$A$1:$E$80,3,FALSE)</f>
        <v>0381</v>
      </c>
      <c r="F602" s="364" t="s">
        <v>294</v>
      </c>
      <c r="G602" s="317">
        <v>46286</v>
      </c>
      <c r="H602" s="317">
        <v>46288</v>
      </c>
      <c r="I602" s="341" t="s">
        <v>167</v>
      </c>
      <c r="J602" s="318">
        <v>0.33333333333333331</v>
      </c>
      <c r="K602" s="318"/>
      <c r="L602" s="344"/>
      <c r="M602" s="317"/>
      <c r="N602" s="317"/>
      <c r="O602" s="317"/>
      <c r="P602" s="344"/>
      <c r="Q602" s="321" t="s">
        <v>168</v>
      </c>
      <c r="R602" s="321"/>
      <c r="S602" s="321"/>
      <c r="T602" s="316">
        <f>VLOOKUP(Table2[[#This Row],[Course Title]],'TSD-Data'!$A$1:$E$80,4,FALSE)</f>
        <v>25</v>
      </c>
      <c r="U602" s="316">
        <f>VLOOKUP(Table2[[#This Row],[Course Title]],'TSD-Data'!$A$1:$F$80,6,FALSE)</f>
        <v>24</v>
      </c>
      <c r="V602" s="323">
        <f>VLOOKUP(Table2[[#This Row],[Course Title]],'TSD-Data'!$A$1:$F$80,5,FALSE)</f>
        <v>3</v>
      </c>
      <c r="W602" s="323">
        <v>31</v>
      </c>
      <c r="X602" s="316"/>
      <c r="Y602" s="316"/>
      <c r="Z602" s="323"/>
      <c r="AA602" s="323"/>
      <c r="AB602" s="363"/>
      <c r="AC602" s="363"/>
      <c r="AD602" s="316"/>
      <c r="AE602" s="316"/>
      <c r="AF602" s="323">
        <f ca="1">Table2[[#This Row],[End Date]]+2-TODAY()</f>
        <v>283</v>
      </c>
      <c r="AG602" s="316">
        <f>IF(ISBLANK(Table2[[#This Row],[Roster Received by]]),1,0)</f>
        <v>1</v>
      </c>
      <c r="AH602" s="316">
        <f ca="1">IF(Table2[[#This Row],[Start Date]]&gt;TODAY(),1,)</f>
        <v>1</v>
      </c>
      <c r="AI602" s="316">
        <f>IF(ISBLANK(Table2[[#This Row],[Primary Instructor]]),0,1)</f>
        <v>1</v>
      </c>
      <c r="AJ602" s="316">
        <f>IF(ISBLANK(Table2[[#This Row],[Instructor 2]]),0,1)</f>
        <v>0</v>
      </c>
      <c r="AK602" s="316">
        <f>Table2[[#This Row],[Course Length (Hours)]]/(SUM(Table2[[#This Row],[1]:[2]]))</f>
        <v>24</v>
      </c>
      <c r="AL602" s="638"/>
      <c r="AM602" s="444">
        <v>4</v>
      </c>
      <c r="AN602" s="363" t="str">
        <f>VLOOKUP(Table2[[#This Row],[Course Title]],'TSD-Data'!$A$1:$G$80,7,FALSE)</f>
        <v>N4</v>
      </c>
    </row>
    <row r="603" spans="2:40" s="428" customFormat="1" x14ac:dyDescent="0.25">
      <c r="B603" s="315"/>
      <c r="C603" s="364" t="s">
        <v>108</v>
      </c>
      <c r="D603" s="316" t="str">
        <f>VLOOKUP(Table2[[#This Row],[Course Title]],'TSD-Data'!$A$1:$E$80,2,FALSE)</f>
        <v>A-493-0085</v>
      </c>
      <c r="E603" s="316">
        <f>VLOOKUP(Table2[[#This Row],[Course Title]],'TSD-Data'!$A$1:$E$80,3,FALSE)</f>
        <v>3555</v>
      </c>
      <c r="F603" s="364" t="s">
        <v>25</v>
      </c>
      <c r="G603" s="344">
        <v>46286</v>
      </c>
      <c r="H603" s="344">
        <v>46289</v>
      </c>
      <c r="I603" s="317" t="s">
        <v>163</v>
      </c>
      <c r="J603" s="318"/>
      <c r="K603" s="318">
        <v>0.79166666666666663</v>
      </c>
      <c r="L603" s="431">
        <v>0.66666666666666663</v>
      </c>
      <c r="M603" s="431">
        <v>8.3333333333333329E-2</v>
      </c>
      <c r="N603" s="431">
        <v>0</v>
      </c>
      <c r="O603" s="431">
        <v>0.54166666666666663</v>
      </c>
      <c r="P603" s="431">
        <v>0.33333333333333331</v>
      </c>
      <c r="Q603" s="321" t="s">
        <v>174</v>
      </c>
      <c r="R603" s="321"/>
      <c r="S603" s="321"/>
      <c r="T603" s="316">
        <f>VLOOKUP(Table2[[#This Row],[Course Title]],'TSD-Data'!$A$1:$E$80,4,FALSE)</f>
        <v>45</v>
      </c>
      <c r="U603" s="316">
        <f>VLOOKUP(Table2[[#This Row],[Course Title]],'TSD-Data'!$A$1:$F$80,6,FALSE)</f>
        <v>32</v>
      </c>
      <c r="V603" s="323">
        <f>VLOOKUP(Table2[[#This Row],[Course Title]],'TSD-Data'!$A$1:$F$80,5,FALSE)</f>
        <v>4</v>
      </c>
      <c r="W603" s="323">
        <v>166</v>
      </c>
      <c r="X603" s="316"/>
      <c r="Y603" s="316"/>
      <c r="Z603" s="323"/>
      <c r="AA603" s="323"/>
      <c r="AB603" s="316"/>
      <c r="AC603" s="316"/>
      <c r="AD603" s="316"/>
      <c r="AE603" s="316"/>
      <c r="AF603" s="323">
        <f ca="1">Table2[[#This Row],[End Date]]+2-TODAY()</f>
        <v>284</v>
      </c>
      <c r="AG603" s="316">
        <f>IF(ISBLANK(Table2[[#This Row],[Roster Received by]]),1,0)</f>
        <v>1</v>
      </c>
      <c r="AH603" s="316">
        <f ca="1">IF(Table2[[#This Row],[Start Date]]&gt;TODAY(),1,)</f>
        <v>1</v>
      </c>
      <c r="AI603" s="316">
        <f>IF(ISBLANK(Table2[[#This Row],[Primary Instructor]]),0,1)</f>
        <v>1</v>
      </c>
      <c r="AJ603" s="316">
        <f>IF(ISBLANK(Table2[[#This Row],[Instructor 2]]),0,1)</f>
        <v>0</v>
      </c>
      <c r="AK603" s="316">
        <f>Table2[[#This Row],[Course Length (Hours)]]/(SUM(Table2[[#This Row],[1]:[2]]))</f>
        <v>32</v>
      </c>
      <c r="AL603" s="124"/>
      <c r="AM603" s="444">
        <v>4</v>
      </c>
      <c r="AN603" s="363" t="str">
        <f>VLOOKUP(Table2[[#This Row],[Course Title]],'TSD-Data'!$A$1:$G$80,7,FALSE)</f>
        <v>N3</v>
      </c>
    </row>
    <row r="604" spans="2:40" s="428" customFormat="1" x14ac:dyDescent="0.25">
      <c r="B604" s="315"/>
      <c r="C604" s="364" t="s">
        <v>116</v>
      </c>
      <c r="D604" s="316" t="str">
        <f>VLOOKUP(Table2[[#This Row],[Course Title]],'TSD-Data'!$A$1:$E$80,2,FALSE)</f>
        <v>A-493-0072</v>
      </c>
      <c r="E604" s="316" t="str">
        <f>VLOOKUP(Table2[[#This Row],[Course Title]],'TSD-Data'!$A$1:$E$80,3,FALSE)</f>
        <v>713U</v>
      </c>
      <c r="F604" s="364" t="s">
        <v>229</v>
      </c>
      <c r="G604" s="344">
        <v>46286</v>
      </c>
      <c r="H604" s="344">
        <v>46290</v>
      </c>
      <c r="I604" s="317" t="s">
        <v>163</v>
      </c>
      <c r="J604" s="318">
        <v>0.33333333333333331</v>
      </c>
      <c r="K604" s="318"/>
      <c r="L604" s="317"/>
      <c r="M604" s="317"/>
      <c r="N604" s="317"/>
      <c r="O604" s="317"/>
      <c r="P604" s="317"/>
      <c r="Q604" s="321" t="s">
        <v>285</v>
      </c>
      <c r="R604" s="321"/>
      <c r="S604" s="321"/>
      <c r="T604" s="316">
        <f>VLOOKUP(Table2[[#This Row],[Course Title]],'TSD-Data'!$A$1:$E$80,4,FALSE)</f>
        <v>30</v>
      </c>
      <c r="U604" s="316">
        <f>VLOOKUP(Table2[[#This Row],[Course Title]],'TSD-Data'!$A$1:$F$80,6,FALSE)</f>
        <v>40</v>
      </c>
      <c r="V604" s="323">
        <f>VLOOKUP(Table2[[#This Row],[Course Title]],'TSD-Data'!$A$1:$F$80,5,FALSE)</f>
        <v>5</v>
      </c>
      <c r="W604" s="323">
        <v>178</v>
      </c>
      <c r="X604" s="316"/>
      <c r="Y604" s="316"/>
      <c r="Z604" s="323"/>
      <c r="AA604" s="323"/>
      <c r="AB604" s="316"/>
      <c r="AC604" s="316"/>
      <c r="AD604" s="316"/>
      <c r="AE604" s="316"/>
      <c r="AF604" s="323">
        <f ca="1">Table2[[#This Row],[End Date]]+2-TODAY()</f>
        <v>285</v>
      </c>
      <c r="AG604" s="316">
        <f>IF(ISBLANK(Table2[[#This Row],[Roster Received by]]),1,0)</f>
        <v>1</v>
      </c>
      <c r="AH604" s="316">
        <f ca="1">IF(Table2[[#This Row],[Start Date]]&gt;TODAY(),1,)</f>
        <v>1</v>
      </c>
      <c r="AI604" s="316">
        <f>IF(ISBLANK(Table2[[#This Row],[Primary Instructor]]),0,1)</f>
        <v>1</v>
      </c>
      <c r="AJ604" s="316">
        <f>IF(ISBLANK(Table2[[#This Row],[Instructor 2]]),0,1)</f>
        <v>0</v>
      </c>
      <c r="AK604" s="316">
        <f>Table2[[#This Row],[Course Length (Hours)]]/(SUM(Table2[[#This Row],[1]:[2]]))</f>
        <v>40</v>
      </c>
      <c r="AL604" s="124"/>
      <c r="AM604" s="444">
        <v>4</v>
      </c>
      <c r="AN604" s="363" t="str">
        <f>VLOOKUP(Table2[[#This Row],[Course Title]],'TSD-Data'!$A$1:$G$80,7,FALSE)</f>
        <v>N3</v>
      </c>
    </row>
    <row r="605" spans="2:40" s="428" customFormat="1" x14ac:dyDescent="0.25">
      <c r="B605" s="315"/>
      <c r="C605" s="364" t="s">
        <v>97</v>
      </c>
      <c r="D605" s="316" t="str">
        <f>VLOOKUP(Table2[[#This Row],[Course Title]],'TSD-Data'!$A$1:$E$80,2,FALSE)</f>
        <v>A-493-0335</v>
      </c>
      <c r="E605" s="316" t="str">
        <f>VLOOKUP(Table2[[#This Row],[Course Title]],'TSD-Data'!$A$1:$E$80,3,FALSE)</f>
        <v>09ND</v>
      </c>
      <c r="F605" s="315" t="s">
        <v>25</v>
      </c>
      <c r="G605" s="317">
        <v>46287</v>
      </c>
      <c r="H605" s="317">
        <v>46290</v>
      </c>
      <c r="I605" s="317" t="s">
        <v>163</v>
      </c>
      <c r="J605" s="318"/>
      <c r="K605" s="345">
        <v>0.33333333333333331</v>
      </c>
      <c r="L605" s="345">
        <v>0.20833333333333334</v>
      </c>
      <c r="M605" s="345">
        <v>0.625</v>
      </c>
      <c r="N605" s="345">
        <v>0.54166666666666663</v>
      </c>
      <c r="O605" s="345">
        <v>8.3333333333333329E-2</v>
      </c>
      <c r="P605" s="345">
        <v>0.875</v>
      </c>
      <c r="Q605" s="321" t="s">
        <v>445</v>
      </c>
      <c r="R605" s="321"/>
      <c r="S605" s="321"/>
      <c r="T605" s="316">
        <f>VLOOKUP(Table2[[#This Row],[Course Title]],'TSD-Data'!$A$1:$E$80,4,FALSE)</f>
        <v>45</v>
      </c>
      <c r="U605" s="316">
        <f>VLOOKUP(Table2[[#This Row],[Course Title]],'TSD-Data'!$A$1:$F$80,6,FALSE)</f>
        <v>32</v>
      </c>
      <c r="V605" s="323">
        <f>VLOOKUP(Table2[[#This Row],[Course Title]],'TSD-Data'!$A$1:$F$80,5,FALSE)</f>
        <v>4</v>
      </c>
      <c r="W605" s="323">
        <v>301</v>
      </c>
      <c r="X605" s="316"/>
      <c r="Y605" s="316"/>
      <c r="Z605" s="323"/>
      <c r="AA605" s="323"/>
      <c r="AB605" s="316"/>
      <c r="AC605" s="316"/>
      <c r="AD605" s="316"/>
      <c r="AE605" s="316"/>
      <c r="AF605" s="323">
        <f ca="1">Table2[[#This Row],[End Date]]+2-TODAY()</f>
        <v>285</v>
      </c>
      <c r="AG605" s="316">
        <f>IF(ISBLANK(Table2[[#This Row],[Roster Received by]]),1,0)</f>
        <v>1</v>
      </c>
      <c r="AH605" s="316">
        <f ca="1">IF(Table2[[#This Row],[Start Date]]&gt;TODAY(),1,)</f>
        <v>1</v>
      </c>
      <c r="AI605" s="316">
        <f>IF(ISBLANK(Table2[[#This Row],[Primary Instructor]]),0,1)</f>
        <v>1</v>
      </c>
      <c r="AJ605" s="316">
        <f>IF(ISBLANK(Table2[[#This Row],[Instructor 2]]),0,1)</f>
        <v>0</v>
      </c>
      <c r="AK605" s="316">
        <f>Table2[[#This Row],[Course Length (Hours)]]/(SUM(Table2[[#This Row],[1]:[2]]))</f>
        <v>32</v>
      </c>
      <c r="AL605" s="124"/>
      <c r="AM605" s="444">
        <v>4</v>
      </c>
      <c r="AN605" s="363" t="str">
        <f>VLOOKUP(Table2[[#This Row],[Course Title]],'TSD-Data'!$A$1:$G$80,7,FALSE)</f>
        <v>N3</v>
      </c>
    </row>
    <row r="606" spans="2:40" s="428" customFormat="1" x14ac:dyDescent="0.25">
      <c r="B606" s="315"/>
      <c r="C606" s="364" t="s">
        <v>48</v>
      </c>
      <c r="D606" s="363" t="str">
        <f>VLOOKUP(Table2[[#This Row],[Course Title]],'TSD-Data'!$A$1:$E$80,2,FALSE)</f>
        <v>A-493-0103</v>
      </c>
      <c r="E606" s="363" t="str">
        <f>VLOOKUP(Table2[[#This Row],[Course Title]],'TSD-Data'!$A$1:$E$80,3,FALSE)</f>
        <v>12JY</v>
      </c>
      <c r="F606" s="441" t="s">
        <v>279</v>
      </c>
      <c r="G606" s="344">
        <v>46293</v>
      </c>
      <c r="H606" s="344">
        <v>46297</v>
      </c>
      <c r="I606" s="317" t="s">
        <v>163</v>
      </c>
      <c r="J606" s="318">
        <v>0.33333333333333331</v>
      </c>
      <c r="K606" s="318"/>
      <c r="L606" s="344"/>
      <c r="M606" s="317"/>
      <c r="N606" s="317"/>
      <c r="O606" s="317"/>
      <c r="P606" s="317"/>
      <c r="Q606" s="321" t="s">
        <v>275</v>
      </c>
      <c r="R606" s="321"/>
      <c r="S606" s="321"/>
      <c r="T606" s="316">
        <f>VLOOKUP(Table2[[#This Row],[Course Title]],'TSD-Data'!$A$1:$E$80,4,FALSE)</f>
        <v>25</v>
      </c>
      <c r="U606" s="363">
        <f>VLOOKUP(Table2[[#This Row],[Course Title]],'TSD-Data'!$A$1:$F$80,6,FALSE)</f>
        <v>40</v>
      </c>
      <c r="V606" s="323">
        <f>VLOOKUP(Table2[[#This Row],[Course Title]],'TSD-Data'!$A$1:$F$80,5,FALSE)</f>
        <v>5</v>
      </c>
      <c r="W606" s="323">
        <v>225</v>
      </c>
      <c r="X606" s="316"/>
      <c r="Y606" s="316"/>
      <c r="Z606" s="323"/>
      <c r="AA606" s="323"/>
      <c r="AB606" s="363"/>
      <c r="AC606" s="363"/>
      <c r="AD606" s="316"/>
      <c r="AE606" s="316"/>
      <c r="AF606" s="323">
        <f ca="1">Table2[[#This Row],[End Date]]+2-TODAY()</f>
        <v>292</v>
      </c>
      <c r="AG606" s="316">
        <f>IF(ISBLANK(Table2[[#This Row],[Roster Received by]]),1,0)</f>
        <v>1</v>
      </c>
      <c r="AH606" s="316">
        <f ca="1">IF(Table2[[#This Row],[Start Date]]&gt;TODAY(),1,)</f>
        <v>1</v>
      </c>
      <c r="AI606" s="316">
        <f>IF(ISBLANK(Table2[[#This Row],[Primary Instructor]]),0,1)</f>
        <v>1</v>
      </c>
      <c r="AJ606" s="316">
        <f>IF(ISBLANK(Table2[[#This Row],[Instructor 2]]),0,1)</f>
        <v>0</v>
      </c>
      <c r="AK606" s="316">
        <f>Table2[[#This Row],[Course Length (Hours)]]/(SUM(Table2[[#This Row],[1]:[2]]))</f>
        <v>40</v>
      </c>
      <c r="AL606" s="638"/>
      <c r="AM606" s="444">
        <v>4</v>
      </c>
      <c r="AN606" s="363" t="str">
        <f>VLOOKUP(Table2[[#This Row],[Course Title]],'TSD-Data'!$A$1:$G$80,7,FALSE)</f>
        <v>N5</v>
      </c>
    </row>
    <row r="607" spans="2:40" s="428" customFormat="1" x14ac:dyDescent="0.25">
      <c r="B607" s="315" t="s">
        <v>332</v>
      </c>
      <c r="C607" s="364" t="s">
        <v>63</v>
      </c>
      <c r="D607" s="316" t="str">
        <f>VLOOKUP(Table2[[#This Row],[Course Title]],'TSD-Data'!$A$1:$E$80,2,FALSE)</f>
        <v>A-493-0013</v>
      </c>
      <c r="E607" s="316">
        <f>VLOOKUP(Table2[[#This Row],[Course Title]],'TSD-Data'!$A$1:$E$80,3,FALSE)</f>
        <v>3683</v>
      </c>
      <c r="F607" s="364" t="s">
        <v>332</v>
      </c>
      <c r="G607" s="344">
        <v>46293</v>
      </c>
      <c r="H607" s="344">
        <v>46295</v>
      </c>
      <c r="I607" s="341" t="s">
        <v>167</v>
      </c>
      <c r="J607" s="318">
        <v>0.33333333333333331</v>
      </c>
      <c r="K607" s="345"/>
      <c r="L607" s="344"/>
      <c r="M607" s="344"/>
      <c r="N607" s="344"/>
      <c r="O607" s="344"/>
      <c r="P607" s="344"/>
      <c r="Q607" s="321" t="s">
        <v>438</v>
      </c>
      <c r="R607" s="321"/>
      <c r="S607" s="321"/>
      <c r="T607" s="316">
        <f>VLOOKUP(Table2[[#This Row],[Course Title]],'TSD-Data'!$A$1:$E$80,4,FALSE)</f>
        <v>40</v>
      </c>
      <c r="U607" s="316">
        <f>VLOOKUP(Table2[[#This Row],[Course Title]],'TSD-Data'!$A$1:$F$80,6,FALSE)</f>
        <v>24</v>
      </c>
      <c r="V607" s="323">
        <f>VLOOKUP(Table2[[#This Row],[Course Title]],'TSD-Data'!$A$1:$F$80,5,FALSE)</f>
        <v>3</v>
      </c>
      <c r="W607" s="323">
        <v>30</v>
      </c>
      <c r="X607" s="316"/>
      <c r="Y607" s="316"/>
      <c r="Z607" s="323"/>
      <c r="AA607" s="323"/>
      <c r="AB607" s="363"/>
      <c r="AC607" s="363"/>
      <c r="AD607" s="316"/>
      <c r="AE607" s="316"/>
      <c r="AF607" s="323">
        <f ca="1">Table2[[#This Row],[End Date]]+2-TODAY()</f>
        <v>290</v>
      </c>
      <c r="AG607" s="316">
        <f>IF(ISBLANK(Table2[[#This Row],[Roster Received by]]),1,0)</f>
        <v>1</v>
      </c>
      <c r="AH607" s="316">
        <f ca="1">IF(Table2[[#This Row],[Start Date]]&gt;TODAY(),1,)</f>
        <v>1</v>
      </c>
      <c r="AI607" s="316">
        <f>IF(ISBLANK(Table2[[#This Row],[Primary Instructor]]),0,1)</f>
        <v>1</v>
      </c>
      <c r="AJ607" s="316">
        <f>IF(ISBLANK(Table2[[#This Row],[Instructor 2]]),0,1)</f>
        <v>0</v>
      </c>
      <c r="AK607" s="316">
        <f>Table2[[#This Row],[Course Length (Hours)]]/(SUM(Table2[[#This Row],[1]:[2]]))</f>
        <v>24</v>
      </c>
      <c r="AL607" s="638"/>
      <c r="AM607" s="444">
        <v>4</v>
      </c>
      <c r="AN607" s="363" t="str">
        <f>VLOOKUP(Table2[[#This Row],[Course Title]],'TSD-Data'!$A$1:$G$80,7,FALSE)</f>
        <v>N4</v>
      </c>
    </row>
    <row r="608" spans="2:40" s="428" customFormat="1" x14ac:dyDescent="0.25">
      <c r="B608" s="315"/>
      <c r="C608" s="439" t="s">
        <v>94</v>
      </c>
      <c r="D608" s="316" t="str">
        <f>VLOOKUP(Table2[[#This Row],[Course Title]],'TSD-Data'!$A$1:$E$80,2,FALSE)</f>
        <v>A-493-0331</v>
      </c>
      <c r="E608" s="316" t="str">
        <f>VLOOKUP(Table2[[#This Row],[Course Title]],'TSD-Data'!$A$1:$E$80,3,FALSE)</f>
        <v>10UG</v>
      </c>
      <c r="F608" s="440" t="s">
        <v>25</v>
      </c>
      <c r="G608" s="331">
        <v>46293</v>
      </c>
      <c r="H608" s="331">
        <v>46295</v>
      </c>
      <c r="I608" s="317" t="s">
        <v>163</v>
      </c>
      <c r="J608" s="318"/>
      <c r="K608" s="318">
        <v>0.5</v>
      </c>
      <c r="L608" s="429">
        <v>0.375</v>
      </c>
      <c r="M608" s="431">
        <v>0.79166666666666663</v>
      </c>
      <c r="N608" s="431">
        <v>0.75</v>
      </c>
      <c r="O608" s="431">
        <v>0.25</v>
      </c>
      <c r="P608" s="431">
        <v>4.1666666666666664E-2</v>
      </c>
      <c r="Q608" s="321" t="s">
        <v>436</v>
      </c>
      <c r="R608" s="321"/>
      <c r="S608" s="321"/>
      <c r="T608" s="316">
        <f>VLOOKUP(Table2[[#This Row],[Course Title]],'TSD-Data'!$A$1:$E$80,4,FALSE)</f>
        <v>45</v>
      </c>
      <c r="U608" s="316">
        <f>VLOOKUP(Table2[[#This Row],[Course Title]],'TSD-Data'!$A$1:$F$80,6,FALSE)</f>
        <v>24</v>
      </c>
      <c r="V608" s="323">
        <f>VLOOKUP(Table2[[#This Row],[Course Title]],'TSD-Data'!$A$1:$F$80,5,FALSE)</f>
        <v>3</v>
      </c>
      <c r="W608" s="323">
        <v>844</v>
      </c>
      <c r="X608" s="316"/>
      <c r="Y608" s="316"/>
      <c r="Z608" s="323"/>
      <c r="AA608" s="323"/>
      <c r="AB608" s="316"/>
      <c r="AC608" s="316"/>
      <c r="AD608" s="316"/>
      <c r="AE608" s="316"/>
      <c r="AF608" s="323">
        <f ca="1">Table2[[#This Row],[End Date]]+2-TODAY()</f>
        <v>290</v>
      </c>
      <c r="AG608" s="316">
        <f>IF(ISBLANK(Table2[[#This Row],[Roster Received by]]),1,0)</f>
        <v>1</v>
      </c>
      <c r="AH608" s="316">
        <f ca="1">IF(Table2[[#This Row],[Start Date]]&gt;TODAY(),1,)</f>
        <v>1</v>
      </c>
      <c r="AI608" s="316">
        <f>IF(ISBLANK(Table2[[#This Row],[Primary Instructor]]),0,1)</f>
        <v>1</v>
      </c>
      <c r="AJ608" s="316">
        <f>IF(ISBLANK(Table2[[#This Row],[Instructor 2]]),0,1)</f>
        <v>0</v>
      </c>
      <c r="AK608" s="316">
        <f>Table2[[#This Row],[Course Length (Hours)]]/(SUM(Table2[[#This Row],[1]:[2]]))</f>
        <v>24</v>
      </c>
      <c r="AL608" s="124"/>
      <c r="AM608" s="444">
        <v>4</v>
      </c>
      <c r="AN608" s="363" t="str">
        <f>VLOOKUP(Table2[[#This Row],[Course Title]],'TSD-Data'!$A$1:$G$80,7,FALSE)</f>
        <v>N3</v>
      </c>
    </row>
    <row r="609" spans="2:40" s="428" customFormat="1" x14ac:dyDescent="0.25">
      <c r="B609" s="315"/>
      <c r="C609" s="315" t="s">
        <v>113</v>
      </c>
      <c r="D609" s="316" t="str">
        <f>VLOOKUP(Table2[[#This Row],[Course Title]],'TSD-Data'!$A$1:$E$80,2,FALSE)</f>
        <v>A-570-0100</v>
      </c>
      <c r="E609" s="316" t="str">
        <f>VLOOKUP(Table2[[#This Row],[Course Title]],'TSD-Data'!$A$1:$E$80,3,FALSE)</f>
        <v>18B7</v>
      </c>
      <c r="F609" s="364" t="s">
        <v>25</v>
      </c>
      <c r="G609" s="344">
        <v>46293</v>
      </c>
      <c r="H609" s="344">
        <v>46294</v>
      </c>
      <c r="I609" s="317" t="s">
        <v>163</v>
      </c>
      <c r="J609" s="318"/>
      <c r="K609" s="345">
        <v>0.5</v>
      </c>
      <c r="L609" s="429">
        <v>0.375</v>
      </c>
      <c r="M609" s="429">
        <v>0.79166666666666663</v>
      </c>
      <c r="N609" s="429">
        <v>0.75</v>
      </c>
      <c r="O609" s="429">
        <v>0.25</v>
      </c>
      <c r="P609" s="429">
        <v>4.1666666666666664E-2</v>
      </c>
      <c r="Q609" s="321" t="s">
        <v>431</v>
      </c>
      <c r="R609" s="321"/>
      <c r="S609" s="321"/>
      <c r="T609" s="316">
        <f>VLOOKUP(Table2[[#This Row],[Course Title]],'TSD-Data'!$A$1:$E$80,4,FALSE)</f>
        <v>45</v>
      </c>
      <c r="U609" s="316">
        <f>VLOOKUP(Table2[[#This Row],[Course Title]],'TSD-Data'!$A$1:$F$80,6,FALSE)</f>
        <v>16</v>
      </c>
      <c r="V609" s="323">
        <f>VLOOKUP(Table2[[#This Row],[Course Title]],'TSD-Data'!$A$1:$F$80,5,FALSE)</f>
        <v>2</v>
      </c>
      <c r="W609" s="323">
        <v>663</v>
      </c>
      <c r="X609" s="316"/>
      <c r="Y609" s="316"/>
      <c r="Z609" s="323"/>
      <c r="AA609" s="323"/>
      <c r="AB609" s="316"/>
      <c r="AC609" s="316"/>
      <c r="AD609" s="316"/>
      <c r="AE609" s="316"/>
      <c r="AF609" s="323">
        <f ca="1">Table2[[#This Row],[End Date]]+2-TODAY()</f>
        <v>289</v>
      </c>
      <c r="AG609" s="316">
        <f>IF(ISBLANK(Table2[[#This Row],[Roster Received by]]),1,0)</f>
        <v>1</v>
      </c>
      <c r="AH609" s="316">
        <f ca="1">IF(Table2[[#This Row],[Start Date]]&gt;TODAY(),1,)</f>
        <v>1</v>
      </c>
      <c r="AI609" s="316">
        <f>IF(ISBLANK(Table2[[#This Row],[Primary Instructor]]),0,1)</f>
        <v>1</v>
      </c>
      <c r="AJ609" s="316">
        <f>IF(ISBLANK(Table2[[#This Row],[Instructor 2]]),0,1)</f>
        <v>0</v>
      </c>
      <c r="AK609" s="316">
        <f>Table2[[#This Row],[Course Length (Hours)]]/(SUM(Table2[[#This Row],[1]:[2]]))</f>
        <v>16</v>
      </c>
      <c r="AL609" s="124"/>
      <c r="AM609" s="444">
        <v>4</v>
      </c>
      <c r="AN609" s="363" t="str">
        <f>VLOOKUP(Table2[[#This Row],[Course Title]],'TSD-Data'!$A$1:$G$80,7,FALSE)</f>
        <v>N8</v>
      </c>
    </row>
    <row r="610" spans="2:40" x14ac:dyDescent="0.25">
      <c r="B610" s="139" t="s">
        <v>128</v>
      </c>
      <c r="C610" s="333">
        <f>SUBTOTAL(103,Table2[Course Title])</f>
        <v>606</v>
      </c>
      <c r="D610" s="333"/>
      <c r="E610" s="333"/>
      <c r="F610" s="333"/>
      <c r="G610" s="333"/>
      <c r="H610" s="333"/>
      <c r="I610" s="139"/>
      <c r="J610" s="139"/>
      <c r="K610" s="139"/>
      <c r="L610" s="139"/>
      <c r="M610" s="139"/>
      <c r="N610" s="139"/>
      <c r="O610" s="139"/>
      <c r="P610" s="139"/>
      <c r="Q610" s="232"/>
      <c r="R610" s="232"/>
      <c r="S610" s="232"/>
      <c r="T610" s="139">
        <f>SUBTOTAL(109,Table2[Quotas])</f>
        <v>126250</v>
      </c>
      <c r="U610" s="139">
        <f>SUBTOTAL(109,Table2[Course Length (Hours)])</f>
        <v>12621</v>
      </c>
      <c r="V610" s="139">
        <f>SUBTOTAL(109,Table2[Course Length (Days)])</f>
        <v>1606.0000000000005</v>
      </c>
      <c r="W610" s="139"/>
      <c r="X610" s="139">
        <f>SUBTOTAL(109,Table2[Registered])</f>
        <v>4351</v>
      </c>
      <c r="Y610" s="139" t="s">
        <v>421</v>
      </c>
      <c r="Z610" s="139">
        <f>SUBTOTAL(109,Table2[Graduates])</f>
        <v>3259</v>
      </c>
      <c r="AA610" s="139">
        <f>SUBTOTAL(109,Table2[Fail])</f>
        <v>27</v>
      </c>
      <c r="AB610" s="139">
        <f>SUBTOTAL(109,Table2[No Shows])</f>
        <v>128</v>
      </c>
      <c r="AC610" s="139">
        <f>SUBTOTAL(109,Table2[Walk-ins])</f>
        <v>53</v>
      </c>
      <c r="AD610" s="139">
        <f>SUBTOTAL(109,Table2[Foreign Grads])</f>
        <v>21</v>
      </c>
      <c r="AE610" s="139"/>
      <c r="AG610" s="139"/>
      <c r="AH610" s="139"/>
      <c r="AI610" s="139"/>
      <c r="AJ610" s="139"/>
      <c r="AK610" s="139"/>
      <c r="AL610" s="139"/>
      <c r="AM610" s="139"/>
      <c r="AN610" s="333"/>
    </row>
    <row r="612" spans="2:40" x14ac:dyDescent="0.25">
      <c r="B612" s="3"/>
    </row>
  </sheetData>
  <protectedRanges>
    <protectedRange algorithmName="SHA-512" hashValue="n6K25g9uzAcpntxjqTQaPVdKX1eij75CLB1gBuUNBybVL5B3VaxVW/Tcen54TXijIel0fCN9KO3xZiLZCJMSZw==" saltValue="89UdTK4UUElaUoKBccfOYw==" spinCount="100000" sqref="D3:E3" name="CIN CDP"/>
    <protectedRange algorithmName="SHA-512" hashValue="n6K25g9uzAcpntxjqTQaPVdKX1eij75CLB1gBuUNBybVL5B3VaxVW/Tcen54TXijIel0fCN9KO3xZiLZCJMSZw==" saltValue="89UdTK4UUElaUoKBccfOYw==" spinCount="100000" sqref="D25:D38 D4:E24 E25:E609" name="CIN CDP_1_1"/>
  </protectedRanges>
  <phoneticPr fontId="4" type="noConversion"/>
  <conditionalFormatting sqref="B450:B451 B454:B479 F472">
    <cfRule type="expression" dxfId="975" priority="303">
      <formula>$AA450="McQueen, Jennifer"</formula>
    </cfRule>
    <cfRule type="expression" dxfId="974" priority="301">
      <formula>$AA450="Benzick, Sue"</formula>
    </cfRule>
    <cfRule type="expression" dxfId="973" priority="302">
      <formula>$AA450="Jenne, Richard"</formula>
    </cfRule>
  </conditionalFormatting>
  <conditionalFormatting sqref="C23:C26">
    <cfRule type="expression" dxfId="972" priority="1699">
      <formula>$AB23="Benzick, Sue"</formula>
    </cfRule>
    <cfRule type="expression" dxfId="971" priority="1700">
      <formula>$AB23="Jenne, Richard"</formula>
    </cfRule>
    <cfRule type="expression" dxfId="970" priority="1701">
      <formula>$AB23="McQueen, Jennifer"</formula>
    </cfRule>
  </conditionalFormatting>
  <conditionalFormatting sqref="G4:H4 F4:F10 Z4:AA10 AA11:AA37 N208:P208 N217:P217 N224:P225 N227:P227 N232:P232 N238:P239 N242:P242 N248:P248 N260:P260 N262:P262 N265:P265 N270:P270 N272:P273 N281:P288 N291:P292 N296:P296 N300:P300 N304:P304 N310:P310 N320:P321 N324:P324 N329:P329 N331:P332 N334:P334 N337:P338 N343:P343 N358:P358 N360:P360 N369:P369 N373:P373 N379:P379 N382:P382 N384:P384 N387:P388 N395:P395 N402:P402 N404:P404 N417:P417 N419:P420 N449:P449">
    <cfRule type="expression" dxfId="969" priority="2371">
      <formula>$Z4="Benzick, Sue"</formula>
    </cfRule>
    <cfRule type="expression" dxfId="968" priority="2372">
      <formula>$Z4="Jenne, Richard"</formula>
    </cfRule>
  </conditionalFormatting>
  <conditionalFormatting sqref="G23:H25 K87:K122 L120:P122 K244:K261">
    <cfRule type="expression" dxfId="967" priority="1560">
      <formula>#REF!="McQueen, Jennifer"</formula>
    </cfRule>
    <cfRule type="expression" dxfId="966" priority="1558">
      <formula>#REF!="Benzick, Sue"</formula>
    </cfRule>
    <cfRule type="expression" dxfId="965" priority="1559">
      <formula>#REF!="Jenne, Richard"</formula>
    </cfRule>
  </conditionalFormatting>
  <conditionalFormatting sqref="G49:H50">
    <cfRule type="expression" dxfId="964" priority="1678">
      <formula>#REF!="Benzick, Sue"</formula>
    </cfRule>
    <cfRule type="expression" dxfId="963" priority="1679">
      <formula>#REF!="Jenne, Richard"</formula>
    </cfRule>
    <cfRule type="expression" dxfId="962" priority="1680">
      <formula>#REF!="McQueen, Jennifer"</formula>
    </cfRule>
  </conditionalFormatting>
  <conditionalFormatting sqref="G598:H598">
    <cfRule type="expression" dxfId="961" priority="238">
      <formula>#REF!="Benzick, Sue"</formula>
    </cfRule>
    <cfRule type="expression" dxfId="960" priority="239">
      <formula>#REF!="Jenne, Richard"</formula>
    </cfRule>
    <cfRule type="expression" dxfId="959" priority="240">
      <formula>#REF!="McQueen, Jennifer"</formula>
    </cfRule>
  </conditionalFormatting>
  <conditionalFormatting sqref="H26:H28">
    <cfRule type="expression" dxfId="958" priority="1682">
      <formula>#REF!="Jenne, Richard"</formula>
    </cfRule>
    <cfRule type="expression" dxfId="957" priority="1681">
      <formula>#REF!="Benzick, Sue"</formula>
    </cfRule>
    <cfRule type="expression" dxfId="956" priority="1683">
      <formula>#REF!="McQueen, Jennifer"</formula>
    </cfRule>
  </conditionalFormatting>
  <conditionalFormatting sqref="H41:H44">
    <cfRule type="expression" dxfId="955" priority="142">
      <formula>#REF!="Benzick, Sue"</formula>
    </cfRule>
    <cfRule type="expression" dxfId="954" priority="143">
      <formula>#REF!="Jenne, Richard"</formula>
    </cfRule>
    <cfRule type="expression" dxfId="953" priority="144">
      <formula>#REF!="McQueen, Jennifer"</formula>
    </cfRule>
  </conditionalFormatting>
  <conditionalFormatting sqref="H52 H54">
    <cfRule type="expression" dxfId="952" priority="1675">
      <formula>#REF!="Benzick, Sue"</formula>
    </cfRule>
    <cfRule type="expression" dxfId="951" priority="1677">
      <formula>#REF!="McQueen, Jennifer"</formula>
    </cfRule>
    <cfRule type="expression" dxfId="950" priority="1676">
      <formula>#REF!="Jenne, Richard"</formula>
    </cfRule>
  </conditionalFormatting>
  <conditionalFormatting sqref="I4:I609">
    <cfRule type="containsText" dxfId="79" priority="242" operator="containsText" text="Funded">
      <formula>NOT(ISERROR(SEARCH("Funded",I4)))</formula>
    </cfRule>
    <cfRule type="containsText" dxfId="78" priority="241" operator="containsText" text="Unfunded">
      <formula>NOT(ISERROR(SEARCH("Unfunded",I4)))</formula>
    </cfRule>
  </conditionalFormatting>
  <conditionalFormatting sqref="J4:J5 G17:H19 G38:H47 G40:G48 K43:P43 K44 K48:K49 K54:K68 K71:K74 J84:J88 K126:K132 K194:K198 L195:P198 K226:K242 L370:P371 J454:J480">
    <cfRule type="expression" dxfId="949" priority="1562">
      <formula>#REF!="Jenne, Richard"</formula>
    </cfRule>
    <cfRule type="expression" dxfId="948" priority="1563">
      <formula>#REF!="McQueen, Jennifer"</formula>
    </cfRule>
    <cfRule type="expression" dxfId="947" priority="1561">
      <formula>#REF!="Benzick, Sue"</formula>
    </cfRule>
  </conditionalFormatting>
  <conditionalFormatting sqref="J8:J15 K13 N13 L115:P116">
    <cfRule type="expression" dxfId="946" priority="1697">
      <formula>#REF!="Jenne, Richard"</formula>
    </cfRule>
    <cfRule type="expression" dxfId="945" priority="1696">
      <formula>#REF!="Benzick, Sue"</formula>
    </cfRule>
    <cfRule type="expression" dxfId="944" priority="1698">
      <formula>#REF!="McQueen, Jennifer"</formula>
    </cfRule>
  </conditionalFormatting>
  <conditionalFormatting sqref="J17">
    <cfRule type="expression" dxfId="943" priority="2178">
      <formula>#REF!="McQueen, Jennifer"</formula>
    </cfRule>
    <cfRule type="expression" dxfId="942" priority="2177">
      <formula>#REF!="Jenne, Richard"</formula>
    </cfRule>
    <cfRule type="expression" dxfId="941" priority="2176">
      <formula>#REF!="Benzick, Sue"</formula>
    </cfRule>
  </conditionalFormatting>
  <conditionalFormatting sqref="J38">
    <cfRule type="expression" dxfId="940" priority="1624">
      <formula>#REF!="Benzick, Sue"</formula>
    </cfRule>
    <cfRule type="expression" dxfId="939" priority="1625">
      <formula>#REF!="Jenne, Richard"</formula>
    </cfRule>
    <cfRule type="expression" dxfId="938" priority="1626">
      <formula>#REF!="McQueen, Jennifer"</formula>
    </cfRule>
  </conditionalFormatting>
  <conditionalFormatting sqref="J39:J47">
    <cfRule type="expression" dxfId="937" priority="1663">
      <formula>$W39="Benzick, Sue"</formula>
    </cfRule>
    <cfRule type="expression" dxfId="936" priority="1665">
      <formula>$W39="McQueen, Jennifer"</formula>
    </cfRule>
    <cfRule type="expression" dxfId="935" priority="1664">
      <formula>$W39="Jenne, Richard"</formula>
    </cfRule>
  </conditionalFormatting>
  <conditionalFormatting sqref="J48:J50">
    <cfRule type="expression" dxfId="934" priority="1629">
      <formula>#REF!="McQueen, Jennifer"</formula>
    </cfRule>
    <cfRule type="expression" dxfId="933" priority="1627">
      <formula>#REF!="Benzick, Sue"</formula>
    </cfRule>
    <cfRule type="expression" dxfId="932" priority="1628">
      <formula>#REF!="Jenne, Richard"</formula>
    </cfRule>
  </conditionalFormatting>
  <conditionalFormatting sqref="J52:J56">
    <cfRule type="expression" dxfId="931" priority="1630">
      <formula>#REF!="Benzick, Sue"</formula>
    </cfRule>
    <cfRule type="expression" dxfId="930" priority="1631">
      <formula>#REF!="Jenne, Richard"</formula>
    </cfRule>
    <cfRule type="expression" dxfId="929" priority="1632">
      <formula>#REF!="McQueen, Jennifer"</formula>
    </cfRule>
  </conditionalFormatting>
  <conditionalFormatting sqref="J58:J62">
    <cfRule type="expression" dxfId="928" priority="1638">
      <formula>#REF!="McQueen, Jennifer"</formula>
    </cfRule>
    <cfRule type="expression" dxfId="927" priority="1636">
      <formula>#REF!="Benzick, Sue"</formula>
    </cfRule>
    <cfRule type="expression" dxfId="926" priority="1637">
      <formula>#REF!="Jenne, Richard"</formula>
    </cfRule>
  </conditionalFormatting>
  <conditionalFormatting sqref="J67:J73">
    <cfRule type="expression" dxfId="925" priority="1643">
      <formula>#REF!="Jenne, Richard"</formula>
    </cfRule>
    <cfRule type="expression" dxfId="924" priority="1644">
      <formula>#REF!="McQueen, Jennifer"</formula>
    </cfRule>
    <cfRule type="expression" dxfId="923" priority="1642">
      <formula>#REF!="Benzick, Sue"</formula>
    </cfRule>
  </conditionalFormatting>
  <conditionalFormatting sqref="J210">
    <cfRule type="expression" dxfId="922" priority="1608">
      <formula>#REF!="McQueen, Jennifer"</formula>
    </cfRule>
    <cfRule type="expression" dxfId="921" priority="1607">
      <formula>#REF!="Jenne, Richard"</formula>
    </cfRule>
    <cfRule type="expression" dxfId="920" priority="1606">
      <formula>#REF!="Benzick, Sue"</formula>
    </cfRule>
  </conditionalFormatting>
  <conditionalFormatting sqref="J233">
    <cfRule type="expression" dxfId="919" priority="1564">
      <formula>#REF!="Benzick, Sue"</formula>
    </cfRule>
    <cfRule type="expression" dxfId="918" priority="1566">
      <formula>#REF!="McQueen, Jennifer"</formula>
    </cfRule>
    <cfRule type="expression" dxfId="917" priority="1565">
      <formula>#REF!="Jenne, Richard"</formula>
    </cfRule>
  </conditionalFormatting>
  <conditionalFormatting sqref="J265">
    <cfRule type="expression" dxfId="916" priority="1605">
      <formula>#REF!="McQueen, Jennifer"</formula>
    </cfRule>
    <cfRule type="expression" dxfId="915" priority="1604">
      <formula>#REF!="Jenne, Richard"</formula>
    </cfRule>
    <cfRule type="expression" dxfId="914" priority="1603">
      <formula>#REF!="Benzick, Sue"</formula>
    </cfRule>
  </conditionalFormatting>
  <conditionalFormatting sqref="J281:J285">
    <cfRule type="expression" dxfId="913" priority="1651">
      <formula>#REF!="Benzick, Sue"</formula>
    </cfRule>
    <cfRule type="expression" dxfId="912" priority="1652">
      <formula>#REF!="Jenne, Richard"</formula>
    </cfRule>
    <cfRule type="expression" dxfId="911" priority="1653">
      <formula>#REF!="McQueen, Jennifer"</formula>
    </cfRule>
  </conditionalFormatting>
  <conditionalFormatting sqref="J376:J378">
    <cfRule type="expression" dxfId="910" priority="1601">
      <formula>#REF!="Jenne, Richard"</formula>
    </cfRule>
    <cfRule type="expression" dxfId="909" priority="1602">
      <formula>#REF!="McQueen, Jennifer"</formula>
    </cfRule>
    <cfRule type="expression" dxfId="908" priority="1600">
      <formula>#REF!="Benzick, Sue"</formula>
    </cfRule>
  </conditionalFormatting>
  <conditionalFormatting sqref="J536">
    <cfRule type="expression" dxfId="907" priority="274">
      <formula>#REF!="Benzick, Sue"</formula>
    </cfRule>
    <cfRule type="expression" dxfId="906" priority="276">
      <formula>#REF!="McQueen, Jennifer"</formula>
    </cfRule>
    <cfRule type="expression" dxfId="905" priority="275">
      <formula>#REF!="Jenne, Richard"</formula>
    </cfRule>
  </conditionalFormatting>
  <conditionalFormatting sqref="J550">
    <cfRule type="expression" dxfId="904" priority="268">
      <formula>#REF!="Benzick, Sue"</formula>
    </cfRule>
    <cfRule type="expression" dxfId="903" priority="269">
      <formula>#REF!="Jenne, Richard"</formula>
    </cfRule>
    <cfRule type="expression" dxfId="902" priority="270">
      <formula>#REF!="McQueen, Jennifer"</formula>
    </cfRule>
  </conditionalFormatting>
  <conditionalFormatting sqref="J554">
    <cfRule type="expression" dxfId="901" priority="265">
      <formula>#REF!="Benzick, Sue"</formula>
    </cfRule>
    <cfRule type="expression" dxfId="900" priority="267">
      <formula>#REF!="McQueen, Jennifer"</formula>
    </cfRule>
    <cfRule type="expression" dxfId="899" priority="266">
      <formula>#REF!="Jenne, Richard"</formula>
    </cfRule>
  </conditionalFormatting>
  <conditionalFormatting sqref="J568">
    <cfRule type="expression" dxfId="898" priority="262">
      <formula>#REF!="Benzick, Sue"</formula>
    </cfRule>
    <cfRule type="expression" dxfId="897" priority="264">
      <formula>#REF!="McQueen, Jennifer"</formula>
    </cfRule>
    <cfRule type="expression" dxfId="896" priority="263">
      <formula>#REF!="Jenne, Richard"</formula>
    </cfRule>
  </conditionalFormatting>
  <conditionalFormatting sqref="J572">
    <cfRule type="expression" dxfId="895" priority="261">
      <formula>#REF!="McQueen, Jennifer"</formula>
    </cfRule>
    <cfRule type="expression" dxfId="894" priority="260">
      <formula>#REF!="Jenne, Richard"</formula>
    </cfRule>
    <cfRule type="expression" dxfId="893" priority="259">
      <formula>#REF!="Benzick, Sue"</formula>
    </cfRule>
  </conditionalFormatting>
  <conditionalFormatting sqref="J576">
    <cfRule type="expression" dxfId="892" priority="258">
      <formula>#REF!="McQueen, Jennifer"</formula>
    </cfRule>
    <cfRule type="expression" dxfId="891" priority="257">
      <formula>#REF!="Jenne, Richard"</formula>
    </cfRule>
    <cfRule type="expression" dxfId="890" priority="256">
      <formula>#REF!="Benzick, Sue"</formula>
    </cfRule>
  </conditionalFormatting>
  <conditionalFormatting sqref="J598">
    <cfRule type="expression" dxfId="889" priority="235">
      <formula>#REF!="Benzick, Sue"</formula>
    </cfRule>
    <cfRule type="expression" dxfId="888" priority="236">
      <formula>#REF!="Jenne, Richard"</formula>
    </cfRule>
    <cfRule type="expression" dxfId="887" priority="237">
      <formula>#REF!="McQueen, Jennifer"</formula>
    </cfRule>
  </conditionalFormatting>
  <conditionalFormatting sqref="J601">
    <cfRule type="expression" dxfId="886" priority="232">
      <formula>#REF!="Benzick, Sue"</formula>
    </cfRule>
    <cfRule type="expression" dxfId="885" priority="234">
      <formula>#REF!="McQueen, Jennifer"</formula>
    </cfRule>
    <cfRule type="expression" dxfId="884" priority="233">
      <formula>#REF!="Jenne, Richard"</formula>
    </cfRule>
  </conditionalFormatting>
  <conditionalFormatting sqref="J606">
    <cfRule type="expression" dxfId="883" priority="229">
      <formula>#REF!="Benzick, Sue"</formula>
    </cfRule>
    <cfRule type="expression" dxfId="882" priority="230">
      <formula>#REF!="Jenne, Richard"</formula>
    </cfRule>
    <cfRule type="expression" dxfId="881" priority="231">
      <formula>#REF!="McQueen, Jennifer"</formula>
    </cfRule>
  </conditionalFormatting>
  <conditionalFormatting sqref="K10:K11 K21 K23:K25 K28">
    <cfRule type="expression" dxfId="880" priority="1616">
      <formula>#REF!="Jenne, Richard"</formula>
    </cfRule>
    <cfRule type="expression" dxfId="879" priority="1615">
      <formula>#REF!="Benzick, Sue"</formula>
    </cfRule>
    <cfRule type="expression" dxfId="878" priority="1617">
      <formula>#REF!="McQueen, Jennifer"</formula>
    </cfRule>
  </conditionalFormatting>
  <conditionalFormatting sqref="K30:K42">
    <cfRule type="expression" dxfId="877" priority="198">
      <formula>#REF!="McQueen, Jennifer"</formula>
    </cfRule>
    <cfRule type="expression" dxfId="876" priority="197">
      <formula>#REF!="Jenne, Richard"</formula>
    </cfRule>
    <cfRule type="expression" dxfId="875" priority="196">
      <formula>#REF!="Benzick, Sue"</formula>
    </cfRule>
  </conditionalFormatting>
  <conditionalFormatting sqref="K51:K52">
    <cfRule type="expression" dxfId="874" priority="1381">
      <formula>#REF!="Benzick, Sue"</formula>
    </cfRule>
    <cfRule type="expression" dxfId="873" priority="1383">
      <formula>#REF!="McQueen, Jennifer"</formula>
    </cfRule>
    <cfRule type="expression" dxfId="872" priority="1382">
      <formula>#REF!="Jenne, Richard"</formula>
    </cfRule>
  </conditionalFormatting>
  <conditionalFormatting sqref="K76">
    <cfRule type="expression" dxfId="871" priority="108">
      <formula>#REF!="McQueen, Jennifer"</formula>
    </cfRule>
    <cfRule type="expression" dxfId="870" priority="107">
      <formula>#REF!="Jenne, Richard"</formula>
    </cfRule>
    <cfRule type="expression" dxfId="869" priority="106">
      <formula>#REF!="Benzick, Sue"</formula>
    </cfRule>
  </conditionalFormatting>
  <conditionalFormatting sqref="K78:K81">
    <cfRule type="expression" dxfId="868" priority="80">
      <formula>#REF!="Jenne, Richard"</formula>
    </cfRule>
    <cfRule type="expression" dxfId="867" priority="79">
      <formula>#REF!="Benzick, Sue"</formula>
    </cfRule>
    <cfRule type="expression" dxfId="866" priority="81">
      <formula>#REF!="McQueen, Jennifer"</formula>
    </cfRule>
  </conditionalFormatting>
  <conditionalFormatting sqref="K83:K85">
    <cfRule type="expression" dxfId="865" priority="78">
      <formula>#REF!="McQueen, Jennifer"</formula>
    </cfRule>
    <cfRule type="expression" dxfId="864" priority="77">
      <formula>#REF!="Jenne, Richard"</formula>
    </cfRule>
    <cfRule type="expression" dxfId="863" priority="76">
      <formula>#REF!="Benzick, Sue"</formula>
    </cfRule>
  </conditionalFormatting>
  <conditionalFormatting sqref="K137:K138">
    <cfRule type="expression" dxfId="862" priority="1275">
      <formula>#REF!="McQueen, Jennifer"</formula>
    </cfRule>
    <cfRule type="expression" dxfId="861" priority="1274">
      <formula>#REF!="Jenne, Richard"</formula>
    </cfRule>
    <cfRule type="expression" dxfId="860" priority="1273">
      <formula>#REF!="Benzick, Sue"</formula>
    </cfRule>
  </conditionalFormatting>
  <conditionalFormatting sqref="K140:K187">
    <cfRule type="expression" dxfId="859" priority="54">
      <formula>#REF!="McQueen, Jennifer"</formula>
    </cfRule>
    <cfRule type="expression" dxfId="858" priority="53">
      <formula>#REF!="Jenne, Richard"</formula>
    </cfRule>
    <cfRule type="expression" dxfId="857" priority="52">
      <formula>#REF!="Benzick, Sue"</formula>
    </cfRule>
  </conditionalFormatting>
  <conditionalFormatting sqref="K189:K190">
    <cfRule type="expression" dxfId="856" priority="41">
      <formula>#REF!="Jenne, Richard"</formula>
    </cfRule>
    <cfRule type="expression" dxfId="855" priority="42">
      <formula>#REF!="McQueen, Jennifer"</formula>
    </cfRule>
    <cfRule type="expression" dxfId="854" priority="40">
      <formula>#REF!="Benzick, Sue"</formula>
    </cfRule>
  </conditionalFormatting>
  <conditionalFormatting sqref="K200:K201">
    <cfRule type="expression" dxfId="853" priority="1056">
      <formula>#REF!="McQueen, Jennifer"</formula>
    </cfRule>
    <cfRule type="expression" dxfId="852" priority="1055">
      <formula>#REF!="Jenne, Richard"</formula>
    </cfRule>
    <cfRule type="expression" dxfId="851" priority="1054">
      <formula>#REF!="Benzick, Sue"</formula>
    </cfRule>
  </conditionalFormatting>
  <conditionalFormatting sqref="K203:K213">
    <cfRule type="expression" dxfId="850" priority="2">
      <formula>#REF!="Jenne, Richard"</formula>
    </cfRule>
    <cfRule type="expression" dxfId="849" priority="3">
      <formula>#REF!="McQueen, Jennifer"</formula>
    </cfRule>
    <cfRule type="expression" dxfId="848" priority="1">
      <formula>#REF!="Benzick, Sue"</formula>
    </cfRule>
  </conditionalFormatting>
  <conditionalFormatting sqref="K215:K224">
    <cfRule type="expression" dxfId="847" priority="369">
      <formula>#REF!="McQueen, Jennifer"</formula>
    </cfRule>
    <cfRule type="expression" dxfId="846" priority="368">
      <formula>#REF!="Jenne, Richard"</formula>
    </cfRule>
    <cfRule type="expression" dxfId="845" priority="367">
      <formula>#REF!="Benzick, Sue"</formula>
    </cfRule>
  </conditionalFormatting>
  <conditionalFormatting sqref="K263:K264">
    <cfRule type="expression" dxfId="844" priority="997">
      <formula>#REF!="Benzick, Sue"</formula>
    </cfRule>
    <cfRule type="expression" dxfId="843" priority="998">
      <formula>#REF!="Jenne, Richard"</formula>
    </cfRule>
    <cfRule type="expression" dxfId="842" priority="999">
      <formula>#REF!="McQueen, Jennifer"</formula>
    </cfRule>
  </conditionalFormatting>
  <conditionalFormatting sqref="K266:K280">
    <cfRule type="expression" dxfId="841" priority="985">
      <formula>#REF!="Benzick, Sue"</formula>
    </cfRule>
    <cfRule type="expression" dxfId="840" priority="986">
      <formula>#REF!="Jenne, Richard"</formula>
    </cfRule>
    <cfRule type="expression" dxfId="839" priority="987">
      <formula>#REF!="McQueen, Jennifer"</formula>
    </cfRule>
  </conditionalFormatting>
  <conditionalFormatting sqref="K290">
    <cfRule type="expression" dxfId="838" priority="979">
      <formula>#REF!="Benzick, Sue"</formula>
    </cfRule>
    <cfRule type="expression" dxfId="837" priority="980">
      <formula>#REF!="Jenne, Richard"</formula>
    </cfRule>
    <cfRule type="expression" dxfId="836" priority="981">
      <formula>#REF!="McQueen, Jennifer"</formula>
    </cfRule>
  </conditionalFormatting>
  <conditionalFormatting sqref="K298">
    <cfRule type="expression" dxfId="835" priority="973">
      <formula>#REF!="Benzick, Sue"</formula>
    </cfRule>
    <cfRule type="expression" dxfId="834" priority="974">
      <formula>#REF!="Jenne, Richard"</formula>
    </cfRule>
    <cfRule type="expression" dxfId="833" priority="975">
      <formula>#REF!="McQueen, Jennifer"</formula>
    </cfRule>
  </conditionalFormatting>
  <conditionalFormatting sqref="K305">
    <cfRule type="expression" dxfId="832" priority="216">
      <formula>#REF!="McQueen, Jennifer"</formula>
    </cfRule>
    <cfRule type="expression" dxfId="831" priority="215">
      <formula>#REF!="Jenne, Richard"</formula>
    </cfRule>
    <cfRule type="expression" dxfId="830" priority="214">
      <formula>#REF!="Benzick, Sue"</formula>
    </cfRule>
  </conditionalFormatting>
  <conditionalFormatting sqref="K307">
    <cfRule type="expression" dxfId="829" priority="348">
      <formula>#REF!="McQueen, Jennifer"</formula>
    </cfRule>
    <cfRule type="expression" dxfId="828" priority="347">
      <formula>#REF!="Jenne, Richard"</formula>
    </cfRule>
    <cfRule type="expression" dxfId="827" priority="346">
      <formula>#REF!="Benzick, Sue"</formula>
    </cfRule>
  </conditionalFormatting>
  <conditionalFormatting sqref="K311">
    <cfRule type="expression" dxfId="826" priority="206">
      <formula>#REF!="Jenne, Richard"</formula>
    </cfRule>
    <cfRule type="expression" dxfId="825" priority="207">
      <formula>#REF!="McQueen, Jennifer"</formula>
    </cfRule>
    <cfRule type="expression" dxfId="824" priority="205">
      <formula>#REF!="Benzick, Sue"</formula>
    </cfRule>
  </conditionalFormatting>
  <conditionalFormatting sqref="K313">
    <cfRule type="expression" dxfId="823" priority="1492">
      <formula>#REF!="Benzick, Sue"</formula>
    </cfRule>
    <cfRule type="expression" dxfId="822" priority="1493">
      <formula>#REF!="Jenne, Richard"</formula>
    </cfRule>
    <cfRule type="expression" dxfId="821" priority="1494">
      <formula>#REF!="McQueen, Jennifer"</formula>
    </cfRule>
  </conditionalFormatting>
  <conditionalFormatting sqref="K316:K317">
    <cfRule type="expression" dxfId="820" priority="963">
      <formula>#REF!="McQueen, Jennifer"</formula>
    </cfRule>
    <cfRule type="expression" dxfId="819" priority="962">
      <formula>#REF!="Jenne, Richard"</formula>
    </cfRule>
    <cfRule type="expression" dxfId="818" priority="961">
      <formula>#REF!="Benzick, Sue"</formula>
    </cfRule>
  </conditionalFormatting>
  <conditionalFormatting sqref="K319">
    <cfRule type="expression" dxfId="817" priority="956">
      <formula>#REF!="Jenne, Richard"</formula>
    </cfRule>
    <cfRule type="expression" dxfId="816" priority="955">
      <formula>#REF!="Benzick, Sue"</formula>
    </cfRule>
    <cfRule type="expression" dxfId="815" priority="957">
      <formula>#REF!="McQueen, Jennifer"</formula>
    </cfRule>
  </conditionalFormatting>
  <conditionalFormatting sqref="K323">
    <cfRule type="expression" dxfId="814" priority="358">
      <formula>#REF!="Benzick, Sue"</formula>
    </cfRule>
    <cfRule type="expression" dxfId="813" priority="359">
      <formula>#REF!="Jenne, Richard"</formula>
    </cfRule>
    <cfRule type="expression" dxfId="812" priority="360">
      <formula>#REF!="McQueen, Jennifer"</formula>
    </cfRule>
  </conditionalFormatting>
  <conditionalFormatting sqref="K325:K326">
    <cfRule type="expression" dxfId="811" priority="943">
      <formula>#REF!="Benzick, Sue"</formula>
    </cfRule>
    <cfRule type="expression" dxfId="810" priority="944">
      <formula>#REF!="Jenne, Richard"</formula>
    </cfRule>
    <cfRule type="expression" dxfId="809" priority="945">
      <formula>#REF!="McQueen, Jennifer"</formula>
    </cfRule>
  </conditionalFormatting>
  <conditionalFormatting sqref="K330">
    <cfRule type="expression" dxfId="808" priority="937">
      <formula>#REF!="Benzick, Sue"</formula>
    </cfRule>
    <cfRule type="expression" dxfId="807" priority="938">
      <formula>#REF!="Jenne, Richard"</formula>
    </cfRule>
    <cfRule type="expression" dxfId="806" priority="939">
      <formula>#REF!="McQueen, Jennifer"</formula>
    </cfRule>
  </conditionalFormatting>
  <conditionalFormatting sqref="K334">
    <cfRule type="expression" dxfId="805" priority="1577">
      <formula>#REF!="Jenne, Richard"</formula>
    </cfRule>
    <cfRule type="expression" dxfId="804" priority="1576">
      <formula>#REF!="Benzick, Sue"</formula>
    </cfRule>
    <cfRule type="expression" dxfId="803" priority="1578">
      <formula>#REF!="McQueen, Jennifer"</formula>
    </cfRule>
  </conditionalFormatting>
  <conditionalFormatting sqref="K336">
    <cfRule type="expression" dxfId="802" priority="925">
      <formula>#REF!="Benzick, Sue"</formula>
    </cfRule>
    <cfRule type="expression" dxfId="801" priority="926">
      <formula>#REF!="Jenne, Richard"</formula>
    </cfRule>
    <cfRule type="expression" dxfId="800" priority="927">
      <formula>#REF!="McQueen, Jennifer"</formula>
    </cfRule>
  </conditionalFormatting>
  <conditionalFormatting sqref="K347">
    <cfRule type="expression" dxfId="799" priority="921">
      <formula>#REF!="McQueen, Jennifer"</formula>
    </cfRule>
    <cfRule type="expression" dxfId="798" priority="919">
      <formula>#REF!="Benzick, Sue"</formula>
    </cfRule>
    <cfRule type="expression" dxfId="797" priority="920">
      <formula>#REF!="Jenne, Richard"</formula>
    </cfRule>
  </conditionalFormatting>
  <conditionalFormatting sqref="K349">
    <cfRule type="expression" dxfId="796" priority="915">
      <formula>#REF!="McQueen, Jennifer"</formula>
    </cfRule>
    <cfRule type="expression" dxfId="795" priority="914">
      <formula>#REF!="Jenne, Richard"</formula>
    </cfRule>
    <cfRule type="expression" dxfId="794" priority="913">
      <formula>#REF!="Benzick, Sue"</formula>
    </cfRule>
  </conditionalFormatting>
  <conditionalFormatting sqref="K355:K356">
    <cfRule type="expression" dxfId="793" priority="335">
      <formula>#REF!="Jenne, Richard"</formula>
    </cfRule>
    <cfRule type="expression" dxfId="792" priority="336">
      <formula>#REF!="McQueen, Jennifer"</formula>
    </cfRule>
    <cfRule type="expression" dxfId="791" priority="334">
      <formula>#REF!="Benzick, Sue"</formula>
    </cfRule>
  </conditionalFormatting>
  <conditionalFormatting sqref="K363:K364">
    <cfRule type="expression" dxfId="790" priority="895">
      <formula>#REF!="Benzick, Sue"</formula>
    </cfRule>
    <cfRule type="expression" dxfId="789" priority="896">
      <formula>#REF!="Jenne, Richard"</formula>
    </cfRule>
    <cfRule type="expression" dxfId="788" priority="897">
      <formula>#REF!="McQueen, Jennifer"</formula>
    </cfRule>
  </conditionalFormatting>
  <conditionalFormatting sqref="K372">
    <cfRule type="expression" dxfId="787" priority="1575">
      <formula>#REF!="McQueen, Jennifer"</formula>
    </cfRule>
    <cfRule type="expression" dxfId="786" priority="1574">
      <formula>#REF!="Jenne, Richard"</formula>
    </cfRule>
    <cfRule type="expression" dxfId="785" priority="1573">
      <formula>#REF!="Benzick, Sue"</formula>
    </cfRule>
  </conditionalFormatting>
  <conditionalFormatting sqref="K377">
    <cfRule type="expression" dxfId="784" priority="228">
      <formula>#REF!="McQueen, Jennifer"</formula>
    </cfRule>
    <cfRule type="expression" dxfId="783" priority="227">
      <formula>#REF!="Jenne, Richard"</formula>
    </cfRule>
    <cfRule type="expression" dxfId="782" priority="226">
      <formula>#REF!="Benzick, Sue"</formula>
    </cfRule>
  </conditionalFormatting>
  <conditionalFormatting sqref="K385:K386">
    <cfRule type="expression" dxfId="781" priority="891">
      <formula>#REF!="McQueen, Jennifer"</formula>
    </cfRule>
    <cfRule type="expression" dxfId="780" priority="890">
      <formula>#REF!="Jenne, Richard"</formula>
    </cfRule>
    <cfRule type="expression" dxfId="779" priority="889">
      <formula>#REF!="Benzick, Sue"</formula>
    </cfRule>
  </conditionalFormatting>
  <conditionalFormatting sqref="K390">
    <cfRule type="expression" dxfId="778" priority="883">
      <formula>#REF!="Benzick, Sue"</formula>
    </cfRule>
    <cfRule type="expression" dxfId="777" priority="884">
      <formula>#REF!="Jenne, Richard"</formula>
    </cfRule>
    <cfRule type="expression" dxfId="776" priority="885">
      <formula>#REF!="McQueen, Jennifer"</formula>
    </cfRule>
  </conditionalFormatting>
  <conditionalFormatting sqref="K397">
    <cfRule type="expression" dxfId="775" priority="1572">
      <formula>#REF!="McQueen, Jennifer"</formula>
    </cfRule>
    <cfRule type="expression" dxfId="774" priority="1571">
      <formula>#REF!="Jenne, Richard"</formula>
    </cfRule>
    <cfRule type="expression" dxfId="773" priority="1570">
      <formula>#REF!="Benzick, Sue"</formula>
    </cfRule>
  </conditionalFormatting>
  <conditionalFormatting sqref="K401">
    <cfRule type="expression" dxfId="772" priority="878">
      <formula>#REF!="Jenne, Richard"</formula>
    </cfRule>
    <cfRule type="expression" dxfId="771" priority="879">
      <formula>#REF!="McQueen, Jennifer"</formula>
    </cfRule>
    <cfRule type="expression" dxfId="770" priority="877">
      <formula>#REF!="Benzick, Sue"</formula>
    </cfRule>
  </conditionalFormatting>
  <conditionalFormatting sqref="K408:K409">
    <cfRule type="expression" dxfId="769" priority="867">
      <formula>#REF!="McQueen, Jennifer"</formula>
    </cfRule>
    <cfRule type="expression" dxfId="768" priority="865">
      <formula>#REF!="Benzick, Sue"</formula>
    </cfRule>
    <cfRule type="expression" dxfId="767" priority="866">
      <formula>#REF!="Jenne, Richard"</formula>
    </cfRule>
  </conditionalFormatting>
  <conditionalFormatting sqref="K413">
    <cfRule type="expression" dxfId="766" priority="859">
      <formula>#REF!="Benzick, Sue"</formula>
    </cfRule>
    <cfRule type="expression" dxfId="765" priority="860">
      <formula>#REF!="Jenne, Richard"</formula>
    </cfRule>
    <cfRule type="expression" dxfId="764" priority="861">
      <formula>#REF!="McQueen, Jennifer"</formula>
    </cfRule>
  </conditionalFormatting>
  <conditionalFormatting sqref="K416">
    <cfRule type="expression" dxfId="763" priority="855">
      <formula>#REF!="McQueen, Jennifer"</formula>
    </cfRule>
    <cfRule type="expression" dxfId="762" priority="853">
      <formula>#REF!="Benzick, Sue"</formula>
    </cfRule>
    <cfRule type="expression" dxfId="761" priority="854">
      <formula>#REF!="Jenne, Richard"</formula>
    </cfRule>
  </conditionalFormatting>
  <conditionalFormatting sqref="K418">
    <cfRule type="expression" dxfId="760" priority="1233">
      <formula>#REF!="McQueen, Jennifer"</formula>
    </cfRule>
    <cfRule type="expression" dxfId="759" priority="1232">
      <formula>#REF!="Jenne, Richard"</formula>
    </cfRule>
    <cfRule type="expression" dxfId="758" priority="1231">
      <formula>#REF!="Benzick, Sue"</formula>
    </cfRule>
  </conditionalFormatting>
  <conditionalFormatting sqref="K450:K454">
    <cfRule type="expression" dxfId="757" priority="296">
      <formula>#REF!="Jenne, Richard"</formula>
    </cfRule>
    <cfRule type="expression" dxfId="756" priority="295">
      <formula>#REF!="Benzick, Sue"</formula>
    </cfRule>
    <cfRule type="expression" dxfId="755" priority="297">
      <formula>#REF!="McQueen, Jennifer"</formula>
    </cfRule>
  </conditionalFormatting>
  <conditionalFormatting sqref="K457:K480">
    <cfRule type="expression" dxfId="754" priority="17">
      <formula>#REF!="Jenne, Richard"</formula>
    </cfRule>
    <cfRule type="expression" dxfId="753" priority="18">
      <formula>#REF!="McQueen, Jennifer"</formula>
    </cfRule>
    <cfRule type="expression" dxfId="752" priority="16">
      <formula>#REF!="Benzick, Sue"</formula>
    </cfRule>
  </conditionalFormatting>
  <conditionalFormatting sqref="K482">
    <cfRule type="expression" dxfId="751" priority="19">
      <formula>#REF!="Benzick, Sue"</formula>
    </cfRule>
    <cfRule type="expression" dxfId="750" priority="21">
      <formula>#REF!="McQueen, Jennifer"</formula>
    </cfRule>
    <cfRule type="expression" dxfId="749" priority="20">
      <formula>#REF!="Jenne, Richard"</formula>
    </cfRule>
  </conditionalFormatting>
  <conditionalFormatting sqref="K485">
    <cfRule type="expression" dxfId="748" priority="221">
      <formula>#REF!="Jenne, Richard"</formula>
    </cfRule>
    <cfRule type="expression" dxfId="747" priority="222">
      <formula>#REF!="McQueen, Jennifer"</formula>
    </cfRule>
    <cfRule type="expression" dxfId="746" priority="220">
      <formula>#REF!="Benzick, Sue"</formula>
    </cfRule>
  </conditionalFormatting>
  <conditionalFormatting sqref="K516">
    <cfRule type="expression" dxfId="745" priority="27">
      <formula>#REF!="McQueen, Jennifer"</formula>
    </cfRule>
    <cfRule type="expression" dxfId="744" priority="25">
      <formula>#REF!="Benzick, Sue"</formula>
    </cfRule>
    <cfRule type="expression" dxfId="743" priority="26">
      <formula>#REF!="Jenne, Richard"</formula>
    </cfRule>
  </conditionalFormatting>
  <conditionalFormatting sqref="K547">
    <cfRule type="expression" dxfId="742" priority="209">
      <formula>#REF!="Jenne, Richard"</formula>
    </cfRule>
    <cfRule type="expression" dxfId="741" priority="208">
      <formula>#REF!="Benzick, Sue"</formula>
    </cfRule>
    <cfRule type="expression" dxfId="740" priority="210">
      <formula>#REF!="McQueen, Jennifer"</formula>
    </cfRule>
  </conditionalFormatting>
  <conditionalFormatting sqref="K15:P18 J19:J36">
    <cfRule type="expression" dxfId="739" priority="1688">
      <formula>#REF!="Jenne, Richard"</formula>
    </cfRule>
    <cfRule type="expression" dxfId="738" priority="1689">
      <formula>#REF!="McQueen, Jennifer"</formula>
    </cfRule>
    <cfRule type="expression" dxfId="737" priority="1687">
      <formula>#REF!="Benzick, Sue"</formula>
    </cfRule>
  </conditionalFormatting>
  <conditionalFormatting sqref="K77:P77">
    <cfRule type="expression" dxfId="736" priority="103">
      <formula>#REF!="Benzick, Sue"</formula>
    </cfRule>
    <cfRule type="expression" dxfId="735" priority="105">
      <formula>#REF!="McQueen, Jennifer"</formula>
    </cfRule>
    <cfRule type="expression" dxfId="734" priority="104">
      <formula>#REF!="Jenne, Richard"</formula>
    </cfRule>
  </conditionalFormatting>
  <conditionalFormatting sqref="K134:P135">
    <cfRule type="expression" dxfId="733" priority="57">
      <formula>#REF!="McQueen, Jennifer"</formula>
    </cfRule>
    <cfRule type="expression" dxfId="732" priority="56">
      <formula>#REF!="Jenne, Richard"</formula>
    </cfRule>
    <cfRule type="expression" dxfId="731" priority="55">
      <formula>#REF!="Benzick, Sue"</formula>
    </cfRule>
  </conditionalFormatting>
  <conditionalFormatting sqref="K188:P188">
    <cfRule type="expression" dxfId="730" priority="51">
      <formula>#REF!="McQueen, Jennifer"</formula>
    </cfRule>
    <cfRule type="expression" dxfId="729" priority="50">
      <formula>#REF!="Jenne, Richard"</formula>
    </cfRule>
    <cfRule type="expression" dxfId="728" priority="49">
      <formula>#REF!="Benzick, Sue"</formula>
    </cfRule>
  </conditionalFormatting>
  <conditionalFormatting sqref="K191:P193">
    <cfRule type="expression" dxfId="727" priority="34">
      <formula>#REF!="Benzick, Sue"</formula>
    </cfRule>
    <cfRule type="expression" dxfId="726" priority="36">
      <formula>#REF!="McQueen, Jennifer"</formula>
    </cfRule>
    <cfRule type="expression" dxfId="725" priority="35">
      <formula>#REF!="Jenne, Richard"</formula>
    </cfRule>
  </conditionalFormatting>
  <conditionalFormatting sqref="K515:P515">
    <cfRule type="expression" dxfId="724" priority="31">
      <formula>#REF!="Benzick, Sue"</formula>
    </cfRule>
    <cfRule type="expression" dxfId="723" priority="33">
      <formula>#REF!="McQueen, Jennifer"</formula>
    </cfRule>
    <cfRule type="expression" dxfId="722" priority="32">
      <formula>#REF!="Jenne, Richard"</formula>
    </cfRule>
  </conditionalFormatting>
  <conditionalFormatting sqref="K517:P517">
    <cfRule type="expression" dxfId="721" priority="23">
      <formula>#REF!="Jenne, Richard"</formula>
    </cfRule>
    <cfRule type="expression" dxfId="720" priority="24">
      <formula>#REF!="McQueen, Jennifer"</formula>
    </cfRule>
    <cfRule type="expression" dxfId="719" priority="22">
      <formula>#REF!="Benzick, Sue"</formula>
    </cfRule>
  </conditionalFormatting>
  <conditionalFormatting sqref="L30:L32">
    <cfRule type="expression" dxfId="718" priority="178">
      <formula>#REF!="Benzick, Sue"</formula>
    </cfRule>
    <cfRule type="expression" dxfId="717" priority="179">
      <formula>#REF!="Jenne, Richard"</formula>
    </cfRule>
    <cfRule type="expression" dxfId="716" priority="180">
      <formula>#REF!="McQueen, Jennifer"</formula>
    </cfRule>
  </conditionalFormatting>
  <conditionalFormatting sqref="L38">
    <cfRule type="expression" dxfId="715" priority="1224">
      <formula>#REF!="McQueen, Jennifer"</formula>
    </cfRule>
    <cfRule type="expression" dxfId="714" priority="1222">
      <formula>#REF!="Benzick, Sue"</formula>
    </cfRule>
    <cfRule type="expression" dxfId="713" priority="1223">
      <formula>#REF!="Jenne, Richard"</formula>
    </cfRule>
  </conditionalFormatting>
  <conditionalFormatting sqref="L40">
    <cfRule type="expression" dxfId="712" priority="172">
      <formula>#REF!="Benzick, Sue"</formula>
    </cfRule>
    <cfRule type="expression" dxfId="711" priority="174">
      <formula>#REF!="McQueen, Jennifer"</formula>
    </cfRule>
    <cfRule type="expression" dxfId="710" priority="173">
      <formula>#REF!="Jenne, Richard"</formula>
    </cfRule>
  </conditionalFormatting>
  <conditionalFormatting sqref="L44">
    <cfRule type="expression" dxfId="709" priority="131">
      <formula>#REF!="Jenne, Richard"</formula>
    </cfRule>
    <cfRule type="expression" dxfId="708" priority="130">
      <formula>#REF!="Benzick, Sue"</formula>
    </cfRule>
    <cfRule type="expression" dxfId="707" priority="132">
      <formula>#REF!="McQueen, Jennifer"</formula>
    </cfRule>
  </conditionalFormatting>
  <conditionalFormatting sqref="L49">
    <cfRule type="expression" dxfId="706" priority="1215">
      <formula>#REF!="McQueen, Jennifer"</formula>
    </cfRule>
    <cfRule type="expression" dxfId="705" priority="1214">
      <formula>#REF!="Jenne, Richard"</formula>
    </cfRule>
    <cfRule type="expression" dxfId="704" priority="1213">
      <formula>#REF!="Benzick, Sue"</formula>
    </cfRule>
  </conditionalFormatting>
  <conditionalFormatting sqref="L54">
    <cfRule type="expression" dxfId="703" priority="1204">
      <formula>#REF!="Benzick, Sue"</formula>
    </cfRule>
    <cfRule type="expression" dxfId="702" priority="1205">
      <formula>#REF!="Jenne, Richard"</formula>
    </cfRule>
    <cfRule type="expression" dxfId="701" priority="1206">
      <formula>#REF!="McQueen, Jennifer"</formula>
    </cfRule>
  </conditionalFormatting>
  <conditionalFormatting sqref="L56">
    <cfRule type="expression" dxfId="700" priority="1196">
      <formula>#REF!="Jenne, Richard"</formula>
    </cfRule>
    <cfRule type="expression" dxfId="699" priority="1197">
      <formula>#REF!="McQueen, Jennifer"</formula>
    </cfRule>
    <cfRule type="expression" dxfId="698" priority="1195">
      <formula>#REF!="Benzick, Sue"</formula>
    </cfRule>
  </conditionalFormatting>
  <conditionalFormatting sqref="L60">
    <cfRule type="expression" dxfId="697" priority="1187">
      <formula>#REF!="Jenne, Richard"</formula>
    </cfRule>
    <cfRule type="expression" dxfId="696" priority="1188">
      <formula>#REF!="McQueen, Jennifer"</formula>
    </cfRule>
    <cfRule type="expression" dxfId="695" priority="1186">
      <formula>#REF!="Benzick, Sue"</formula>
    </cfRule>
  </conditionalFormatting>
  <conditionalFormatting sqref="L66">
    <cfRule type="expression" dxfId="694" priority="114">
      <formula>#REF!="McQueen, Jennifer"</formula>
    </cfRule>
    <cfRule type="expression" dxfId="693" priority="113">
      <formula>#REF!="Jenne, Richard"</formula>
    </cfRule>
    <cfRule type="expression" dxfId="692" priority="112">
      <formula>#REF!="Benzick, Sue"</formula>
    </cfRule>
  </conditionalFormatting>
  <conditionalFormatting sqref="L68">
    <cfRule type="expression" dxfId="691" priority="1177">
      <formula>#REF!="Benzick, Sue"</formula>
    </cfRule>
    <cfRule type="expression" dxfId="690" priority="1178">
      <formula>#REF!="Jenne, Richard"</formula>
    </cfRule>
    <cfRule type="expression" dxfId="689" priority="1179">
      <formula>#REF!="McQueen, Jennifer"</formula>
    </cfRule>
  </conditionalFormatting>
  <conditionalFormatting sqref="L74">
    <cfRule type="expression" dxfId="688" priority="1168">
      <formula>#REF!="Benzick, Sue"</formula>
    </cfRule>
    <cfRule type="expression" dxfId="687" priority="1169">
      <formula>#REF!="Jenne, Richard"</formula>
    </cfRule>
    <cfRule type="expression" dxfId="686" priority="1170">
      <formula>#REF!="McQueen, Jennifer"</formula>
    </cfRule>
  </conditionalFormatting>
  <conditionalFormatting sqref="L78:L79">
    <cfRule type="expression" dxfId="685" priority="90">
      <formula>#REF!="McQueen, Jennifer"</formula>
    </cfRule>
    <cfRule type="expression" dxfId="684" priority="89">
      <formula>#REF!="Jenne, Richard"</formula>
    </cfRule>
    <cfRule type="expression" dxfId="683" priority="88">
      <formula>#REF!="Benzick, Sue"</formula>
    </cfRule>
  </conditionalFormatting>
  <conditionalFormatting sqref="L83:L84">
    <cfRule type="expression" dxfId="682" priority="66">
      <formula>#REF!="McQueen, Jennifer"</formula>
    </cfRule>
    <cfRule type="expression" dxfId="681" priority="65">
      <formula>#REF!="Jenne, Richard"</formula>
    </cfRule>
    <cfRule type="expression" dxfId="680" priority="64">
      <formula>#REF!="Benzick, Sue"</formula>
    </cfRule>
  </conditionalFormatting>
  <conditionalFormatting sqref="L87">
    <cfRule type="expression" dxfId="679" priority="1151">
      <formula>#REF!="Jenne, Richard"</formula>
    </cfRule>
    <cfRule type="expression" dxfId="678" priority="1150">
      <formula>#REF!="Benzick, Sue"</formula>
    </cfRule>
    <cfRule type="expression" dxfId="677" priority="1152">
      <formula>#REF!="McQueen, Jennifer"</formula>
    </cfRule>
  </conditionalFormatting>
  <conditionalFormatting sqref="L97">
    <cfRule type="expression" dxfId="676" priority="1142">
      <formula>#REF!="Jenne, Richard"</formula>
    </cfRule>
    <cfRule type="expression" dxfId="675" priority="1141">
      <formula>#REF!="Benzick, Sue"</formula>
    </cfRule>
    <cfRule type="expression" dxfId="674" priority="1143">
      <formula>#REF!="McQueen, Jennifer"</formula>
    </cfRule>
  </conditionalFormatting>
  <conditionalFormatting sqref="L104">
    <cfRule type="expression" dxfId="673" priority="1125">
      <formula>#REF!="McQueen, Jennifer"</formula>
    </cfRule>
    <cfRule type="expression" dxfId="672" priority="1124">
      <formula>#REF!="Jenne, Richard"</formula>
    </cfRule>
    <cfRule type="expression" dxfId="671" priority="1123">
      <formula>#REF!="Benzick, Sue"</formula>
    </cfRule>
  </conditionalFormatting>
  <conditionalFormatting sqref="L109">
    <cfRule type="expression" dxfId="670" priority="1116">
      <formula>#REF!="McQueen, Jennifer"</formula>
    </cfRule>
    <cfRule type="expression" dxfId="669" priority="1115">
      <formula>#REF!="Jenne, Richard"</formula>
    </cfRule>
    <cfRule type="expression" dxfId="668" priority="1114">
      <formula>#REF!="Benzick, Sue"</formula>
    </cfRule>
  </conditionalFormatting>
  <conditionalFormatting sqref="L111">
    <cfRule type="expression" dxfId="667" priority="1105">
      <formula>#REF!="Benzick, Sue"</formula>
    </cfRule>
    <cfRule type="expression" dxfId="666" priority="1106">
      <formula>#REF!="Jenne, Richard"</formula>
    </cfRule>
    <cfRule type="expression" dxfId="665" priority="1107">
      <formula>#REF!="McQueen, Jennifer"</formula>
    </cfRule>
  </conditionalFormatting>
  <conditionalFormatting sqref="L118:L119">
    <cfRule type="expression" dxfId="664" priority="1070">
      <formula>#REF!="Jenne, Richard"</formula>
    </cfRule>
    <cfRule type="expression" dxfId="663" priority="1069">
      <formula>#REF!="Benzick, Sue"</formula>
    </cfRule>
    <cfRule type="expression" dxfId="662" priority="1071">
      <formula>#REF!="McQueen, Jennifer"</formula>
    </cfRule>
  </conditionalFormatting>
  <conditionalFormatting sqref="L140">
    <cfRule type="expression" dxfId="661" priority="374">
      <formula>#REF!="Jenne, Richard"</formula>
    </cfRule>
    <cfRule type="expression" dxfId="660" priority="373">
      <formula>#REF!="Benzick, Sue"</formula>
    </cfRule>
    <cfRule type="expression" dxfId="659" priority="375">
      <formula>#REF!="McQueen, Jennifer"</formula>
    </cfRule>
  </conditionalFormatting>
  <conditionalFormatting sqref="L194">
    <cfRule type="expression" dxfId="658" priority="1062">
      <formula>#REF!="McQueen, Jennifer"</formula>
    </cfRule>
    <cfRule type="expression" dxfId="657" priority="1060">
      <formula>#REF!="Benzick, Sue"</formula>
    </cfRule>
    <cfRule type="expression" dxfId="656" priority="1061">
      <formula>#REF!="Jenne, Richard"</formula>
    </cfRule>
  </conditionalFormatting>
  <conditionalFormatting sqref="L201">
    <cfRule type="expression" dxfId="655" priority="1053">
      <formula>#REF!="McQueen, Jennifer"</formula>
    </cfRule>
    <cfRule type="expression" dxfId="654" priority="1052">
      <formula>#REF!="Jenne, Richard"</formula>
    </cfRule>
    <cfRule type="expression" dxfId="653" priority="1051">
      <formula>#REF!="Benzick, Sue"</formula>
    </cfRule>
  </conditionalFormatting>
  <conditionalFormatting sqref="L208 L217 L224:L225 L227 L232 L238:L239 L242 L248 L260 L262 L265 L270 L272:L273 L281:L288 L291:L292 L296 L300 L304 L310 L320:L321 L324 L329 L331:L332 L334 L337:L338 L343 L358 L360 L369 L373 L379 L382 L384 L387:L388 L395 L402 L404 L417 L419:L420 L449 F450:F451">
    <cfRule type="expression" dxfId="652" priority="299">
      <formula>$Z208="Jenne, Richard"</formula>
    </cfRule>
    <cfRule type="expression" dxfId="651" priority="298">
      <formula>$Z208="Benzick, Sue"</formula>
    </cfRule>
    <cfRule type="expression" dxfId="650" priority="300">
      <formula>$Z208="McQueen, Jennifer"</formula>
    </cfRule>
  </conditionalFormatting>
  <conditionalFormatting sqref="L463">
    <cfRule type="expression" dxfId="649" priority="290">
      <formula>#REF!="Jenne, Richard"</formula>
    </cfRule>
    <cfRule type="expression" dxfId="648" priority="289">
      <formula>#REF!="Benzick, Sue"</formula>
    </cfRule>
    <cfRule type="expression" dxfId="647" priority="291">
      <formula>#REF!="McQueen, Jennifer"</formula>
    </cfRule>
  </conditionalFormatting>
  <conditionalFormatting sqref="L223:M223 O223:P223">
    <cfRule type="expression" dxfId="646" priority="504">
      <formula>#REF!="McQueen, Jennifer"</formula>
    </cfRule>
    <cfRule type="expression" dxfId="645" priority="503">
      <formula>#REF!="Jenne, Richard"</formula>
    </cfRule>
    <cfRule type="expression" dxfId="644" priority="502">
      <formula>#REF!="Benzick, Sue"</formula>
    </cfRule>
  </conditionalFormatting>
  <conditionalFormatting sqref="L226:M226 O226:P226 L229:M229 O229:P229">
    <cfRule type="expression" dxfId="643" priority="491">
      <formula>#REF!="Jenne, Richard"</formula>
    </cfRule>
    <cfRule type="expression" dxfId="642" priority="490">
      <formula>#REF!="Benzick, Sue"</formula>
    </cfRule>
    <cfRule type="expression" dxfId="641" priority="492">
      <formula>#REF!="McQueen, Jennifer"</formula>
    </cfRule>
  </conditionalFormatting>
  <conditionalFormatting sqref="L234:M234 O234:P234">
    <cfRule type="expression" dxfId="640" priority="485">
      <formula>#REF!="Jenne, Richard"</formula>
    </cfRule>
    <cfRule type="expression" dxfId="639" priority="484">
      <formula>#REF!="Benzick, Sue"</formula>
    </cfRule>
    <cfRule type="expression" dxfId="638" priority="486">
      <formula>#REF!="McQueen, Jennifer"</formula>
    </cfRule>
  </conditionalFormatting>
  <conditionalFormatting sqref="L243:M243 O243:P243">
    <cfRule type="expression" dxfId="637" priority="478">
      <formula>#REF!="Benzick, Sue"</formula>
    </cfRule>
    <cfRule type="expression" dxfId="636" priority="480">
      <formula>#REF!="McQueen, Jennifer"</formula>
    </cfRule>
    <cfRule type="expression" dxfId="635" priority="479">
      <formula>#REF!="Jenne, Richard"</formula>
    </cfRule>
  </conditionalFormatting>
  <conditionalFormatting sqref="L278:M278 O278:P278">
    <cfRule type="expression" dxfId="634" priority="472">
      <formula>#REF!="Benzick, Sue"</formula>
    </cfRule>
    <cfRule type="expression" dxfId="633" priority="473">
      <formula>#REF!="Jenne, Richard"</formula>
    </cfRule>
    <cfRule type="expression" dxfId="632" priority="474">
      <formula>#REF!="McQueen, Jennifer"</formula>
    </cfRule>
  </conditionalFormatting>
  <conditionalFormatting sqref="L295:M295 O295:P295">
    <cfRule type="expression" dxfId="631" priority="466">
      <formula>#REF!="Benzick, Sue"</formula>
    </cfRule>
    <cfRule type="expression" dxfId="630" priority="468">
      <formula>#REF!="McQueen, Jennifer"</formula>
    </cfRule>
    <cfRule type="expression" dxfId="629" priority="467">
      <formula>#REF!="Jenne, Richard"</formula>
    </cfRule>
  </conditionalFormatting>
  <conditionalFormatting sqref="L297:M297 O297:P297">
    <cfRule type="expression" dxfId="628" priority="462">
      <formula>#REF!="McQueen, Jennifer"</formula>
    </cfRule>
    <cfRule type="expression" dxfId="627" priority="461">
      <formula>#REF!="Jenne, Richard"</formula>
    </cfRule>
    <cfRule type="expression" dxfId="626" priority="460">
      <formula>#REF!="Benzick, Sue"</formula>
    </cfRule>
  </conditionalFormatting>
  <conditionalFormatting sqref="L299:M299 O299:P299">
    <cfRule type="expression" dxfId="625" priority="11">
      <formula>#REF!="Jenne, Richard"</formula>
    </cfRule>
    <cfRule type="expression" dxfId="624" priority="12">
      <formula>#REF!="McQueen, Jennifer"</formula>
    </cfRule>
    <cfRule type="expression" dxfId="623" priority="10">
      <formula>#REF!="Benzick, Sue"</formula>
    </cfRule>
  </conditionalFormatting>
  <conditionalFormatting sqref="L301:M301 O301:P301">
    <cfRule type="expression" dxfId="622" priority="456">
      <formula>#REF!="McQueen, Jennifer"</formula>
    </cfRule>
    <cfRule type="expression" dxfId="621" priority="455">
      <formula>#REF!="Jenne, Richard"</formula>
    </cfRule>
    <cfRule type="expression" dxfId="620" priority="454">
      <formula>#REF!="Benzick, Sue"</formula>
    </cfRule>
  </conditionalFormatting>
  <conditionalFormatting sqref="L312:M313 O312:P313">
    <cfRule type="expression" dxfId="619" priority="442">
      <formula>#REF!="Benzick, Sue"</formula>
    </cfRule>
    <cfRule type="expression" dxfId="618" priority="444">
      <formula>#REF!="McQueen, Jennifer"</formula>
    </cfRule>
    <cfRule type="expression" dxfId="617" priority="443">
      <formula>#REF!="Jenne, Richard"</formula>
    </cfRule>
  </conditionalFormatting>
  <conditionalFormatting sqref="L333:M333 O333:P333">
    <cfRule type="expression" dxfId="616" priority="338">
      <formula>#REF!="Jenne, Richard"</formula>
    </cfRule>
    <cfRule type="expression" dxfId="615" priority="339">
      <formula>#REF!="McQueen, Jennifer"</formula>
    </cfRule>
    <cfRule type="expression" dxfId="614" priority="337">
      <formula>#REF!="Benzick, Sue"</formula>
    </cfRule>
  </conditionalFormatting>
  <conditionalFormatting sqref="L357:M357 O357:P357">
    <cfRule type="expression" dxfId="613" priority="438">
      <formula>#REF!="McQueen, Jennifer"</formula>
    </cfRule>
    <cfRule type="expression" dxfId="612" priority="437">
      <formula>#REF!="Jenne, Richard"</formula>
    </cfRule>
    <cfRule type="expression" dxfId="611" priority="436">
      <formula>#REF!="Benzick, Sue"</formula>
    </cfRule>
  </conditionalFormatting>
  <conditionalFormatting sqref="L365:M365 O365:P365">
    <cfRule type="expression" dxfId="610" priority="432">
      <formula>#REF!="McQueen, Jennifer"</formula>
    </cfRule>
    <cfRule type="expression" dxfId="609" priority="431">
      <formula>#REF!="Jenne, Richard"</formula>
    </cfRule>
    <cfRule type="expression" dxfId="608" priority="430">
      <formula>#REF!="Benzick, Sue"</formula>
    </cfRule>
  </conditionalFormatting>
  <conditionalFormatting sqref="L386:M386 O386:P386">
    <cfRule type="expression" dxfId="607" priority="426">
      <formula>#REF!="McQueen, Jennifer"</formula>
    </cfRule>
    <cfRule type="expression" dxfId="606" priority="425">
      <formula>#REF!="Jenne, Richard"</formula>
    </cfRule>
    <cfRule type="expression" dxfId="605" priority="424">
      <formula>#REF!="Benzick, Sue"</formula>
    </cfRule>
  </conditionalFormatting>
  <conditionalFormatting sqref="L392:M393 O392:P393">
    <cfRule type="expression" dxfId="604" priority="412">
      <formula>#REF!="Benzick, Sue"</formula>
    </cfRule>
    <cfRule type="expression" dxfId="603" priority="413">
      <formula>#REF!="Jenne, Richard"</formula>
    </cfRule>
    <cfRule type="expression" dxfId="602" priority="414">
      <formula>#REF!="McQueen, Jennifer"</formula>
    </cfRule>
  </conditionalFormatting>
  <conditionalFormatting sqref="L397:M397 O397:P397">
    <cfRule type="expression" dxfId="601" priority="406">
      <formula>#REF!="Benzick, Sue"</formula>
    </cfRule>
    <cfRule type="expression" dxfId="600" priority="408">
      <formula>#REF!="McQueen, Jennifer"</formula>
    </cfRule>
    <cfRule type="expression" dxfId="599" priority="407">
      <formula>#REF!="Jenne, Richard"</formula>
    </cfRule>
  </conditionalFormatting>
  <conditionalFormatting sqref="L407:M407 O407:P407">
    <cfRule type="expression" dxfId="598" priority="400">
      <formula>#REF!="Benzick, Sue"</formula>
    </cfRule>
    <cfRule type="expression" dxfId="597" priority="401">
      <formula>#REF!="Jenne, Richard"</formula>
    </cfRule>
    <cfRule type="expression" dxfId="596" priority="402">
      <formula>#REF!="McQueen, Jennifer"</formula>
    </cfRule>
  </conditionalFormatting>
  <conditionalFormatting sqref="L414:M414 O414:P414">
    <cfRule type="expression" dxfId="595" priority="395">
      <formula>#REF!="Jenne, Richard"</formula>
    </cfRule>
    <cfRule type="expression" dxfId="594" priority="394">
      <formula>#REF!="Benzick, Sue"</formula>
    </cfRule>
    <cfRule type="expression" dxfId="593" priority="396">
      <formula>#REF!="McQueen, Jennifer"</formula>
    </cfRule>
  </conditionalFormatting>
  <conditionalFormatting sqref="L421:M421 O421:P421">
    <cfRule type="expression" dxfId="592" priority="390">
      <formula>#REF!="McQueen, Jennifer"</formula>
    </cfRule>
    <cfRule type="expression" dxfId="591" priority="389">
      <formula>#REF!="Jenne, Richard"</formula>
    </cfRule>
    <cfRule type="expression" dxfId="590" priority="388">
      <formula>#REF!="Benzick, Sue"</formula>
    </cfRule>
  </conditionalFormatting>
  <conditionalFormatting sqref="L11:O11">
    <cfRule type="expression" dxfId="589" priority="2289">
      <formula>#REF!="McQueen, Jennifer"</formula>
    </cfRule>
    <cfRule type="expression" dxfId="588" priority="2288">
      <formula>#REF!="Jenne, Richard"</formula>
    </cfRule>
    <cfRule type="expression" dxfId="587" priority="2287">
      <formula>#REF!="Benzick, Sue"</formula>
    </cfRule>
  </conditionalFormatting>
  <conditionalFormatting sqref="L21:P21 L23:P25 L28:P28">
    <cfRule type="expression" dxfId="586" priority="2338">
      <formula>#REF!="Benzick, Sue"</formula>
    </cfRule>
    <cfRule type="expression" dxfId="585" priority="2339">
      <formula>#REF!="Jenne, Richard"</formula>
    </cfRule>
    <cfRule type="expression" dxfId="584" priority="2340">
      <formula>#REF!="McQueen, Jennifer"</formula>
    </cfRule>
  </conditionalFormatting>
  <conditionalFormatting sqref="L33:P37">
    <cfRule type="expression" dxfId="583" priority="1404">
      <formula>#REF!="McQueen, Jennifer"</formula>
    </cfRule>
    <cfRule type="expression" dxfId="582" priority="1403">
      <formula>#REF!="Jenne, Richard"</formula>
    </cfRule>
    <cfRule type="expression" dxfId="581" priority="1402">
      <formula>#REF!="Benzick, Sue"</formula>
    </cfRule>
  </conditionalFormatting>
  <conditionalFormatting sqref="L39:P39 L48:P48">
    <cfRule type="expression" dxfId="580" priority="1390">
      <formula>#REF!="Benzick, Sue"</formula>
    </cfRule>
    <cfRule type="expression" dxfId="579" priority="1392">
      <formula>#REF!="McQueen, Jennifer"</formula>
    </cfRule>
    <cfRule type="expression" dxfId="578" priority="1391">
      <formula>#REF!="Jenne, Richard"</formula>
    </cfRule>
  </conditionalFormatting>
  <conditionalFormatting sqref="L41:P42">
    <cfRule type="expression" dxfId="577" priority="150">
      <formula>#REF!="McQueen, Jennifer"</formula>
    </cfRule>
    <cfRule type="expression" dxfId="576" priority="148">
      <formula>#REF!="Benzick, Sue"</formula>
    </cfRule>
    <cfRule type="expression" dxfId="575" priority="149">
      <formula>#REF!="Jenne, Richard"</formula>
    </cfRule>
  </conditionalFormatting>
  <conditionalFormatting sqref="L52:P52">
    <cfRule type="expression" dxfId="574" priority="1384">
      <formula>#REF!="Benzick, Sue"</formula>
    </cfRule>
    <cfRule type="expression" dxfId="573" priority="1386">
      <formula>#REF!="McQueen, Jennifer"</formula>
    </cfRule>
    <cfRule type="expression" dxfId="572" priority="1385">
      <formula>#REF!="Jenne, Richard"</formula>
    </cfRule>
  </conditionalFormatting>
  <conditionalFormatting sqref="L55:P55">
    <cfRule type="expression" dxfId="571" priority="1488">
      <formula>#REF!="McQueen, Jennifer"</formula>
    </cfRule>
    <cfRule type="expression" dxfId="570" priority="1486">
      <formula>#REF!="Benzick, Sue"</formula>
    </cfRule>
    <cfRule type="expression" dxfId="569" priority="1487">
      <formula>#REF!="Jenne, Richard"</formula>
    </cfRule>
  </conditionalFormatting>
  <conditionalFormatting sqref="L57:P59">
    <cfRule type="expression" dxfId="568" priority="1372">
      <formula>#REF!="Benzick, Sue"</formula>
    </cfRule>
    <cfRule type="expression" dxfId="567" priority="1373">
      <formula>#REF!="Jenne, Richard"</formula>
    </cfRule>
    <cfRule type="expression" dxfId="566" priority="1374">
      <formula>#REF!="McQueen, Jennifer"</formula>
    </cfRule>
  </conditionalFormatting>
  <conditionalFormatting sqref="L61:P62">
    <cfRule type="expression" dxfId="565" priority="1366">
      <formula>#REF!="Benzick, Sue"</formula>
    </cfRule>
    <cfRule type="expression" dxfId="564" priority="1368">
      <formula>#REF!="McQueen, Jennifer"</formula>
    </cfRule>
    <cfRule type="expression" dxfId="563" priority="1367">
      <formula>#REF!="Jenne, Richard"</formula>
    </cfRule>
  </conditionalFormatting>
  <conditionalFormatting sqref="L71:P73">
    <cfRule type="expression" dxfId="562" priority="1354">
      <formula>#REF!="Benzick, Sue"</formula>
    </cfRule>
    <cfRule type="expression" dxfId="561" priority="1356">
      <formula>#REF!="McQueen, Jennifer"</formula>
    </cfRule>
    <cfRule type="expression" dxfId="560" priority="1355">
      <formula>#REF!="Jenne, Richard"</formula>
    </cfRule>
  </conditionalFormatting>
  <conditionalFormatting sqref="L85:P85">
    <cfRule type="expression" dxfId="559" priority="1350">
      <formula>#REF!="McQueen, Jennifer"</formula>
    </cfRule>
    <cfRule type="expression" dxfId="558" priority="1349">
      <formula>#REF!="Jenne, Richard"</formula>
    </cfRule>
    <cfRule type="expression" dxfId="557" priority="1348">
      <formula>#REF!="Benzick, Sue"</formula>
    </cfRule>
  </conditionalFormatting>
  <conditionalFormatting sqref="L88:P92">
    <cfRule type="expression" dxfId="556" priority="1324">
      <formula>#REF!="Benzick, Sue"</formula>
    </cfRule>
    <cfRule type="expression" dxfId="555" priority="1326">
      <formula>#REF!="McQueen, Jennifer"</formula>
    </cfRule>
    <cfRule type="expression" dxfId="554" priority="1325">
      <formula>#REF!="Jenne, Richard"</formula>
    </cfRule>
  </conditionalFormatting>
  <conditionalFormatting sqref="L99:P101">
    <cfRule type="expression" dxfId="553" priority="8">
      <formula>#REF!="Jenne, Richard"</formula>
    </cfRule>
    <cfRule type="expression" dxfId="552" priority="7">
      <formula>#REF!="Benzick, Sue"</formula>
    </cfRule>
    <cfRule type="expression" dxfId="551" priority="9">
      <formula>#REF!="McQueen, Jennifer"</formula>
    </cfRule>
  </conditionalFormatting>
  <conditionalFormatting sqref="L106:P108">
    <cfRule type="expression" dxfId="550" priority="1301">
      <formula>#REF!="Jenne, Richard"</formula>
    </cfRule>
    <cfRule type="expression" dxfId="549" priority="1300">
      <formula>#REF!="Benzick, Sue"</formula>
    </cfRule>
    <cfRule type="expression" dxfId="548" priority="1302">
      <formula>#REF!="McQueen, Jennifer"</formula>
    </cfRule>
  </conditionalFormatting>
  <conditionalFormatting sqref="L112:P112">
    <cfRule type="expression" dxfId="547" priority="1295">
      <formula>#REF!="Jenne, Richard"</formula>
    </cfRule>
    <cfRule type="expression" dxfId="546" priority="1294">
      <formula>#REF!="Benzick, Sue"</formula>
    </cfRule>
    <cfRule type="expression" dxfId="545" priority="1296">
      <formula>#REF!="McQueen, Jennifer"</formula>
    </cfRule>
  </conditionalFormatting>
  <conditionalFormatting sqref="L130:P132">
    <cfRule type="expression" dxfId="544" priority="385">
      <formula>#REF!="Benzick, Sue"</formula>
    </cfRule>
    <cfRule type="expression" dxfId="543" priority="386">
      <formula>#REF!="Jenne, Richard"</formula>
    </cfRule>
    <cfRule type="expression" dxfId="542" priority="387">
      <formula>#REF!="McQueen, Jennifer"</formula>
    </cfRule>
  </conditionalFormatting>
  <conditionalFormatting sqref="L137:P138">
    <cfRule type="expression" dxfId="541" priority="1278">
      <formula>#REF!="McQueen, Jennifer"</formula>
    </cfRule>
    <cfRule type="expression" dxfId="540" priority="1277">
      <formula>#REF!="Jenne, Richard"</formula>
    </cfRule>
    <cfRule type="expression" dxfId="539" priority="1276">
      <formula>#REF!="Benzick, Sue"</formula>
    </cfRule>
  </conditionalFormatting>
  <conditionalFormatting sqref="L142:P187">
    <cfRule type="expression" dxfId="538" priority="1444">
      <formula>#REF!="Benzick, Sue"</formula>
    </cfRule>
    <cfRule type="expression" dxfId="537" priority="1445">
      <formula>#REF!="Jenne, Richard"</formula>
    </cfRule>
    <cfRule type="expression" dxfId="536" priority="1446">
      <formula>#REF!="McQueen, Jennifer"</formula>
    </cfRule>
  </conditionalFormatting>
  <conditionalFormatting sqref="L190:P190">
    <cfRule type="expression" dxfId="535" priority="45">
      <formula>#REF!="McQueen, Jennifer"</formula>
    </cfRule>
    <cfRule type="expression" dxfId="534" priority="44">
      <formula>#REF!="Jenne, Richard"</formula>
    </cfRule>
    <cfRule type="expression" dxfId="533" priority="43">
      <formula>#REF!="Benzick, Sue"</formula>
    </cfRule>
  </conditionalFormatting>
  <conditionalFormatting sqref="L200:P200">
    <cfRule type="expression" dxfId="532" priority="1264">
      <formula>#REF!="Benzick, Sue"</formula>
    </cfRule>
    <cfRule type="expression" dxfId="531" priority="1266">
      <formula>#REF!="McQueen, Jennifer"</formula>
    </cfRule>
    <cfRule type="expression" dxfId="530" priority="1265">
      <formula>#REF!="Jenne, Richard"</formula>
    </cfRule>
  </conditionalFormatting>
  <conditionalFormatting sqref="L204:P207">
    <cfRule type="expression" dxfId="529" priority="1254">
      <formula>#REF!="McQueen, Jennifer"</formula>
    </cfRule>
    <cfRule type="expression" dxfId="528" priority="1253">
      <formula>#REF!="Jenne, Richard"</formula>
    </cfRule>
    <cfRule type="expression" dxfId="527" priority="1252">
      <formula>#REF!="Benzick, Sue"</formula>
    </cfRule>
  </conditionalFormatting>
  <conditionalFormatting sqref="L210:P212">
    <cfRule type="expression" dxfId="526" priority="5">
      <formula>#REF!="Jenne, Richard"</formula>
    </cfRule>
    <cfRule type="expression" dxfId="525" priority="6">
      <formula>#REF!="McQueen, Jennifer"</formula>
    </cfRule>
    <cfRule type="expression" dxfId="524" priority="4">
      <formula>#REF!="Benzick, Sue"</formula>
    </cfRule>
  </conditionalFormatting>
  <conditionalFormatting sqref="L219:P219">
    <cfRule type="expression" dxfId="523" priority="371">
      <formula>#REF!="Jenne, Richard"</formula>
    </cfRule>
    <cfRule type="expression" dxfId="522" priority="370">
      <formula>#REF!="Benzick, Sue"</formula>
    </cfRule>
    <cfRule type="expression" dxfId="521" priority="372">
      <formula>#REF!="McQueen, Jennifer"</formula>
    </cfRule>
  </conditionalFormatting>
  <conditionalFormatting sqref="L237:P237">
    <cfRule type="expression" dxfId="520" priority="1038">
      <formula>#REF!="McQueen, Jennifer"</formula>
    </cfRule>
    <cfRule type="expression" dxfId="519" priority="1036">
      <formula>#REF!="Benzick, Sue"</formula>
    </cfRule>
    <cfRule type="expression" dxfId="518" priority="1037">
      <formula>#REF!="Jenne, Richard"</formula>
    </cfRule>
  </conditionalFormatting>
  <conditionalFormatting sqref="L240:P241">
    <cfRule type="expression" dxfId="517" priority="1025">
      <formula>#REF!="Jenne, Richard"</formula>
    </cfRule>
    <cfRule type="expression" dxfId="516" priority="1026">
      <formula>#REF!="McQueen, Jennifer"</formula>
    </cfRule>
    <cfRule type="expression" dxfId="515" priority="1024">
      <formula>#REF!="Benzick, Sue"</formula>
    </cfRule>
  </conditionalFormatting>
  <conditionalFormatting sqref="L244:P244">
    <cfRule type="expression" dxfId="514" priority="1018">
      <formula>#REF!="Benzick, Sue"</formula>
    </cfRule>
    <cfRule type="expression" dxfId="513" priority="1020">
      <formula>#REF!="McQueen, Jennifer"</formula>
    </cfRule>
    <cfRule type="expression" dxfId="512" priority="1019">
      <formula>#REF!="Jenne, Richard"</formula>
    </cfRule>
  </conditionalFormatting>
  <conditionalFormatting sqref="L247:P247">
    <cfRule type="expression" dxfId="511" priority="363">
      <formula>#REF!="McQueen, Jennifer"</formula>
    </cfRule>
    <cfRule type="expression" dxfId="510" priority="362">
      <formula>#REF!="Jenne, Richard"</formula>
    </cfRule>
    <cfRule type="expression" dxfId="509" priority="361">
      <formula>#REF!="Benzick, Sue"</formula>
    </cfRule>
  </conditionalFormatting>
  <conditionalFormatting sqref="L250:P251">
    <cfRule type="expression" dxfId="508" priority="1008">
      <formula>#REF!="McQueen, Jennifer"</formula>
    </cfRule>
    <cfRule type="expression" dxfId="507" priority="1007">
      <formula>#REF!="Jenne, Richard"</formula>
    </cfRule>
    <cfRule type="expression" dxfId="506" priority="1006">
      <formula>#REF!="Benzick, Sue"</formula>
    </cfRule>
  </conditionalFormatting>
  <conditionalFormatting sqref="L261:P261">
    <cfRule type="expression" dxfId="505" priority="1001">
      <formula>#REF!="Jenne, Richard"</formula>
    </cfRule>
    <cfRule type="expression" dxfId="504" priority="1002">
      <formula>#REF!="McQueen, Jennifer"</formula>
    </cfRule>
    <cfRule type="expression" dxfId="503" priority="1000">
      <formula>#REF!="Benzick, Sue"</formula>
    </cfRule>
  </conditionalFormatting>
  <conditionalFormatting sqref="L264:P264">
    <cfRule type="expression" dxfId="502" priority="994">
      <formula>#REF!="Benzick, Sue"</formula>
    </cfRule>
    <cfRule type="expression" dxfId="501" priority="995">
      <formula>#REF!="Jenne, Richard"</formula>
    </cfRule>
    <cfRule type="expression" dxfId="500" priority="996">
      <formula>#REF!="McQueen, Jennifer"</formula>
    </cfRule>
  </conditionalFormatting>
  <conditionalFormatting sqref="L274:P274">
    <cfRule type="expression" dxfId="499" priority="989">
      <formula>#REF!="Jenne, Richard"</formula>
    </cfRule>
    <cfRule type="expression" dxfId="498" priority="988">
      <formula>#REF!="Benzick, Sue"</formula>
    </cfRule>
    <cfRule type="expression" dxfId="497" priority="990">
      <formula>#REF!="McQueen, Jennifer"</formula>
    </cfRule>
  </conditionalFormatting>
  <conditionalFormatting sqref="L277:P277">
    <cfRule type="expression" dxfId="496" priority="984">
      <formula>#REF!="McQueen, Jennifer"</formula>
    </cfRule>
    <cfRule type="expression" dxfId="495" priority="982">
      <formula>#REF!="Benzick, Sue"</formula>
    </cfRule>
    <cfRule type="expression" dxfId="494" priority="983">
      <formula>#REF!="Jenne, Richard"</formula>
    </cfRule>
  </conditionalFormatting>
  <conditionalFormatting sqref="L290:P290">
    <cfRule type="expression" dxfId="493" priority="976">
      <formula>#REF!="Benzick, Sue"</formula>
    </cfRule>
    <cfRule type="expression" dxfId="492" priority="977">
      <formula>#REF!="Jenne, Richard"</formula>
    </cfRule>
    <cfRule type="expression" dxfId="491" priority="978">
      <formula>#REF!="McQueen, Jennifer"</formula>
    </cfRule>
  </conditionalFormatting>
  <conditionalFormatting sqref="L298:P298">
    <cfRule type="expression" dxfId="490" priority="972">
      <formula>#REF!="McQueen, Jennifer"</formula>
    </cfRule>
    <cfRule type="expression" dxfId="489" priority="970">
      <formula>#REF!="Benzick, Sue"</formula>
    </cfRule>
    <cfRule type="expression" dxfId="488" priority="971">
      <formula>#REF!="Jenne, Richard"</formula>
    </cfRule>
  </conditionalFormatting>
  <conditionalFormatting sqref="L305:P305">
    <cfRule type="expression" dxfId="487" priority="211">
      <formula>#REF!="Benzick, Sue"</formula>
    </cfRule>
    <cfRule type="expression" dxfId="486" priority="212">
      <formula>#REF!="Jenne, Richard"</formula>
    </cfRule>
    <cfRule type="expression" dxfId="485" priority="213">
      <formula>#REF!="McQueen, Jennifer"</formula>
    </cfRule>
  </conditionalFormatting>
  <conditionalFormatting sqref="L307:P309">
    <cfRule type="expression" dxfId="484" priority="344">
      <formula>#REF!="Jenne, Richard"</formula>
    </cfRule>
    <cfRule type="expression" dxfId="483" priority="345">
      <formula>#REF!="McQueen, Jennifer"</formula>
    </cfRule>
    <cfRule type="expression" dxfId="482" priority="343">
      <formula>#REF!="Benzick, Sue"</formula>
    </cfRule>
  </conditionalFormatting>
  <conditionalFormatting sqref="L316:P316">
    <cfRule type="expression" dxfId="481" priority="958">
      <formula>#REF!="Benzick, Sue"</formula>
    </cfRule>
    <cfRule type="expression" dxfId="480" priority="959">
      <formula>#REF!="Jenne, Richard"</formula>
    </cfRule>
    <cfRule type="expression" dxfId="479" priority="960">
      <formula>#REF!="McQueen, Jennifer"</formula>
    </cfRule>
  </conditionalFormatting>
  <conditionalFormatting sqref="L319:P319">
    <cfRule type="expression" dxfId="478" priority="953">
      <formula>#REF!="Jenne, Richard"</formula>
    </cfRule>
    <cfRule type="expression" dxfId="477" priority="954">
      <formula>#REF!="McQueen, Jennifer"</formula>
    </cfRule>
    <cfRule type="expression" dxfId="476" priority="952">
      <formula>#REF!="Benzick, Sue"</formula>
    </cfRule>
  </conditionalFormatting>
  <conditionalFormatting sqref="L323:P323">
    <cfRule type="expression" dxfId="475" priority="355">
      <formula>#REF!="Benzick, Sue"</formula>
    </cfRule>
    <cfRule type="expression" dxfId="474" priority="356">
      <formula>#REF!="Jenne, Richard"</formula>
    </cfRule>
    <cfRule type="expression" dxfId="473" priority="357">
      <formula>#REF!="McQueen, Jennifer"</formula>
    </cfRule>
  </conditionalFormatting>
  <conditionalFormatting sqref="L325:P326">
    <cfRule type="expression" dxfId="472" priority="940">
      <formula>#REF!="Benzick, Sue"</formula>
    </cfRule>
    <cfRule type="expression" dxfId="471" priority="941">
      <formula>#REF!="Jenne, Richard"</formula>
    </cfRule>
    <cfRule type="expression" dxfId="470" priority="942">
      <formula>#REF!="McQueen, Jennifer"</formula>
    </cfRule>
  </conditionalFormatting>
  <conditionalFormatting sqref="L330:P330">
    <cfRule type="expression" dxfId="469" priority="936">
      <formula>#REF!="McQueen, Jennifer"</formula>
    </cfRule>
    <cfRule type="expression" dxfId="468" priority="934">
      <formula>#REF!="Benzick, Sue"</formula>
    </cfRule>
    <cfRule type="expression" dxfId="467" priority="935">
      <formula>#REF!="Jenne, Richard"</formula>
    </cfRule>
  </conditionalFormatting>
  <conditionalFormatting sqref="L336:P336">
    <cfRule type="expression" dxfId="466" priority="922">
      <formula>#REF!="Benzick, Sue"</formula>
    </cfRule>
    <cfRule type="expression" dxfId="465" priority="923">
      <formula>#REF!="Jenne, Richard"</formula>
    </cfRule>
    <cfRule type="expression" dxfId="464" priority="924">
      <formula>#REF!="McQueen, Jennifer"</formula>
    </cfRule>
  </conditionalFormatting>
  <conditionalFormatting sqref="L349:P349">
    <cfRule type="expression" dxfId="463" priority="910">
      <formula>#REF!="Benzick, Sue"</formula>
    </cfRule>
    <cfRule type="expression" dxfId="462" priority="911">
      <formula>#REF!="Jenne, Richard"</formula>
    </cfRule>
    <cfRule type="expression" dxfId="461" priority="912">
      <formula>#REF!="McQueen, Jennifer"</formula>
    </cfRule>
  </conditionalFormatting>
  <conditionalFormatting sqref="L355:P356">
    <cfRule type="expression" dxfId="460" priority="333">
      <formula>#REF!="McQueen, Jennifer"</formula>
    </cfRule>
    <cfRule type="expression" dxfId="459" priority="332">
      <formula>#REF!="Jenne, Richard"</formula>
    </cfRule>
    <cfRule type="expression" dxfId="458" priority="331">
      <formula>#REF!="Benzick, Sue"</formula>
    </cfRule>
  </conditionalFormatting>
  <conditionalFormatting sqref="L359:P359">
    <cfRule type="expression" dxfId="457" priority="324">
      <formula>#REF!="McQueen, Jennifer"</formula>
    </cfRule>
    <cfRule type="expression" dxfId="456" priority="323">
      <formula>#REF!="Jenne, Richard"</formula>
    </cfRule>
    <cfRule type="expression" dxfId="455" priority="322">
      <formula>#REF!="Benzick, Sue"</formula>
    </cfRule>
  </conditionalFormatting>
  <conditionalFormatting sqref="L363:P364">
    <cfRule type="expression" dxfId="454" priority="894">
      <formula>#REF!="McQueen, Jennifer"</formula>
    </cfRule>
    <cfRule type="expression" dxfId="453" priority="893">
      <formula>#REF!="Jenne, Richard"</formula>
    </cfRule>
    <cfRule type="expression" dxfId="452" priority="892">
      <formula>#REF!="Benzick, Sue"</formula>
    </cfRule>
  </conditionalFormatting>
  <conditionalFormatting sqref="L377:P377">
    <cfRule type="expression" dxfId="451" priority="224">
      <formula>#REF!="Jenne, Richard"</formula>
    </cfRule>
    <cfRule type="expression" dxfId="450" priority="223">
      <formula>#REF!="Benzick, Sue"</formula>
    </cfRule>
    <cfRule type="expression" dxfId="449" priority="225">
      <formula>#REF!="McQueen, Jennifer"</formula>
    </cfRule>
  </conditionalFormatting>
  <conditionalFormatting sqref="L385:P385">
    <cfRule type="expression" dxfId="448" priority="886">
      <formula>#REF!="Benzick, Sue"</formula>
    </cfRule>
    <cfRule type="expression" dxfId="447" priority="888">
      <formula>#REF!="McQueen, Jennifer"</formula>
    </cfRule>
    <cfRule type="expression" dxfId="446" priority="887">
      <formula>#REF!="Jenne, Richard"</formula>
    </cfRule>
  </conditionalFormatting>
  <conditionalFormatting sqref="L390:P390">
    <cfRule type="expression" dxfId="445" priority="882">
      <formula>#REF!="McQueen, Jennifer"</formula>
    </cfRule>
    <cfRule type="expression" dxfId="444" priority="881">
      <formula>#REF!="Jenne, Richard"</formula>
    </cfRule>
    <cfRule type="expression" dxfId="443" priority="880">
      <formula>#REF!="Benzick, Sue"</formula>
    </cfRule>
  </conditionalFormatting>
  <conditionalFormatting sqref="L401:P401">
    <cfRule type="expression" dxfId="442" priority="876">
      <formula>#REF!="McQueen, Jennifer"</formula>
    </cfRule>
    <cfRule type="expression" dxfId="441" priority="875">
      <formula>#REF!="Jenne, Richard"</formula>
    </cfRule>
    <cfRule type="expression" dxfId="440" priority="874">
      <formula>#REF!="Benzick, Sue"</formula>
    </cfRule>
  </conditionalFormatting>
  <conditionalFormatting sqref="L408:P409">
    <cfRule type="expression" dxfId="439" priority="864">
      <formula>#REF!="McQueen, Jennifer"</formula>
    </cfRule>
    <cfRule type="expression" dxfId="438" priority="862">
      <formula>#REF!="Benzick, Sue"</formula>
    </cfRule>
    <cfRule type="expression" dxfId="437" priority="863">
      <formula>#REF!="Jenne, Richard"</formula>
    </cfRule>
  </conditionalFormatting>
  <conditionalFormatting sqref="L413:P413">
    <cfRule type="expression" dxfId="436" priority="857">
      <formula>#REF!="Jenne, Richard"</formula>
    </cfRule>
    <cfRule type="expression" dxfId="435" priority="856">
      <formula>#REF!="Benzick, Sue"</formula>
    </cfRule>
    <cfRule type="expression" dxfId="434" priority="858">
      <formula>#REF!="McQueen, Jennifer"</formula>
    </cfRule>
  </conditionalFormatting>
  <conditionalFormatting sqref="L416:P416">
    <cfRule type="expression" dxfId="433" priority="852">
      <formula>#REF!="McQueen, Jennifer"</formula>
    </cfRule>
    <cfRule type="expression" dxfId="432" priority="851">
      <formula>#REF!="Jenne, Richard"</formula>
    </cfRule>
    <cfRule type="expression" dxfId="431" priority="850">
      <formula>#REF!="Benzick, Sue"</formula>
    </cfRule>
  </conditionalFormatting>
  <conditionalFormatting sqref="L418:P418">
    <cfRule type="expression" dxfId="430" priority="1234">
      <formula>#REF!="Benzick, Sue"</formula>
    </cfRule>
    <cfRule type="expression" dxfId="429" priority="1235">
      <formula>#REF!="Jenne, Richard"</formula>
    </cfRule>
    <cfRule type="expression" dxfId="428" priority="1236">
      <formula>#REF!="McQueen, Jennifer"</formula>
    </cfRule>
  </conditionalFormatting>
  <conditionalFormatting sqref="L429:P429">
    <cfRule type="expression" dxfId="427" priority="313">
      <formula>#REF!="Benzick, Sue"</formula>
    </cfRule>
    <cfRule type="expression" dxfId="426" priority="315">
      <formula>#REF!="McQueen, Jennifer"</formula>
    </cfRule>
    <cfRule type="expression" dxfId="425" priority="314">
      <formula>#REF!="Jenne, Richard"</formula>
    </cfRule>
  </conditionalFormatting>
  <conditionalFormatting sqref="L485:P485">
    <cfRule type="expression" dxfId="424" priority="217">
      <formula>#REF!="Benzick, Sue"</formula>
    </cfRule>
    <cfRule type="expression" dxfId="423" priority="219">
      <formula>#REF!="McQueen, Jennifer"</formula>
    </cfRule>
    <cfRule type="expression" dxfId="422" priority="218">
      <formula>#REF!="Jenne, Richard"</formula>
    </cfRule>
  </conditionalFormatting>
  <conditionalFormatting sqref="L516:P516">
    <cfRule type="expression" dxfId="421" priority="28">
      <formula>#REF!="Benzick, Sue"</formula>
    </cfRule>
    <cfRule type="expression" dxfId="420" priority="30">
      <formula>#REF!="McQueen, Jennifer"</formula>
    </cfRule>
    <cfRule type="expression" dxfId="419" priority="29">
      <formula>#REF!="Jenne, Richard"</formula>
    </cfRule>
  </conditionalFormatting>
  <conditionalFormatting sqref="M10">
    <cfRule type="expression" dxfId="418" priority="1707">
      <formula>#REF!="McQueen, Jennifer"</formula>
    </cfRule>
    <cfRule type="expression" dxfId="417" priority="1706">
      <formula>#REF!="Jenne, Richard"</formula>
    </cfRule>
    <cfRule type="expression" dxfId="416" priority="1705">
      <formula>#REF!="Benzick, Sue"</formula>
    </cfRule>
  </conditionalFormatting>
  <conditionalFormatting sqref="M13">
    <cfRule type="expression" dxfId="415" priority="203">
      <formula>#REF!="Jenne, Richard"</formula>
    </cfRule>
    <cfRule type="expression" dxfId="414" priority="204">
      <formula>#REF!="McQueen, Jennifer"</formula>
    </cfRule>
    <cfRule type="expression" dxfId="413" priority="202">
      <formula>#REF!="Benzick, Sue"</formula>
    </cfRule>
  </conditionalFormatting>
  <conditionalFormatting sqref="M30:M32">
    <cfRule type="expression" dxfId="412" priority="175">
      <formula>#REF!="Benzick, Sue"</formula>
    </cfRule>
    <cfRule type="expression" dxfId="411" priority="176">
      <formula>#REF!="Jenne, Richard"</formula>
    </cfRule>
    <cfRule type="expression" dxfId="410" priority="177">
      <formula>#REF!="McQueen, Jennifer"</formula>
    </cfRule>
  </conditionalFormatting>
  <conditionalFormatting sqref="M40">
    <cfRule type="expression" dxfId="409" priority="169">
      <formula>#REF!="Benzick, Sue"</formula>
    </cfRule>
    <cfRule type="expression" dxfId="408" priority="170">
      <formula>#REF!="Jenne, Richard"</formula>
    </cfRule>
    <cfRule type="expression" dxfId="407" priority="171">
      <formula>#REF!="McQueen, Jennifer"</formula>
    </cfRule>
  </conditionalFormatting>
  <conditionalFormatting sqref="M44">
    <cfRule type="expression" dxfId="406" priority="129">
      <formula>#REF!="McQueen, Jennifer"</formula>
    </cfRule>
    <cfRule type="expression" dxfId="405" priority="127">
      <formula>#REF!="Benzick, Sue"</formula>
    </cfRule>
    <cfRule type="expression" dxfId="404" priority="128">
      <formula>#REF!="Jenne, Richard"</formula>
    </cfRule>
  </conditionalFormatting>
  <conditionalFormatting sqref="M66">
    <cfRule type="expression" dxfId="403" priority="110">
      <formula>#REF!="Jenne, Richard"</formula>
    </cfRule>
    <cfRule type="expression" dxfId="402" priority="111">
      <formula>#REF!="McQueen, Jennifer"</formula>
    </cfRule>
    <cfRule type="expression" dxfId="401" priority="109">
      <formula>#REF!="Benzick, Sue"</formula>
    </cfRule>
  </conditionalFormatting>
  <conditionalFormatting sqref="M78:M79">
    <cfRule type="expression" dxfId="400" priority="85">
      <formula>#REF!="Benzick, Sue"</formula>
    </cfRule>
    <cfRule type="expression" dxfId="399" priority="86">
      <formula>#REF!="Jenne, Richard"</formula>
    </cfRule>
    <cfRule type="expression" dxfId="398" priority="87">
      <formula>#REF!="McQueen, Jennifer"</formula>
    </cfRule>
  </conditionalFormatting>
  <conditionalFormatting sqref="M83">
    <cfRule type="expression" dxfId="397" priority="62">
      <formula>#REF!="Jenne, Richard"</formula>
    </cfRule>
    <cfRule type="expression" dxfId="396" priority="63">
      <formula>#REF!="McQueen, Jennifer"</formula>
    </cfRule>
    <cfRule type="expression" dxfId="395" priority="61">
      <formula>#REF!="Benzick, Sue"</formula>
    </cfRule>
  </conditionalFormatting>
  <conditionalFormatting sqref="M208">
    <cfRule type="expression" dxfId="394" priority="844">
      <formula>#REF!="Benzick, Sue"</formula>
    </cfRule>
    <cfRule type="expression" dxfId="393" priority="845">
      <formula>#REF!="Jenne, Richard"</formula>
    </cfRule>
    <cfRule type="expression" dxfId="392" priority="846">
      <formula>#REF!="McQueen, Jennifer"</formula>
    </cfRule>
  </conditionalFormatting>
  <conditionalFormatting sqref="M217">
    <cfRule type="expression" dxfId="391" priority="840">
      <formula>#REF!="McQueen, Jennifer"</formula>
    </cfRule>
    <cfRule type="expression" dxfId="390" priority="838">
      <formula>#REF!="Benzick, Sue"</formula>
    </cfRule>
    <cfRule type="expression" dxfId="389" priority="839">
      <formula>#REF!="Jenne, Richard"</formula>
    </cfRule>
  </conditionalFormatting>
  <conditionalFormatting sqref="M224:M225">
    <cfRule type="expression" dxfId="388" priority="828">
      <formula>#REF!="McQueen, Jennifer"</formula>
    </cfRule>
    <cfRule type="expression" dxfId="387" priority="827">
      <formula>#REF!="Jenne, Richard"</formula>
    </cfRule>
    <cfRule type="expression" dxfId="386" priority="826">
      <formula>#REF!="Benzick, Sue"</formula>
    </cfRule>
  </conditionalFormatting>
  <conditionalFormatting sqref="M227">
    <cfRule type="expression" dxfId="385" priority="820">
      <formula>#REF!="Benzick, Sue"</formula>
    </cfRule>
    <cfRule type="expression" dxfId="384" priority="821">
      <formula>#REF!="Jenne, Richard"</formula>
    </cfRule>
    <cfRule type="expression" dxfId="383" priority="822">
      <formula>#REF!="McQueen, Jennifer"</formula>
    </cfRule>
  </conditionalFormatting>
  <conditionalFormatting sqref="M232">
    <cfRule type="expression" dxfId="382" priority="814">
      <formula>#REF!="Benzick, Sue"</formula>
    </cfRule>
    <cfRule type="expression" dxfId="381" priority="816">
      <formula>#REF!="McQueen, Jennifer"</formula>
    </cfRule>
    <cfRule type="expression" dxfId="380" priority="815">
      <formula>#REF!="Jenne, Richard"</formula>
    </cfRule>
  </conditionalFormatting>
  <conditionalFormatting sqref="M238:M239">
    <cfRule type="expression" dxfId="379" priority="804">
      <formula>#REF!="McQueen, Jennifer"</formula>
    </cfRule>
    <cfRule type="expression" dxfId="378" priority="802">
      <formula>#REF!="Benzick, Sue"</formula>
    </cfRule>
    <cfRule type="expression" dxfId="377" priority="803">
      <formula>#REF!="Jenne, Richard"</formula>
    </cfRule>
  </conditionalFormatting>
  <conditionalFormatting sqref="M242">
    <cfRule type="expression" dxfId="376" priority="798">
      <formula>#REF!="McQueen, Jennifer"</formula>
    </cfRule>
    <cfRule type="expression" dxfId="375" priority="796">
      <formula>#REF!="Benzick, Sue"</formula>
    </cfRule>
    <cfRule type="expression" dxfId="374" priority="797">
      <formula>#REF!="Jenne, Richard"</formula>
    </cfRule>
  </conditionalFormatting>
  <conditionalFormatting sqref="M248">
    <cfRule type="expression" dxfId="373" priority="790">
      <formula>#REF!="Benzick, Sue"</formula>
    </cfRule>
    <cfRule type="expression" dxfId="372" priority="791">
      <formula>#REF!="Jenne, Richard"</formula>
    </cfRule>
    <cfRule type="expression" dxfId="371" priority="792">
      <formula>#REF!="McQueen, Jennifer"</formula>
    </cfRule>
  </conditionalFormatting>
  <conditionalFormatting sqref="M260">
    <cfRule type="expression" dxfId="370" priority="784">
      <formula>#REF!="Benzick, Sue"</formula>
    </cfRule>
    <cfRule type="expression" dxfId="369" priority="786">
      <formula>#REF!="McQueen, Jennifer"</formula>
    </cfRule>
    <cfRule type="expression" dxfId="368" priority="785">
      <formula>#REF!="Jenne, Richard"</formula>
    </cfRule>
  </conditionalFormatting>
  <conditionalFormatting sqref="M262">
    <cfRule type="expression" dxfId="367" priority="778">
      <formula>#REF!="Benzick, Sue"</formula>
    </cfRule>
    <cfRule type="expression" dxfId="366" priority="780">
      <formula>#REF!="McQueen, Jennifer"</formula>
    </cfRule>
    <cfRule type="expression" dxfId="365" priority="779">
      <formula>#REF!="Jenne, Richard"</formula>
    </cfRule>
  </conditionalFormatting>
  <conditionalFormatting sqref="M265">
    <cfRule type="expression" dxfId="364" priority="774">
      <formula>#REF!="McQueen, Jennifer"</formula>
    </cfRule>
    <cfRule type="expression" dxfId="363" priority="773">
      <formula>#REF!="Jenne, Richard"</formula>
    </cfRule>
    <cfRule type="expression" dxfId="362" priority="772">
      <formula>#REF!="Benzick, Sue"</formula>
    </cfRule>
  </conditionalFormatting>
  <conditionalFormatting sqref="M270">
    <cfRule type="expression" dxfId="361" priority="768">
      <formula>#REF!="McQueen, Jennifer"</formula>
    </cfRule>
    <cfRule type="expression" dxfId="360" priority="767">
      <formula>#REF!="Jenne, Richard"</formula>
    </cfRule>
    <cfRule type="expression" dxfId="359" priority="766">
      <formula>#REF!="Benzick, Sue"</formula>
    </cfRule>
  </conditionalFormatting>
  <conditionalFormatting sqref="M272:M273">
    <cfRule type="expression" dxfId="358" priority="760">
      <formula>#REF!="Benzick, Sue"</formula>
    </cfRule>
    <cfRule type="expression" dxfId="357" priority="762">
      <formula>#REF!="McQueen, Jennifer"</formula>
    </cfRule>
    <cfRule type="expression" dxfId="356" priority="761">
      <formula>#REF!="Jenne, Richard"</formula>
    </cfRule>
  </conditionalFormatting>
  <conditionalFormatting sqref="M281:M288">
    <cfRule type="expression" dxfId="355" priority="349">
      <formula>#REF!="Benzick, Sue"</formula>
    </cfRule>
    <cfRule type="expression" dxfId="354" priority="350">
      <formula>#REF!="Jenne, Richard"</formula>
    </cfRule>
    <cfRule type="expression" dxfId="353" priority="351">
      <formula>#REF!="McQueen, Jennifer"</formula>
    </cfRule>
  </conditionalFormatting>
  <conditionalFormatting sqref="M291:M292">
    <cfRule type="expression" dxfId="352" priority="708">
      <formula>#REF!="McQueen, Jennifer"</formula>
    </cfRule>
    <cfRule type="expression" dxfId="351" priority="707">
      <formula>#REF!="Jenne, Richard"</formula>
    </cfRule>
    <cfRule type="expression" dxfId="350" priority="706">
      <formula>#REF!="Benzick, Sue"</formula>
    </cfRule>
  </conditionalFormatting>
  <conditionalFormatting sqref="M296">
    <cfRule type="expression" dxfId="349" priority="702">
      <formula>#REF!="McQueen, Jennifer"</formula>
    </cfRule>
    <cfRule type="expression" dxfId="348" priority="700">
      <formula>#REF!="Benzick, Sue"</formula>
    </cfRule>
    <cfRule type="expression" dxfId="347" priority="701">
      <formula>#REF!="Jenne, Richard"</formula>
    </cfRule>
  </conditionalFormatting>
  <conditionalFormatting sqref="M300">
    <cfRule type="expression" dxfId="346" priority="688">
      <formula>#REF!="Benzick, Sue"</formula>
    </cfRule>
    <cfRule type="expression" dxfId="345" priority="689">
      <formula>#REF!="Jenne, Richard"</formula>
    </cfRule>
    <cfRule type="expression" dxfId="344" priority="690">
      <formula>#REF!="McQueen, Jennifer"</formula>
    </cfRule>
  </conditionalFormatting>
  <conditionalFormatting sqref="M304">
    <cfRule type="expression" dxfId="343" priority="683">
      <formula>#REF!="Jenne, Richard"</formula>
    </cfRule>
    <cfRule type="expression" dxfId="342" priority="684">
      <formula>#REF!="McQueen, Jennifer"</formula>
    </cfRule>
    <cfRule type="expression" dxfId="341" priority="682">
      <formula>#REF!="Benzick, Sue"</formula>
    </cfRule>
  </conditionalFormatting>
  <conditionalFormatting sqref="M310">
    <cfRule type="expression" dxfId="340" priority="676">
      <formula>#REF!="Benzick, Sue"</formula>
    </cfRule>
    <cfRule type="expression" dxfId="339" priority="677">
      <formula>#REF!="Jenne, Richard"</formula>
    </cfRule>
    <cfRule type="expression" dxfId="338" priority="678">
      <formula>#REF!="McQueen, Jennifer"</formula>
    </cfRule>
  </conditionalFormatting>
  <conditionalFormatting sqref="M320:M321">
    <cfRule type="expression" dxfId="337" priority="666">
      <formula>#REF!="McQueen, Jennifer"</formula>
    </cfRule>
    <cfRule type="expression" dxfId="336" priority="664">
      <formula>#REF!="Benzick, Sue"</formula>
    </cfRule>
    <cfRule type="expression" dxfId="335" priority="665">
      <formula>#REF!="Jenne, Richard"</formula>
    </cfRule>
  </conditionalFormatting>
  <conditionalFormatting sqref="M324">
    <cfRule type="expression" dxfId="334" priority="658">
      <formula>#REF!="Benzick, Sue"</formula>
    </cfRule>
    <cfRule type="expression" dxfId="333" priority="659">
      <formula>#REF!="Jenne, Richard"</formula>
    </cfRule>
    <cfRule type="expression" dxfId="332" priority="660">
      <formula>#REF!="McQueen, Jennifer"</formula>
    </cfRule>
  </conditionalFormatting>
  <conditionalFormatting sqref="M329">
    <cfRule type="expression" dxfId="331" priority="653">
      <formula>#REF!="Jenne, Richard"</formula>
    </cfRule>
    <cfRule type="expression" dxfId="330" priority="654">
      <formula>#REF!="McQueen, Jennifer"</formula>
    </cfRule>
    <cfRule type="expression" dxfId="329" priority="652">
      <formula>#REF!="Benzick, Sue"</formula>
    </cfRule>
  </conditionalFormatting>
  <conditionalFormatting sqref="M331:M332">
    <cfRule type="expression" dxfId="328" priority="642">
      <formula>#REF!="McQueen, Jennifer"</formula>
    </cfRule>
    <cfRule type="expression" dxfId="327" priority="640">
      <formula>#REF!="Benzick, Sue"</formula>
    </cfRule>
    <cfRule type="expression" dxfId="326" priority="641">
      <formula>#REF!="Jenne, Richard"</formula>
    </cfRule>
  </conditionalFormatting>
  <conditionalFormatting sqref="M334">
    <cfRule type="expression" dxfId="325" priority="634">
      <formula>#REF!="Benzick, Sue"</formula>
    </cfRule>
    <cfRule type="expression" dxfId="324" priority="636">
      <formula>#REF!="McQueen, Jennifer"</formula>
    </cfRule>
    <cfRule type="expression" dxfId="323" priority="635">
      <formula>#REF!="Jenne, Richard"</formula>
    </cfRule>
  </conditionalFormatting>
  <conditionalFormatting sqref="M337:M338">
    <cfRule type="expression" dxfId="322" priority="622">
      <formula>#REF!="Benzick, Sue"</formula>
    </cfRule>
    <cfRule type="expression" dxfId="321" priority="624">
      <formula>#REF!="McQueen, Jennifer"</formula>
    </cfRule>
    <cfRule type="expression" dxfId="320" priority="623">
      <formula>#REF!="Jenne, Richard"</formula>
    </cfRule>
  </conditionalFormatting>
  <conditionalFormatting sqref="M343">
    <cfRule type="expression" dxfId="319" priority="617">
      <formula>#REF!="Jenne, Richard"</formula>
    </cfRule>
    <cfRule type="expression" dxfId="318" priority="618">
      <formula>#REF!="McQueen, Jennifer"</formula>
    </cfRule>
    <cfRule type="expression" dxfId="317" priority="616">
      <formula>#REF!="Benzick, Sue"</formula>
    </cfRule>
  </conditionalFormatting>
  <conditionalFormatting sqref="M358">
    <cfRule type="expression" dxfId="316" priority="600">
      <formula>#REF!="McQueen, Jennifer"</formula>
    </cfRule>
    <cfRule type="expression" dxfId="315" priority="599">
      <formula>#REF!="Jenne, Richard"</formula>
    </cfRule>
    <cfRule type="expression" dxfId="314" priority="598">
      <formula>#REF!="Benzick, Sue"</formula>
    </cfRule>
  </conditionalFormatting>
  <conditionalFormatting sqref="M360">
    <cfRule type="expression" dxfId="313" priority="594">
      <formula>#REF!="McQueen, Jennifer"</formula>
    </cfRule>
    <cfRule type="expression" dxfId="312" priority="592">
      <formula>#REF!="Benzick, Sue"</formula>
    </cfRule>
    <cfRule type="expression" dxfId="311" priority="593">
      <formula>#REF!="Jenne, Richard"</formula>
    </cfRule>
  </conditionalFormatting>
  <conditionalFormatting sqref="M369">
    <cfRule type="expression" dxfId="310" priority="588">
      <formula>#REF!="McQueen, Jennifer"</formula>
    </cfRule>
    <cfRule type="expression" dxfId="309" priority="587">
      <formula>#REF!="Jenne, Richard"</formula>
    </cfRule>
    <cfRule type="expression" dxfId="308" priority="586">
      <formula>#REF!="Benzick, Sue"</formula>
    </cfRule>
  </conditionalFormatting>
  <conditionalFormatting sqref="M373">
    <cfRule type="expression" dxfId="307" priority="582">
      <formula>#REF!="McQueen, Jennifer"</formula>
    </cfRule>
    <cfRule type="expression" dxfId="306" priority="580">
      <formula>#REF!="Benzick, Sue"</formula>
    </cfRule>
    <cfRule type="expression" dxfId="305" priority="581">
      <formula>#REF!="Jenne, Richard"</formula>
    </cfRule>
  </conditionalFormatting>
  <conditionalFormatting sqref="M379">
    <cfRule type="expression" dxfId="304" priority="574">
      <formula>#REF!="Benzick, Sue"</formula>
    </cfRule>
    <cfRule type="expression" dxfId="303" priority="575">
      <formula>#REF!="Jenne, Richard"</formula>
    </cfRule>
    <cfRule type="expression" dxfId="302" priority="576">
      <formula>#REF!="McQueen, Jennifer"</formula>
    </cfRule>
  </conditionalFormatting>
  <conditionalFormatting sqref="M382">
    <cfRule type="expression" dxfId="301" priority="325">
      <formula>#REF!="Benzick, Sue"</formula>
    </cfRule>
    <cfRule type="expression" dxfId="300" priority="327">
      <formula>#REF!="McQueen, Jennifer"</formula>
    </cfRule>
    <cfRule type="expression" dxfId="299" priority="326">
      <formula>#REF!="Jenne, Richard"</formula>
    </cfRule>
  </conditionalFormatting>
  <conditionalFormatting sqref="M384">
    <cfRule type="expression" dxfId="298" priority="570">
      <formula>#REF!="McQueen, Jennifer"</formula>
    </cfRule>
    <cfRule type="expression" dxfId="297" priority="569">
      <formula>#REF!="Jenne, Richard"</formula>
    </cfRule>
    <cfRule type="expression" dxfId="296" priority="568">
      <formula>#REF!="Benzick, Sue"</formula>
    </cfRule>
  </conditionalFormatting>
  <conditionalFormatting sqref="M387:M388">
    <cfRule type="expression" dxfId="295" priority="558">
      <formula>#REF!="McQueen, Jennifer"</formula>
    </cfRule>
    <cfRule type="expression" dxfId="294" priority="557">
      <formula>#REF!="Jenne, Richard"</formula>
    </cfRule>
    <cfRule type="expression" dxfId="293" priority="556">
      <formula>#REF!="Benzick, Sue"</formula>
    </cfRule>
  </conditionalFormatting>
  <conditionalFormatting sqref="M395">
    <cfRule type="expression" dxfId="292" priority="551">
      <formula>#REF!="Jenne, Richard"</formula>
    </cfRule>
    <cfRule type="expression" dxfId="291" priority="552">
      <formula>#REF!="McQueen, Jennifer"</formula>
    </cfRule>
    <cfRule type="expression" dxfId="290" priority="550">
      <formula>#REF!="Benzick, Sue"</formula>
    </cfRule>
  </conditionalFormatting>
  <conditionalFormatting sqref="M402">
    <cfRule type="expression" dxfId="289" priority="546">
      <formula>#REF!="McQueen, Jennifer"</formula>
    </cfRule>
    <cfRule type="expression" dxfId="288" priority="544">
      <formula>#REF!="Benzick, Sue"</formula>
    </cfRule>
    <cfRule type="expression" dxfId="287" priority="545">
      <formula>#REF!="Jenne, Richard"</formula>
    </cfRule>
  </conditionalFormatting>
  <conditionalFormatting sqref="M404">
    <cfRule type="expression" dxfId="286" priority="540">
      <formula>#REF!="McQueen, Jennifer"</formula>
    </cfRule>
    <cfRule type="expression" dxfId="285" priority="539">
      <formula>#REF!="Jenne, Richard"</formula>
    </cfRule>
    <cfRule type="expression" dxfId="284" priority="538">
      <formula>#REF!="Benzick, Sue"</formula>
    </cfRule>
  </conditionalFormatting>
  <conditionalFormatting sqref="M417">
    <cfRule type="expression" dxfId="283" priority="528">
      <formula>#REF!="McQueen, Jennifer"</formula>
    </cfRule>
    <cfRule type="expression" dxfId="282" priority="527">
      <formula>#REF!="Jenne, Richard"</formula>
    </cfRule>
    <cfRule type="expression" dxfId="281" priority="526">
      <formula>#REF!="Benzick, Sue"</formula>
    </cfRule>
  </conditionalFormatting>
  <conditionalFormatting sqref="M419:M420">
    <cfRule type="expression" dxfId="280" priority="515">
      <formula>#REF!="Jenne, Richard"</formula>
    </cfRule>
    <cfRule type="expression" dxfId="279" priority="514">
      <formula>#REF!="Benzick, Sue"</formula>
    </cfRule>
    <cfRule type="expression" dxfId="278" priority="516">
      <formula>#REF!="McQueen, Jennifer"</formula>
    </cfRule>
  </conditionalFormatting>
  <conditionalFormatting sqref="M449">
    <cfRule type="expression" dxfId="277" priority="508">
      <formula>#REF!="Benzick, Sue"</formula>
    </cfRule>
    <cfRule type="expression" dxfId="276" priority="509">
      <formula>#REF!="Jenne, Richard"</formula>
    </cfRule>
    <cfRule type="expression" dxfId="275" priority="510">
      <formula>#REF!="McQueen, Jennifer"</formula>
    </cfRule>
  </conditionalFormatting>
  <conditionalFormatting sqref="M38:P38">
    <cfRule type="expression" dxfId="274" priority="1228">
      <formula>#REF!="Benzick, Sue"</formula>
    </cfRule>
    <cfRule type="expression" dxfId="273" priority="1230">
      <formula>#REF!="McQueen, Jennifer"</formula>
    </cfRule>
    <cfRule type="expression" dxfId="272" priority="1229">
      <formula>#REF!="Jenne, Richard"</formula>
    </cfRule>
  </conditionalFormatting>
  <conditionalFormatting sqref="M49:P49">
    <cfRule type="expression" dxfId="271" priority="1219">
      <formula>#REF!="Benzick, Sue"</formula>
    </cfRule>
    <cfRule type="expression" dxfId="270" priority="1220">
      <formula>#REF!="Jenne, Richard"</formula>
    </cfRule>
    <cfRule type="expression" dxfId="269" priority="1221">
      <formula>#REF!="McQueen, Jennifer"</formula>
    </cfRule>
  </conditionalFormatting>
  <conditionalFormatting sqref="M54:P54">
    <cfRule type="expression" dxfId="268" priority="1210">
      <formula>#REF!="Benzick, Sue"</formula>
    </cfRule>
    <cfRule type="expression" dxfId="267" priority="1211">
      <formula>#REF!="Jenne, Richard"</formula>
    </cfRule>
    <cfRule type="expression" dxfId="266" priority="1212">
      <formula>#REF!="McQueen, Jennifer"</formula>
    </cfRule>
  </conditionalFormatting>
  <conditionalFormatting sqref="M56:P56">
    <cfRule type="expression" dxfId="265" priority="1201">
      <formula>#REF!="Benzick, Sue"</formula>
    </cfRule>
    <cfRule type="expression" dxfId="264" priority="1203">
      <formula>#REF!="McQueen, Jennifer"</formula>
    </cfRule>
    <cfRule type="expression" dxfId="263" priority="1202">
      <formula>#REF!="Jenne, Richard"</formula>
    </cfRule>
  </conditionalFormatting>
  <conditionalFormatting sqref="M60:P60">
    <cfRule type="expression" dxfId="262" priority="1192">
      <formula>#REF!="Benzick, Sue"</formula>
    </cfRule>
    <cfRule type="expression" dxfId="261" priority="1193">
      <formula>#REF!="Jenne, Richard"</formula>
    </cfRule>
    <cfRule type="expression" dxfId="260" priority="1194">
      <formula>#REF!="McQueen, Jennifer"</formula>
    </cfRule>
  </conditionalFormatting>
  <conditionalFormatting sqref="M68:P68">
    <cfRule type="expression" dxfId="259" priority="1183">
      <formula>#REF!="Benzick, Sue"</formula>
    </cfRule>
    <cfRule type="expression" dxfId="258" priority="1184">
      <formula>#REF!="Jenne, Richard"</formula>
    </cfRule>
    <cfRule type="expression" dxfId="257" priority="1185">
      <formula>#REF!="McQueen, Jennifer"</formula>
    </cfRule>
  </conditionalFormatting>
  <conditionalFormatting sqref="M74:P74">
    <cfRule type="expression" dxfId="256" priority="1174">
      <formula>#REF!="Benzick, Sue"</formula>
    </cfRule>
    <cfRule type="expression" dxfId="255" priority="1175">
      <formula>#REF!="Jenne, Richard"</formula>
    </cfRule>
    <cfRule type="expression" dxfId="254" priority="1176">
      <formula>#REF!="McQueen, Jennifer"</formula>
    </cfRule>
  </conditionalFormatting>
  <conditionalFormatting sqref="M84:P84">
    <cfRule type="expression" dxfId="253" priority="1166">
      <formula>#REF!="Jenne, Richard"</formula>
    </cfRule>
    <cfRule type="expression" dxfId="252" priority="1167">
      <formula>#REF!="McQueen, Jennifer"</formula>
    </cfRule>
    <cfRule type="expression" dxfId="251" priority="1165">
      <formula>#REF!="Benzick, Sue"</formula>
    </cfRule>
  </conditionalFormatting>
  <conditionalFormatting sqref="M87:P87">
    <cfRule type="expression" dxfId="250" priority="1158">
      <formula>#REF!="McQueen, Jennifer"</formula>
    </cfRule>
    <cfRule type="expression" dxfId="249" priority="1157">
      <formula>#REF!="Jenne, Richard"</formula>
    </cfRule>
    <cfRule type="expression" dxfId="248" priority="1156">
      <formula>#REF!="Benzick, Sue"</formula>
    </cfRule>
  </conditionalFormatting>
  <conditionalFormatting sqref="M97:P97">
    <cfRule type="expression" dxfId="247" priority="1147">
      <formula>#REF!="Benzick, Sue"</formula>
    </cfRule>
    <cfRule type="expression" dxfId="246" priority="1148">
      <formula>#REF!="Jenne, Richard"</formula>
    </cfRule>
    <cfRule type="expression" dxfId="245" priority="1149">
      <formula>#REF!="McQueen, Jennifer"</formula>
    </cfRule>
  </conditionalFormatting>
  <conditionalFormatting sqref="M104:P104">
    <cfRule type="expression" dxfId="244" priority="1129">
      <formula>#REF!="Benzick, Sue"</formula>
    </cfRule>
    <cfRule type="expression" dxfId="243" priority="1130">
      <formula>#REF!="Jenne, Richard"</formula>
    </cfRule>
    <cfRule type="expression" dxfId="242" priority="1131">
      <formula>#REF!="McQueen, Jennifer"</formula>
    </cfRule>
  </conditionalFormatting>
  <conditionalFormatting sqref="M109:P109">
    <cfRule type="expression" dxfId="241" priority="1121">
      <formula>#REF!="Jenne, Richard"</formula>
    </cfRule>
    <cfRule type="expression" dxfId="240" priority="1122">
      <formula>#REF!="McQueen, Jennifer"</formula>
    </cfRule>
    <cfRule type="expression" dxfId="239" priority="1120">
      <formula>#REF!="Benzick, Sue"</formula>
    </cfRule>
  </conditionalFormatting>
  <conditionalFormatting sqref="M111:P111">
    <cfRule type="expression" dxfId="238" priority="1113">
      <formula>#REF!="McQueen, Jennifer"</formula>
    </cfRule>
    <cfRule type="expression" dxfId="237" priority="1111">
      <formula>#REF!="Benzick, Sue"</formula>
    </cfRule>
    <cfRule type="expression" dxfId="236" priority="1112">
      <formula>#REF!="Jenne, Richard"</formula>
    </cfRule>
  </conditionalFormatting>
  <conditionalFormatting sqref="M118:P119">
    <cfRule type="expression" dxfId="235" priority="1075">
      <formula>#REF!="Benzick, Sue"</formula>
    </cfRule>
    <cfRule type="expression" dxfId="234" priority="1076">
      <formula>#REF!="Jenne, Richard"</formula>
    </cfRule>
    <cfRule type="expression" dxfId="233" priority="1077">
      <formula>#REF!="McQueen, Jennifer"</formula>
    </cfRule>
  </conditionalFormatting>
  <conditionalFormatting sqref="M140:P140">
    <cfRule type="expression" dxfId="232" priority="379">
      <formula>#REF!="Benzick, Sue"</formula>
    </cfRule>
    <cfRule type="expression" dxfId="231" priority="380">
      <formula>#REF!="Jenne, Richard"</formula>
    </cfRule>
    <cfRule type="expression" dxfId="230" priority="381">
      <formula>#REF!="McQueen, Jennifer"</formula>
    </cfRule>
  </conditionalFormatting>
  <conditionalFormatting sqref="M194:P194">
    <cfRule type="expression" dxfId="229" priority="1066">
      <formula>#REF!="Benzick, Sue"</formula>
    </cfRule>
    <cfRule type="expression" dxfId="228" priority="1067">
      <formula>#REF!="Jenne, Richard"</formula>
    </cfRule>
    <cfRule type="expression" dxfId="227" priority="1068">
      <formula>#REF!="McQueen, Jennifer"</formula>
    </cfRule>
  </conditionalFormatting>
  <conditionalFormatting sqref="M201:P201">
    <cfRule type="expression" dxfId="226" priority="1059">
      <formula>#REF!="McQueen, Jennifer"</formula>
    </cfRule>
    <cfRule type="expression" dxfId="225" priority="1058">
      <formula>#REF!="Jenne, Richard"</formula>
    </cfRule>
    <cfRule type="expression" dxfId="224" priority="1057">
      <formula>#REF!="Benzick, Sue"</formula>
    </cfRule>
  </conditionalFormatting>
  <conditionalFormatting sqref="N10">
    <cfRule type="expression" dxfId="223" priority="1716">
      <formula>#REF!="McQueen, Jennifer"</formula>
    </cfRule>
    <cfRule type="expression" dxfId="222" priority="1715">
      <formula>#REF!="Jenne, Richard"</formula>
    </cfRule>
    <cfRule type="expression" dxfId="221" priority="1714">
      <formula>#REF!="Benzick, Sue"</formula>
    </cfRule>
  </conditionalFormatting>
  <conditionalFormatting sqref="N30:N32">
    <cfRule type="expression" dxfId="220" priority="187">
      <formula>#REF!="Benzick, Sue"</formula>
    </cfRule>
    <cfRule type="expression" dxfId="219" priority="189">
      <formula>#REF!="McQueen, Jennifer"</formula>
    </cfRule>
    <cfRule type="expression" dxfId="218" priority="188">
      <formula>#REF!="Jenne, Richard"</formula>
    </cfRule>
  </conditionalFormatting>
  <conditionalFormatting sqref="N40">
    <cfRule type="expression" dxfId="217" priority="168">
      <formula>#REF!="McQueen, Jennifer"</formula>
    </cfRule>
    <cfRule type="expression" dxfId="216" priority="167">
      <formula>#REF!="Jenne, Richard"</formula>
    </cfRule>
    <cfRule type="expression" dxfId="215" priority="166">
      <formula>#REF!="Benzick, Sue"</formula>
    </cfRule>
  </conditionalFormatting>
  <conditionalFormatting sqref="N44">
    <cfRule type="expression" dxfId="214" priority="141">
      <formula>#REF!="McQueen, Jennifer"</formula>
    </cfRule>
    <cfRule type="expression" dxfId="213" priority="140">
      <formula>#REF!="Jenne, Richard"</formula>
    </cfRule>
    <cfRule type="expression" dxfId="212" priority="139">
      <formula>#REF!="Benzick, Sue"</formula>
    </cfRule>
  </conditionalFormatting>
  <conditionalFormatting sqref="N66">
    <cfRule type="expression" dxfId="211" priority="122">
      <formula>#REF!="Jenne, Richard"</formula>
    </cfRule>
    <cfRule type="expression" dxfId="210" priority="121">
      <formula>#REF!="Benzick, Sue"</formula>
    </cfRule>
    <cfRule type="expression" dxfId="209" priority="123">
      <formula>#REF!="McQueen, Jennifer"</formula>
    </cfRule>
  </conditionalFormatting>
  <conditionalFormatting sqref="N78:N79">
    <cfRule type="expression" dxfId="208" priority="99">
      <formula>#REF!="McQueen, Jennifer"</formula>
    </cfRule>
    <cfRule type="expression" dxfId="207" priority="98">
      <formula>#REF!="Jenne, Richard"</formula>
    </cfRule>
    <cfRule type="expression" dxfId="206" priority="97">
      <formula>#REF!="Benzick, Sue"</formula>
    </cfRule>
  </conditionalFormatting>
  <conditionalFormatting sqref="N83">
    <cfRule type="expression" dxfId="205" priority="74">
      <formula>#REF!="Jenne, Richard"</formula>
    </cfRule>
    <cfRule type="expression" dxfId="204" priority="73">
      <formula>#REF!="Benzick, Sue"</formula>
    </cfRule>
    <cfRule type="expression" dxfId="203" priority="75">
      <formula>#REF!="McQueen, Jennifer"</formula>
    </cfRule>
  </conditionalFormatting>
  <conditionalFormatting sqref="N223">
    <cfRule type="expression" dxfId="202" priority="505">
      <formula>#REF!="Benzick, Sue"</formula>
    </cfRule>
    <cfRule type="expression" dxfId="201" priority="506">
      <formula>#REF!="Jenne, Richard"</formula>
    </cfRule>
    <cfRule type="expression" dxfId="200" priority="507">
      <formula>#REF!="McQueen, Jennifer"</formula>
    </cfRule>
  </conditionalFormatting>
  <conditionalFormatting sqref="N226 N229">
    <cfRule type="expression" dxfId="199" priority="493">
      <formula>#REF!="Benzick, Sue"</formula>
    </cfRule>
    <cfRule type="expression" dxfId="198" priority="495">
      <formula>#REF!="McQueen, Jennifer"</formula>
    </cfRule>
    <cfRule type="expression" dxfId="197" priority="494">
      <formula>#REF!="Jenne, Richard"</formula>
    </cfRule>
  </conditionalFormatting>
  <conditionalFormatting sqref="N234">
    <cfRule type="expression" dxfId="196" priority="489">
      <formula>#REF!="McQueen, Jennifer"</formula>
    </cfRule>
    <cfRule type="expression" dxfId="195" priority="487">
      <formula>#REF!="Benzick, Sue"</formula>
    </cfRule>
    <cfRule type="expression" dxfId="194" priority="488">
      <formula>#REF!="Jenne, Richard"</formula>
    </cfRule>
  </conditionalFormatting>
  <conditionalFormatting sqref="N243">
    <cfRule type="expression" dxfId="193" priority="482">
      <formula>#REF!="Jenne, Richard"</formula>
    </cfRule>
    <cfRule type="expression" dxfId="192" priority="483">
      <formula>#REF!="McQueen, Jennifer"</formula>
    </cfRule>
    <cfRule type="expression" dxfId="191" priority="481">
      <formula>#REF!="Benzick, Sue"</formula>
    </cfRule>
  </conditionalFormatting>
  <conditionalFormatting sqref="N278">
    <cfRule type="expression" dxfId="190" priority="476">
      <formula>#REF!="Jenne, Richard"</formula>
    </cfRule>
    <cfRule type="expression" dxfId="189" priority="475">
      <formula>#REF!="Benzick, Sue"</formula>
    </cfRule>
    <cfRule type="expression" dxfId="188" priority="477">
      <formula>#REF!="McQueen, Jennifer"</formula>
    </cfRule>
  </conditionalFormatting>
  <conditionalFormatting sqref="N295">
    <cfRule type="expression" dxfId="187" priority="470">
      <formula>#REF!="Jenne, Richard"</formula>
    </cfRule>
    <cfRule type="expression" dxfId="186" priority="469">
      <formula>#REF!="Benzick, Sue"</formula>
    </cfRule>
    <cfRule type="expression" dxfId="185" priority="471">
      <formula>#REF!="McQueen, Jennifer"</formula>
    </cfRule>
  </conditionalFormatting>
  <conditionalFormatting sqref="N297">
    <cfRule type="expression" dxfId="184" priority="465">
      <formula>#REF!="McQueen, Jennifer"</formula>
    </cfRule>
    <cfRule type="expression" dxfId="183" priority="464">
      <formula>#REF!="Jenne, Richard"</formula>
    </cfRule>
    <cfRule type="expression" dxfId="182" priority="463">
      <formula>#REF!="Benzick, Sue"</formula>
    </cfRule>
  </conditionalFormatting>
  <conditionalFormatting sqref="N299">
    <cfRule type="expression" dxfId="181" priority="15">
      <formula>#REF!="McQueen, Jennifer"</formula>
    </cfRule>
    <cfRule type="expression" dxfId="180" priority="14">
      <formula>#REF!="Jenne, Richard"</formula>
    </cfRule>
    <cfRule type="expression" dxfId="179" priority="13">
      <formula>#REF!="Benzick, Sue"</formula>
    </cfRule>
  </conditionalFormatting>
  <conditionalFormatting sqref="N301">
    <cfRule type="expression" dxfId="178" priority="458">
      <formula>#REF!="Jenne, Richard"</formula>
    </cfRule>
    <cfRule type="expression" dxfId="177" priority="459">
      <formula>#REF!="McQueen, Jennifer"</formula>
    </cfRule>
    <cfRule type="expression" dxfId="176" priority="457">
      <formula>#REF!="Benzick, Sue"</formula>
    </cfRule>
  </conditionalFormatting>
  <conditionalFormatting sqref="N312:N313">
    <cfRule type="expression" dxfId="175" priority="445">
      <formula>#REF!="Benzick, Sue"</formula>
    </cfRule>
    <cfRule type="expression" dxfId="174" priority="446">
      <formula>#REF!="Jenne, Richard"</formula>
    </cfRule>
    <cfRule type="expression" dxfId="173" priority="447">
      <formula>#REF!="McQueen, Jennifer"</formula>
    </cfRule>
  </conditionalFormatting>
  <conditionalFormatting sqref="N333">
    <cfRule type="expression" dxfId="172" priority="342">
      <formula>#REF!="McQueen, Jennifer"</formula>
    </cfRule>
    <cfRule type="expression" dxfId="171" priority="341">
      <formula>#REF!="Jenne, Richard"</formula>
    </cfRule>
    <cfRule type="expression" dxfId="170" priority="340">
      <formula>#REF!="Benzick, Sue"</formula>
    </cfRule>
  </conditionalFormatting>
  <conditionalFormatting sqref="N357">
    <cfRule type="expression" dxfId="169" priority="441">
      <formula>#REF!="McQueen, Jennifer"</formula>
    </cfRule>
    <cfRule type="expression" dxfId="168" priority="440">
      <formula>#REF!="Jenne, Richard"</formula>
    </cfRule>
    <cfRule type="expression" dxfId="167" priority="439">
      <formula>#REF!="Benzick, Sue"</formula>
    </cfRule>
  </conditionalFormatting>
  <conditionalFormatting sqref="N365">
    <cfRule type="expression" dxfId="166" priority="433">
      <formula>#REF!="Benzick, Sue"</formula>
    </cfRule>
    <cfRule type="expression" dxfId="165" priority="435">
      <formula>#REF!="McQueen, Jennifer"</formula>
    </cfRule>
    <cfRule type="expression" dxfId="164" priority="434">
      <formula>#REF!="Jenne, Richard"</formula>
    </cfRule>
  </conditionalFormatting>
  <conditionalFormatting sqref="N386">
    <cfRule type="expression" dxfId="163" priority="428">
      <formula>#REF!="Jenne, Richard"</formula>
    </cfRule>
    <cfRule type="expression" dxfId="162" priority="429">
      <formula>#REF!="McQueen, Jennifer"</formula>
    </cfRule>
    <cfRule type="expression" dxfId="161" priority="427">
      <formula>#REF!="Benzick, Sue"</formula>
    </cfRule>
  </conditionalFormatting>
  <conditionalFormatting sqref="N392:N393">
    <cfRule type="expression" dxfId="160" priority="416">
      <formula>#REF!="Jenne, Richard"</formula>
    </cfRule>
    <cfRule type="expression" dxfId="159" priority="417">
      <formula>#REF!="McQueen, Jennifer"</formula>
    </cfRule>
    <cfRule type="expression" dxfId="158" priority="415">
      <formula>#REF!="Benzick, Sue"</formula>
    </cfRule>
  </conditionalFormatting>
  <conditionalFormatting sqref="N397">
    <cfRule type="expression" dxfId="157" priority="411">
      <formula>#REF!="McQueen, Jennifer"</formula>
    </cfRule>
    <cfRule type="expression" dxfId="156" priority="410">
      <formula>#REF!="Jenne, Richard"</formula>
    </cfRule>
    <cfRule type="expression" dxfId="155" priority="409">
      <formula>#REF!="Benzick, Sue"</formula>
    </cfRule>
  </conditionalFormatting>
  <conditionalFormatting sqref="N407">
    <cfRule type="expression" dxfId="154" priority="405">
      <formula>#REF!="McQueen, Jennifer"</formula>
    </cfRule>
    <cfRule type="expression" dxfId="153" priority="404">
      <formula>#REF!="Jenne, Richard"</formula>
    </cfRule>
    <cfRule type="expression" dxfId="152" priority="403">
      <formula>#REF!="Benzick, Sue"</formula>
    </cfRule>
  </conditionalFormatting>
  <conditionalFormatting sqref="N414">
    <cfRule type="expression" dxfId="151" priority="397">
      <formula>#REF!="Benzick, Sue"</formula>
    </cfRule>
    <cfRule type="expression" dxfId="150" priority="399">
      <formula>#REF!="McQueen, Jennifer"</formula>
    </cfRule>
    <cfRule type="expression" dxfId="149" priority="398">
      <formula>#REF!="Jenne, Richard"</formula>
    </cfRule>
  </conditionalFormatting>
  <conditionalFormatting sqref="N421">
    <cfRule type="expression" dxfId="148" priority="393">
      <formula>#REF!="McQueen, Jennifer"</formula>
    </cfRule>
    <cfRule type="expression" dxfId="147" priority="392">
      <formula>#REF!="Jenne, Richard"</formula>
    </cfRule>
    <cfRule type="expression" dxfId="146" priority="391">
      <formula>#REF!="Benzick, Sue"</formula>
    </cfRule>
  </conditionalFormatting>
  <conditionalFormatting sqref="N454 N457">
    <cfRule type="expression" dxfId="145" priority="312">
      <formula>#REF!="McQueen, Jennifer"</formula>
    </cfRule>
    <cfRule type="expression" dxfId="144" priority="311">
      <formula>#REF!="Jenne, Richard"</formula>
    </cfRule>
    <cfRule type="expression" dxfId="143" priority="310">
      <formula>#REF!="Benzick, Sue"</formula>
    </cfRule>
  </conditionalFormatting>
  <conditionalFormatting sqref="N461">
    <cfRule type="expression" dxfId="142" priority="293">
      <formula>#REF!="Jenne, Richard"</formula>
    </cfRule>
    <cfRule type="expression" dxfId="141" priority="292">
      <formula>#REF!="Benzick, Sue"</formula>
    </cfRule>
    <cfRule type="expression" dxfId="140" priority="294">
      <formula>#REF!="McQueen, Jennifer"</formula>
    </cfRule>
  </conditionalFormatting>
  <conditionalFormatting sqref="O10">
    <cfRule type="expression" dxfId="139" priority="1987">
      <formula>#REF!="Benzick, Sue"</formula>
    </cfRule>
    <cfRule type="expression" dxfId="138" priority="1988">
      <formula>#REF!="Jenne, Richard"</formula>
    </cfRule>
    <cfRule type="expression" dxfId="137" priority="1989">
      <formula>#REF!="McQueen, Jennifer"</formula>
    </cfRule>
  </conditionalFormatting>
  <conditionalFormatting sqref="O13">
    <cfRule type="expression" dxfId="136" priority="201">
      <formula>#REF!="McQueen, Jennifer"</formula>
    </cfRule>
    <cfRule type="expression" dxfId="135" priority="200">
      <formula>#REF!="Jenne, Richard"</formula>
    </cfRule>
    <cfRule type="expression" dxfId="134" priority="199">
      <formula>#REF!="Benzick, Sue"</formula>
    </cfRule>
  </conditionalFormatting>
  <conditionalFormatting sqref="O30:O32">
    <cfRule type="expression" dxfId="133" priority="186">
      <formula>#REF!="McQueen, Jennifer"</formula>
    </cfRule>
    <cfRule type="expression" dxfId="132" priority="184">
      <formula>#REF!="Benzick, Sue"</formula>
    </cfRule>
    <cfRule type="expression" dxfId="131" priority="185">
      <formula>#REF!="Jenne, Richard"</formula>
    </cfRule>
  </conditionalFormatting>
  <conditionalFormatting sqref="O40">
    <cfRule type="expression" dxfId="130" priority="164">
      <formula>#REF!="Jenne, Richard"</formula>
    </cfRule>
    <cfRule type="expression" dxfId="129" priority="165">
      <formula>#REF!="McQueen, Jennifer"</formula>
    </cfRule>
    <cfRule type="expression" dxfId="128" priority="163">
      <formula>#REF!="Benzick, Sue"</formula>
    </cfRule>
  </conditionalFormatting>
  <conditionalFormatting sqref="O44">
    <cfRule type="expression" dxfId="127" priority="136">
      <formula>#REF!="Benzick, Sue"</formula>
    </cfRule>
    <cfRule type="expression" dxfId="126" priority="138">
      <formula>#REF!="McQueen, Jennifer"</formula>
    </cfRule>
    <cfRule type="expression" dxfId="125" priority="137">
      <formula>#REF!="Jenne, Richard"</formula>
    </cfRule>
  </conditionalFormatting>
  <conditionalFormatting sqref="O66">
    <cfRule type="expression" dxfId="124" priority="118">
      <formula>#REF!="Benzick, Sue"</formula>
    </cfRule>
    <cfRule type="expression" dxfId="123" priority="120">
      <formula>#REF!="McQueen, Jennifer"</formula>
    </cfRule>
    <cfRule type="expression" dxfId="122" priority="119">
      <formula>#REF!="Jenne, Richard"</formula>
    </cfRule>
  </conditionalFormatting>
  <conditionalFormatting sqref="O78:O79">
    <cfRule type="expression" dxfId="121" priority="96">
      <formula>#REF!="McQueen, Jennifer"</formula>
    </cfRule>
    <cfRule type="expression" dxfId="120" priority="94">
      <formula>#REF!="Benzick, Sue"</formula>
    </cfRule>
    <cfRule type="expression" dxfId="119" priority="95">
      <formula>#REF!="Jenne, Richard"</formula>
    </cfRule>
  </conditionalFormatting>
  <conditionalFormatting sqref="O83">
    <cfRule type="expression" dxfId="118" priority="70">
      <formula>#REF!="Benzick, Sue"</formula>
    </cfRule>
    <cfRule type="expression" dxfId="117" priority="71">
      <formula>#REF!="Jenne, Richard"</formula>
    </cfRule>
    <cfRule type="expression" dxfId="116" priority="72">
      <formula>#REF!="McQueen, Jennifer"</formula>
    </cfRule>
  </conditionalFormatting>
  <conditionalFormatting sqref="P10">
    <cfRule type="expression" dxfId="115" priority="1730">
      <formula>#REF!="Jenne, Richard"</formula>
    </cfRule>
    <cfRule type="expression" dxfId="114" priority="1729">
      <formula>#REF!="Benzick, Sue"</formula>
    </cfRule>
    <cfRule type="expression" dxfId="113" priority="1731">
      <formula>#REF!="McQueen, Jennifer"</formula>
    </cfRule>
  </conditionalFormatting>
  <conditionalFormatting sqref="P30:P32">
    <cfRule type="expression" dxfId="112" priority="181">
      <formula>#REF!="Benzick, Sue"</formula>
    </cfRule>
    <cfRule type="expression" dxfId="111" priority="182">
      <formula>#REF!="Jenne, Richard"</formula>
    </cfRule>
    <cfRule type="expression" dxfId="110" priority="183">
      <formula>#REF!="McQueen, Jennifer"</formula>
    </cfRule>
  </conditionalFormatting>
  <conditionalFormatting sqref="P40">
    <cfRule type="expression" dxfId="109" priority="160">
      <formula>#REF!="Benzick, Sue"</formula>
    </cfRule>
    <cfRule type="expression" dxfId="108" priority="161">
      <formula>#REF!="Jenne, Richard"</formula>
    </cfRule>
    <cfRule type="expression" dxfId="107" priority="162">
      <formula>#REF!="McQueen, Jennifer"</formula>
    </cfRule>
  </conditionalFormatting>
  <conditionalFormatting sqref="P44">
    <cfRule type="expression" dxfId="106" priority="135">
      <formula>#REF!="McQueen, Jennifer"</formula>
    </cfRule>
    <cfRule type="expression" dxfId="105" priority="134">
      <formula>#REF!="Jenne, Richard"</formula>
    </cfRule>
    <cfRule type="expression" dxfId="104" priority="133">
      <formula>#REF!="Benzick, Sue"</formula>
    </cfRule>
  </conditionalFormatting>
  <conditionalFormatting sqref="P66">
    <cfRule type="expression" dxfId="103" priority="115">
      <formula>#REF!="Benzick, Sue"</formula>
    </cfRule>
    <cfRule type="expression" dxfId="102" priority="116">
      <formula>#REF!="Jenne, Richard"</formula>
    </cfRule>
    <cfRule type="expression" dxfId="101" priority="117">
      <formula>#REF!="McQueen, Jennifer"</formula>
    </cfRule>
  </conditionalFormatting>
  <conditionalFormatting sqref="P78:P79">
    <cfRule type="expression" dxfId="100" priority="92">
      <formula>#REF!="Jenne, Richard"</formula>
    </cfRule>
    <cfRule type="expression" dxfId="99" priority="93">
      <formula>#REF!="McQueen, Jennifer"</formula>
    </cfRule>
    <cfRule type="expression" dxfId="98" priority="91">
      <formula>#REF!="Benzick, Sue"</formula>
    </cfRule>
  </conditionalFormatting>
  <conditionalFormatting sqref="P83">
    <cfRule type="expression" dxfId="97" priority="69">
      <formula>#REF!="McQueen, Jennifer"</formula>
    </cfRule>
    <cfRule type="expression" dxfId="96" priority="68">
      <formula>#REF!="Jenne, Richard"</formula>
    </cfRule>
    <cfRule type="expression" dxfId="95" priority="67">
      <formula>#REF!="Benzick, Sue"</formula>
    </cfRule>
  </conditionalFormatting>
  <conditionalFormatting sqref="P453">
    <cfRule type="expression" dxfId="94" priority="285">
      <formula>#REF!="McQueen, Jennifer"</formula>
    </cfRule>
    <cfRule type="expression" dxfId="93" priority="284">
      <formula>#REF!="Jenne, Richard"</formula>
    </cfRule>
    <cfRule type="expression" dxfId="92" priority="283">
      <formula>#REF!="Benzick, Sue"</formula>
    </cfRule>
  </conditionalFormatting>
  <conditionalFormatting sqref="P458:P460">
    <cfRule type="expression" dxfId="91" priority="288">
      <formula>#REF!="McQueen, Jennifer"</formula>
    </cfRule>
    <cfRule type="expression" dxfId="90" priority="287">
      <formula>#REF!="Jenne, Richard"</formula>
    </cfRule>
    <cfRule type="expression" dxfId="89" priority="286">
      <formula>#REF!="Benzick, Sue"</formula>
    </cfRule>
  </conditionalFormatting>
  <conditionalFormatting sqref="AD10">
    <cfRule type="expression" dxfId="88" priority="2278">
      <formula>$AE10="Benzick, Sue"</formula>
    </cfRule>
    <cfRule type="expression" dxfId="87" priority="2280">
      <formula>$AE10="McQueen, Jennifer"</formula>
    </cfRule>
    <cfRule type="expression" dxfId="86" priority="2279">
      <formula>$AE10="Jenne, Richard"</formula>
    </cfRule>
  </conditionalFormatting>
  <dataValidations count="1">
    <dataValidation allowBlank="1" showInputMessage="1" showErrorMessage="1" sqref="Z4:Z609" xr:uid="{ED4AD39B-C783-4960-8982-3BB525E4EE46}"/>
  </dataValidations>
  <printOptions horizontalCentered="1" verticalCentered="1"/>
  <pageMargins left="0.7" right="0.7" top="0.75" bottom="0.75" header="0.3" footer="0.3"/>
  <pageSetup scale="27" fitToHeight="0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2F44F4D6-1EF2-4A82-9A4B-D11E22B362B1}">
          <x14:formula1>
            <xm:f>'TSD-Data'!$L$2:$L$125</xm:f>
          </x14:formula1>
          <xm:sqref>F621:F1074 F611:F619</xm:sqref>
        </x14:dataValidation>
        <x14:dataValidation type="list" allowBlank="1" showInputMessage="1" showErrorMessage="1" xr:uid="{200FED7A-2BC5-4543-B46D-EB32DB279385}">
          <x14:formula1>
            <xm:f>'TSD-Data'!$A$2:$A$70</xm:f>
          </x14:formula1>
          <xm:sqref>C619:C889 C611 C613:C617 B612</xm:sqref>
        </x14:dataValidation>
        <x14:dataValidation type="list" allowBlank="1" showInputMessage="1" showErrorMessage="1" xr:uid="{21A8CB0A-0701-49FB-9231-461E2A3D61EF}">
          <x14:formula1>
            <xm:f>'TSD-Data'!$L$2:$L$102</xm:f>
          </x14:formula1>
          <xm:sqref>F515:F517 F4:F359 F361:F449</xm:sqref>
        </x14:dataValidation>
        <x14:dataValidation type="list" allowBlank="1" showInputMessage="1" showErrorMessage="1" xr:uid="{3D96C2E9-D26B-4448-9DD1-C886A0E7507E}">
          <x14:formula1>
            <xm:f>'TSD-Data'!$H$2:$H$40</xm:f>
          </x14:formula1>
          <xm:sqref>Q611:Q833</xm:sqref>
        </x14:dataValidation>
        <x14:dataValidation type="list" allowBlank="1" showInputMessage="1" showErrorMessage="1" xr:uid="{0B8D2458-99B2-4AD6-9126-AB158E5F80EE}">
          <x14:formula1>
            <xm:f>'TSD-Data'!$H$2:$H$45</xm:f>
          </x14:formula1>
          <xm:sqref>Q4:R122 R123 Q124:R609</xm:sqref>
        </x14:dataValidation>
        <x14:dataValidation type="list" allowBlank="1" showInputMessage="1" showErrorMessage="1" xr:uid="{E8739DE3-1DDB-4BFA-A4BF-6F762D6DE875}">
          <x14:formula1>
            <xm:f>'TSD-Data'!$N$2:$N$10</xm:f>
          </x14:formula1>
          <xm:sqref>AE4:AE449</xm:sqref>
        </x14:dataValidation>
        <x14:dataValidation type="list" allowBlank="1" showInputMessage="1" showErrorMessage="1" xr:uid="{8D2A897B-76C7-4C0C-AEE5-BE307534D234}">
          <x14:formula1>
            <xm:f>'TSD-Data'!$Q$2:$Q$13</xm:f>
          </x14:formula1>
          <xm:sqref>S4:S609</xm:sqref>
        </x14:dataValidation>
        <x14:dataValidation type="list" allowBlank="1" showInputMessage="1" showErrorMessage="1" xr:uid="{5D051ED9-7B84-440F-8705-2937E2DEB52F}">
          <x14:formula1>
            <xm:f>'TSD-Data'!$A$2:$A$77</xm:f>
          </x14:formula1>
          <xm:sqref>C4:C609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48048-F09E-4D1B-9A34-C1384B1A5CC4}">
  <sheetPr>
    <tabColor rgb="FFFFC000"/>
    <pageSetUpPr fitToPage="1"/>
  </sheetPr>
  <dimension ref="B3:AC61"/>
  <sheetViews>
    <sheetView topLeftCell="C2" zoomScale="90" zoomScaleNormal="90" workbookViewId="0">
      <selection activeCell="I36" sqref="I36"/>
    </sheetView>
  </sheetViews>
  <sheetFormatPr defaultRowHeight="15" x14ac:dyDescent="0.25"/>
  <cols>
    <col min="1" max="1" width="2.5703125" customWidth="1"/>
    <col min="2" max="2" width="25.42578125" customWidth="1"/>
    <col min="4" max="4" width="11.7109375" bestFit="1" customWidth="1"/>
    <col min="5" max="5" width="13.28515625" bestFit="1" customWidth="1"/>
    <col min="6" max="6" width="2.7109375" customWidth="1"/>
    <col min="7" max="7" width="14.28515625" bestFit="1" customWidth="1"/>
    <col min="8" max="8" width="13.28515625" customWidth="1"/>
    <col min="9" max="9" width="15.7109375" customWidth="1"/>
    <col min="10" max="11" width="11.7109375" customWidth="1"/>
    <col min="12" max="12" width="11" customWidth="1"/>
    <col min="13" max="13" width="13.7109375" customWidth="1"/>
    <col min="14" max="14" width="9.28515625" customWidth="1"/>
    <col min="15" max="17" width="11" customWidth="1"/>
    <col min="18" max="18" width="3.28515625" customWidth="1"/>
    <col min="19" max="19" width="8" bestFit="1" customWidth="1"/>
    <col min="20" max="20" width="11.42578125" customWidth="1"/>
    <col min="21" max="21" width="7.42578125" style="59" customWidth="1"/>
    <col min="22" max="22" width="9.7109375" style="59" customWidth="1"/>
    <col min="23" max="23" width="11.5703125" style="59" customWidth="1"/>
    <col min="24" max="24" width="11.7109375" style="59" customWidth="1"/>
    <col min="25" max="25" width="9.28515625" style="59"/>
    <col min="26" max="26" width="10.7109375" customWidth="1"/>
    <col min="29" max="29" width="18.7109375" bestFit="1" customWidth="1"/>
  </cols>
  <sheetData>
    <row r="3" spans="2:29" x14ac:dyDescent="0.25">
      <c r="B3" s="224" t="s">
        <v>519</v>
      </c>
      <c r="C3" s="225"/>
      <c r="D3" s="226"/>
      <c r="E3" s="59"/>
    </row>
    <row r="4" spans="2:29" ht="38.25" x14ac:dyDescent="0.25">
      <c r="C4" s="256" t="s">
        <v>520</v>
      </c>
      <c r="D4" s="257" t="s">
        <v>521</v>
      </c>
      <c r="E4" s="258" t="s">
        <v>522</v>
      </c>
      <c r="G4" s="259" t="s">
        <v>523</v>
      </c>
      <c r="H4" s="260" t="s">
        <v>524</v>
      </c>
      <c r="I4" s="260" t="s">
        <v>525</v>
      </c>
      <c r="J4" s="260" t="s">
        <v>526</v>
      </c>
      <c r="K4" s="260" t="s">
        <v>527</v>
      </c>
      <c r="L4" s="260" t="s">
        <v>528</v>
      </c>
      <c r="M4" s="260" t="s">
        <v>529</v>
      </c>
      <c r="N4" s="260" t="s">
        <v>530</v>
      </c>
      <c r="O4" s="260" t="s">
        <v>531</v>
      </c>
      <c r="P4" s="260" t="s">
        <v>532</v>
      </c>
      <c r="Q4" s="260" t="s">
        <v>533</v>
      </c>
      <c r="R4" s="261"/>
      <c r="S4" s="262" t="s">
        <v>534</v>
      </c>
      <c r="T4" s="262" t="s">
        <v>535</v>
      </c>
      <c r="U4" s="283" t="s">
        <v>526</v>
      </c>
      <c r="V4" s="285" t="s">
        <v>527</v>
      </c>
      <c r="W4" s="284" t="s">
        <v>528</v>
      </c>
      <c r="X4" s="263" t="s">
        <v>529</v>
      </c>
      <c r="Y4" s="264" t="s">
        <v>530</v>
      </c>
      <c r="Z4" s="260" t="s">
        <v>531</v>
      </c>
      <c r="AA4" s="260" t="s">
        <v>532</v>
      </c>
      <c r="AB4" s="260" t="s">
        <v>533</v>
      </c>
      <c r="AC4" s="259" t="s">
        <v>523</v>
      </c>
    </row>
    <row r="5" spans="2:29" x14ac:dyDescent="0.25">
      <c r="B5" s="63" t="s">
        <v>536</v>
      </c>
      <c r="C5" s="162">
        <v>2080</v>
      </c>
      <c r="D5" s="63"/>
      <c r="E5" s="63"/>
      <c r="G5" s="275" t="s">
        <v>385</v>
      </c>
      <c r="H5" s="230"/>
      <c r="I5" s="191"/>
      <c r="J5" s="191"/>
      <c r="K5" s="253"/>
      <c r="L5" s="268"/>
      <c r="M5" s="192"/>
      <c r="N5" s="281"/>
      <c r="O5" s="244"/>
      <c r="P5" s="265"/>
      <c r="Q5" s="266"/>
      <c r="S5" s="275" t="s">
        <v>385</v>
      </c>
      <c r="T5" s="231"/>
      <c r="U5" s="222"/>
      <c r="V5" s="254"/>
      <c r="W5" s="223"/>
      <c r="X5" s="223"/>
      <c r="Y5" s="282"/>
      <c r="Z5" s="255"/>
      <c r="AA5" s="63"/>
      <c r="AB5" s="267"/>
      <c r="AC5" s="275" t="s">
        <v>385</v>
      </c>
    </row>
    <row r="6" spans="2:29" x14ac:dyDescent="0.25">
      <c r="B6" s="63" t="s">
        <v>537</v>
      </c>
      <c r="C6" s="162"/>
      <c r="D6" s="181">
        <v>88</v>
      </c>
      <c r="E6" s="64"/>
      <c r="G6" s="276" t="s">
        <v>445</v>
      </c>
      <c r="H6" s="230">
        <f>SUMIF('FY 2026 Schedule'!$Q$4:$Q$609,'Planning-Hours tabulation'!$G6,'FY 2026 Schedule'!$U$4:$U$609)</f>
        <v>408</v>
      </c>
      <c r="I6" s="191">
        <f>SUMIF(Table2[Instructor 2],'Planning-Hours tabulation'!G6,Table2[Course Length (Hours)])</f>
        <v>144</v>
      </c>
      <c r="J6" s="191">
        <f>SUM(H6,I6)</f>
        <v>552</v>
      </c>
      <c r="K6" s="253">
        <f>$E$8-J6</f>
        <v>1400</v>
      </c>
      <c r="L6" s="268">
        <f t="shared" ref="L6:O8" si="0">H6/$E$8</f>
        <v>0.20901639344262296</v>
      </c>
      <c r="M6" s="192">
        <f t="shared" si="0"/>
        <v>7.3770491803278687E-2</v>
      </c>
      <c r="N6" s="269">
        <f t="shared" si="0"/>
        <v>0.28278688524590162</v>
      </c>
      <c r="O6" s="244">
        <f t="shared" si="0"/>
        <v>0.71721311475409832</v>
      </c>
      <c r="P6" s="265">
        <f>K6/8</f>
        <v>175</v>
      </c>
      <c r="Q6" s="266">
        <f>P6/22</f>
        <v>7.9545454545454541</v>
      </c>
      <c r="S6" s="231">
        <f>(SUMIF('FY 2026 Schedule'!$Q$4:$Q$609,'Planning-Hours tabulation'!$G6,'FY 2026 Schedule'!$AK$4:$AK$609))</f>
        <v>388</v>
      </c>
      <c r="T6" s="231">
        <f>SUMIF('FY 2026 Schedule'!$R$4:$R$609,'Planning-Hours tabulation'!$G6,'FY 2026 Schedule'!$AK$4:$AK$609)</f>
        <v>72</v>
      </c>
      <c r="U6" s="222">
        <f>S6+T6</f>
        <v>460</v>
      </c>
      <c r="V6" s="254">
        <f>$E$8-U6</f>
        <v>1492</v>
      </c>
      <c r="W6" s="223">
        <f t="shared" ref="W6:Z8" si="1">S6/$E$8</f>
        <v>0.19877049180327869</v>
      </c>
      <c r="X6" s="223">
        <f t="shared" si="1"/>
        <v>3.6885245901639344E-2</v>
      </c>
      <c r="Y6" s="270">
        <f t="shared" si="1"/>
        <v>0.23565573770491804</v>
      </c>
      <c r="Z6" s="255">
        <f t="shared" si="1"/>
        <v>0.76434426229508201</v>
      </c>
      <c r="AA6" s="63">
        <f>V6/8</f>
        <v>186.5</v>
      </c>
      <c r="AB6" s="267">
        <f>AA6/22</f>
        <v>8.4772727272727266</v>
      </c>
      <c r="AC6" s="276" t="s">
        <v>445</v>
      </c>
    </row>
    <row r="7" spans="2:29" x14ac:dyDescent="0.25">
      <c r="B7" s="63" t="s">
        <v>252</v>
      </c>
      <c r="C7" s="162"/>
      <c r="D7" s="181">
        <v>40</v>
      </c>
      <c r="E7" s="64"/>
      <c r="G7" s="276" t="s">
        <v>175</v>
      </c>
      <c r="H7" s="230">
        <f>SUMIF('FY 2026 Schedule'!$Q$4:$Q$609,'Planning-Hours tabulation'!$G7,'FY 2026 Schedule'!$U$4:$U$609)</f>
        <v>760</v>
      </c>
      <c r="I7" s="191">
        <f>SUMIF(Table2[Instructor 2],'Planning-Hours tabulation'!G7,Table2[Course Length (Hours)])</f>
        <v>0</v>
      </c>
      <c r="J7" s="191">
        <f>SUM(H7,I7)</f>
        <v>760</v>
      </c>
      <c r="K7" s="253">
        <f>$E$8-J7</f>
        <v>1192</v>
      </c>
      <c r="L7" s="268">
        <f t="shared" si="0"/>
        <v>0.38934426229508196</v>
      </c>
      <c r="M7" s="192">
        <f t="shared" si="0"/>
        <v>0</v>
      </c>
      <c r="N7" s="269">
        <f t="shared" si="0"/>
        <v>0.38934426229508196</v>
      </c>
      <c r="O7" s="244">
        <f t="shared" si="0"/>
        <v>0.61065573770491799</v>
      </c>
      <c r="P7" s="265">
        <f>K7/8</f>
        <v>149</v>
      </c>
      <c r="Q7" s="266">
        <f>P7/22</f>
        <v>6.7727272727272725</v>
      </c>
      <c r="S7" s="231">
        <f>(SUMIF('FY 2026 Schedule'!$Q$4:$Q$609,'Planning-Hours tabulation'!$G7,'FY 2026 Schedule'!$AK$4:$AK$609))</f>
        <v>628</v>
      </c>
      <c r="T7" s="231">
        <f>SUMIF('FY 2026 Schedule'!$R$4:$R$609,'Planning-Hours tabulation'!$G7,'FY 2026 Schedule'!$AK$4:$AK$609)</f>
        <v>0</v>
      </c>
      <c r="U7" s="222">
        <f>S7+T7</f>
        <v>628</v>
      </c>
      <c r="V7" s="254">
        <f>$E$8-U7</f>
        <v>1324</v>
      </c>
      <c r="W7" s="223">
        <f t="shared" si="1"/>
        <v>0.32172131147540983</v>
      </c>
      <c r="X7" s="223">
        <f t="shared" si="1"/>
        <v>0</v>
      </c>
      <c r="Y7" s="270">
        <f t="shared" si="1"/>
        <v>0.32172131147540983</v>
      </c>
      <c r="Z7" s="255">
        <f t="shared" si="1"/>
        <v>0.67827868852459017</v>
      </c>
      <c r="AA7" s="63">
        <f>V7/8</f>
        <v>165.5</v>
      </c>
      <c r="AB7" s="267">
        <f>AA7/22</f>
        <v>7.5227272727272725</v>
      </c>
      <c r="AC7" s="276" t="s">
        <v>175</v>
      </c>
    </row>
    <row r="8" spans="2:29" x14ac:dyDescent="0.25">
      <c r="C8" s="182">
        <f>SUM(C5:C7)</f>
        <v>2080</v>
      </c>
      <c r="D8" s="181">
        <f>SUM(D6:D7)</f>
        <v>128</v>
      </c>
      <c r="E8" s="183">
        <f>SUM(C8-D8)</f>
        <v>1952</v>
      </c>
      <c r="G8" s="276" t="s">
        <v>174</v>
      </c>
      <c r="H8" s="230">
        <f>SUMIF('FY 2026 Schedule'!$Q$4:$Q$609,'Planning-Hours tabulation'!$G8,'FY 2026 Schedule'!$U$4:$U$609)</f>
        <v>736</v>
      </c>
      <c r="I8" s="191">
        <f>SUMIF(Table2[Instructor 2],'Planning-Hours tabulation'!G8,Table2[Course Length (Hours)])</f>
        <v>80</v>
      </c>
      <c r="J8" s="191">
        <f>SUM(H8,I8)</f>
        <v>816</v>
      </c>
      <c r="K8" s="253">
        <f>$E$8-J8</f>
        <v>1136</v>
      </c>
      <c r="L8" s="268">
        <f t="shared" si="0"/>
        <v>0.37704918032786883</v>
      </c>
      <c r="M8" s="192">
        <f t="shared" si="0"/>
        <v>4.0983606557377046E-2</v>
      </c>
      <c r="N8" s="269">
        <f t="shared" si="0"/>
        <v>0.41803278688524592</v>
      </c>
      <c r="O8" s="244">
        <f t="shared" si="0"/>
        <v>0.58196721311475408</v>
      </c>
      <c r="P8" s="265">
        <f>K8/8</f>
        <v>142</v>
      </c>
      <c r="Q8" s="266">
        <f>P8/22</f>
        <v>6.4545454545454541</v>
      </c>
      <c r="S8" s="231">
        <f>(SUMIF('FY 2026 Schedule'!$Q$4:$Q$609,'Planning-Hours tabulation'!$G8,'FY 2026 Schedule'!$AK$4:$AK$609))</f>
        <v>736</v>
      </c>
      <c r="T8" s="231">
        <f>SUMIF('FY 2026 Schedule'!$R$4:$R$609,'Planning-Hours tabulation'!$G8,'FY 2026 Schedule'!$AK$4:$AK$609)</f>
        <v>40</v>
      </c>
      <c r="U8" s="222">
        <f>S8+T8</f>
        <v>776</v>
      </c>
      <c r="V8" s="254">
        <f>$E$8-U8</f>
        <v>1176</v>
      </c>
      <c r="W8" s="223">
        <f t="shared" si="1"/>
        <v>0.37704918032786883</v>
      </c>
      <c r="X8" s="223">
        <f t="shared" si="1"/>
        <v>2.0491803278688523E-2</v>
      </c>
      <c r="Y8" s="270">
        <f t="shared" si="1"/>
        <v>0.39754098360655737</v>
      </c>
      <c r="Z8" s="255">
        <f t="shared" si="1"/>
        <v>0.60245901639344257</v>
      </c>
      <c r="AA8" s="63">
        <f>V8/8</f>
        <v>147</v>
      </c>
      <c r="AB8" s="267">
        <f>AA8/22</f>
        <v>6.6818181818181817</v>
      </c>
      <c r="AC8" s="276" t="s">
        <v>174</v>
      </c>
    </row>
    <row r="9" spans="2:29" x14ac:dyDescent="0.25">
      <c r="C9" s="59"/>
      <c r="D9" s="58"/>
      <c r="E9" s="184"/>
      <c r="G9" s="276"/>
      <c r="H9" s="230"/>
      <c r="I9" s="191"/>
      <c r="J9" s="191"/>
      <c r="K9" s="253"/>
      <c r="L9" s="268"/>
      <c r="M9" s="192"/>
      <c r="N9" s="281"/>
      <c r="O9" s="244"/>
      <c r="P9" s="265"/>
      <c r="Q9" s="266"/>
      <c r="S9" s="231"/>
      <c r="T9" s="231"/>
      <c r="U9" s="222"/>
      <c r="V9" s="254"/>
      <c r="W9" s="223"/>
      <c r="X9" s="223"/>
      <c r="Y9" s="281"/>
      <c r="Z9" s="255"/>
      <c r="AA9" s="63"/>
      <c r="AB9" s="267"/>
      <c r="AC9" s="276"/>
    </row>
    <row r="10" spans="2:29" x14ac:dyDescent="0.25">
      <c r="C10" s="59"/>
      <c r="D10" s="185">
        <v>0.9</v>
      </c>
      <c r="E10" s="183">
        <v>1598.4</v>
      </c>
      <c r="G10" s="277" t="s">
        <v>384</v>
      </c>
      <c r="H10" s="230"/>
      <c r="I10" s="191"/>
      <c r="J10" s="191"/>
      <c r="K10" s="253"/>
      <c r="L10" s="268"/>
      <c r="M10" s="192"/>
      <c r="N10" s="281"/>
      <c r="O10" s="244"/>
      <c r="P10" s="265"/>
      <c r="Q10" s="266"/>
      <c r="S10" s="277" t="s">
        <v>384</v>
      </c>
      <c r="T10" s="231"/>
      <c r="U10" s="222"/>
      <c r="V10" s="254"/>
      <c r="W10" s="223"/>
      <c r="X10" s="223"/>
      <c r="Y10" s="282"/>
      <c r="Z10" s="255"/>
      <c r="AA10" s="63"/>
      <c r="AB10" s="267"/>
      <c r="AC10" s="277" t="s">
        <v>384</v>
      </c>
    </row>
    <row r="11" spans="2:29" x14ac:dyDescent="0.25">
      <c r="C11" s="59"/>
      <c r="D11" s="185">
        <v>0.8</v>
      </c>
      <c r="E11" s="183">
        <v>1420.8</v>
      </c>
      <c r="G11" s="286" t="s">
        <v>285</v>
      </c>
      <c r="H11" s="230">
        <f>SUMIF('FY 2026 Schedule'!$Q$4:$Q$609,'Planning-Hours tabulation'!$G11,'FY 2026 Schedule'!$U$4:$U$609)</f>
        <v>304</v>
      </c>
      <c r="I11" s="191">
        <f>SUMIF(Table2[Instructor 2],'Planning-Hours tabulation'!G11,Table2[Course Length (Hours)])</f>
        <v>40</v>
      </c>
      <c r="J11" s="191">
        <f>SUM(H11,I11)</f>
        <v>344</v>
      </c>
      <c r="K11" s="253">
        <f>$E$8-J11</f>
        <v>1608</v>
      </c>
      <c r="L11" s="268">
        <f t="shared" ref="L11:O13" si="2">H11/$E$8</f>
        <v>0.15573770491803279</v>
      </c>
      <c r="M11" s="192">
        <f t="shared" si="2"/>
        <v>2.0491803278688523E-2</v>
      </c>
      <c r="N11" s="269">
        <f t="shared" si="2"/>
        <v>0.17622950819672131</v>
      </c>
      <c r="O11" s="244">
        <f t="shared" si="2"/>
        <v>0.82377049180327866</v>
      </c>
      <c r="P11" s="265">
        <f>K11/8</f>
        <v>201</v>
      </c>
      <c r="Q11" s="266">
        <f>P11/22</f>
        <v>9.1363636363636367</v>
      </c>
      <c r="S11" s="231">
        <f>(SUMIF('FY 2026 Schedule'!$Q$4:$Q$609,'Planning-Hours tabulation'!$G11,'FY 2026 Schedule'!$AK$4:$AK$609))</f>
        <v>284</v>
      </c>
      <c r="T11" s="231">
        <f>SUMIF('FY 2026 Schedule'!$R$4:$R$609,'Planning-Hours tabulation'!$G11,'FY 2026 Schedule'!$AK$4:$AK$609)</f>
        <v>20</v>
      </c>
      <c r="U11" s="222">
        <f>S11+T11</f>
        <v>304</v>
      </c>
      <c r="V11" s="254">
        <f>$E$8-U11</f>
        <v>1648</v>
      </c>
      <c r="W11" s="223">
        <f t="shared" ref="W11:Z13" si="3">S11/$E$8</f>
        <v>0.14549180327868852</v>
      </c>
      <c r="X11" s="223">
        <f t="shared" si="3"/>
        <v>1.0245901639344262E-2</v>
      </c>
      <c r="Y11" s="270">
        <f t="shared" si="3"/>
        <v>0.15573770491803279</v>
      </c>
      <c r="Z11" s="255">
        <f t="shared" si="3"/>
        <v>0.84426229508196726</v>
      </c>
      <c r="AA11" s="63">
        <f>V11/8</f>
        <v>206</v>
      </c>
      <c r="AB11" s="267">
        <f>AA11/22</f>
        <v>9.3636363636363633</v>
      </c>
      <c r="AC11" s="286" t="s">
        <v>285</v>
      </c>
    </row>
    <row r="12" spans="2:29" x14ac:dyDescent="0.25">
      <c r="C12" s="59"/>
      <c r="D12" s="185">
        <v>0.7</v>
      </c>
      <c r="E12" s="183">
        <v>1243.2</v>
      </c>
      <c r="G12" s="286" t="s">
        <v>436</v>
      </c>
      <c r="H12" s="230">
        <f>SUMIF('FY 2026 Schedule'!$Q$4:$Q$609,'Planning-Hours tabulation'!$G12,'FY 2026 Schedule'!$U$4:$U$609)</f>
        <v>440</v>
      </c>
      <c r="I12" s="191">
        <f>SUMIF(Table2[Instructor 2],'Planning-Hours tabulation'!G12,Table2[Course Length (Hours)])</f>
        <v>40</v>
      </c>
      <c r="J12" s="191">
        <f t="shared" ref="J12" si="4">SUM(H12,I12)</f>
        <v>480</v>
      </c>
      <c r="K12" s="253">
        <f>$E$8-J12</f>
        <v>1472</v>
      </c>
      <c r="L12" s="268">
        <f t="shared" ref="L12" si="5">H12/$E$8</f>
        <v>0.22540983606557377</v>
      </c>
      <c r="M12" s="192">
        <f t="shared" ref="M12" si="6">I12/$E$8</f>
        <v>2.0491803278688523E-2</v>
      </c>
      <c r="N12" s="269">
        <f t="shared" ref="N12" si="7">J12/$E$8</f>
        <v>0.24590163934426229</v>
      </c>
      <c r="O12" s="244">
        <f t="shared" ref="O12" si="8">K12/$E$8</f>
        <v>0.75409836065573765</v>
      </c>
      <c r="P12" s="265">
        <f t="shared" ref="P12" si="9">K12/8</f>
        <v>184</v>
      </c>
      <c r="Q12" s="266">
        <f t="shared" ref="Q12" si="10">P12/22</f>
        <v>8.3636363636363633</v>
      </c>
      <c r="S12" s="231">
        <f>(SUMIF('FY 2026 Schedule'!$Q$4:$Q$609,'Planning-Hours tabulation'!$G12,'FY 2026 Schedule'!$AK$4:$AK$609))</f>
        <v>440</v>
      </c>
      <c r="T12" s="231">
        <f>SUMIF('FY 2026 Schedule'!$R$4:$R$609,'Planning-Hours tabulation'!$G12,'FY 2026 Schedule'!$AK$4:$AK$609)</f>
        <v>20</v>
      </c>
      <c r="U12" s="222">
        <f>S12+T12</f>
        <v>460</v>
      </c>
      <c r="V12" s="254">
        <f>$E$8-U12</f>
        <v>1492</v>
      </c>
      <c r="W12" s="223">
        <f t="shared" si="3"/>
        <v>0.22540983606557377</v>
      </c>
      <c r="X12" s="223">
        <f t="shared" si="3"/>
        <v>1.0245901639344262E-2</v>
      </c>
      <c r="Y12" s="270">
        <f t="shared" si="3"/>
        <v>0.23565573770491804</v>
      </c>
      <c r="Z12" s="255">
        <f t="shared" si="3"/>
        <v>0.76434426229508201</v>
      </c>
      <c r="AA12" s="63">
        <f>V12/8</f>
        <v>186.5</v>
      </c>
      <c r="AB12" s="267">
        <f>AA12/22</f>
        <v>8.4772727272727266</v>
      </c>
      <c r="AC12" s="286" t="s">
        <v>436</v>
      </c>
    </row>
    <row r="13" spans="2:29" x14ac:dyDescent="0.25">
      <c r="C13" s="59"/>
      <c r="D13" s="185">
        <v>0.6</v>
      </c>
      <c r="E13" s="183">
        <v>1065.5</v>
      </c>
      <c r="G13" s="286" t="s">
        <v>284</v>
      </c>
      <c r="H13" s="230">
        <f>SUMIF('FY 2026 Schedule'!$Q$4:$Q$609,'Planning-Hours tabulation'!$G13,'FY 2026 Schedule'!$U$4:$U$609)</f>
        <v>0</v>
      </c>
      <c r="I13" s="191">
        <f>SUMIF(Table2[Instructor 2],'Planning-Hours tabulation'!G13,Table2[Course Length (Hours)])</f>
        <v>0</v>
      </c>
      <c r="J13" s="191">
        <f>SUM(H13,I13)</f>
        <v>0</v>
      </c>
      <c r="K13" s="253">
        <f>$E$8-J13</f>
        <v>1952</v>
      </c>
      <c r="L13" s="268">
        <f t="shared" si="2"/>
        <v>0</v>
      </c>
      <c r="M13" s="192">
        <f t="shared" si="2"/>
        <v>0</v>
      </c>
      <c r="N13" s="269">
        <f t="shared" si="2"/>
        <v>0</v>
      </c>
      <c r="O13" s="244">
        <f t="shared" si="2"/>
        <v>1</v>
      </c>
      <c r="P13" s="265">
        <f>K13/8</f>
        <v>244</v>
      </c>
      <c r="Q13" s="266">
        <f>P13/22</f>
        <v>11.090909090909092</v>
      </c>
      <c r="S13" s="231">
        <f>(SUMIF('FY 2026 Schedule'!$Q$4:$Q$609,'Planning-Hours tabulation'!$G13,'FY 2026 Schedule'!$AK$4:$AK$609))</f>
        <v>0</v>
      </c>
      <c r="T13" s="231">
        <f>SUMIF('FY 2026 Schedule'!$R$4:$R$609,'Planning-Hours tabulation'!$G13,'FY 2026 Schedule'!$AK$4:$AK$609)</f>
        <v>0</v>
      </c>
      <c r="U13" s="222">
        <f>S13+T13</f>
        <v>0</v>
      </c>
      <c r="V13" s="254">
        <f>$E$8-U13</f>
        <v>1952</v>
      </c>
      <c r="W13" s="223">
        <f t="shared" si="3"/>
        <v>0</v>
      </c>
      <c r="X13" s="223">
        <f t="shared" si="3"/>
        <v>0</v>
      </c>
      <c r="Y13" s="270">
        <f t="shared" si="3"/>
        <v>0</v>
      </c>
      <c r="Z13" s="255">
        <f t="shared" si="3"/>
        <v>1</v>
      </c>
      <c r="AA13" s="63">
        <f>V13/8</f>
        <v>244</v>
      </c>
      <c r="AB13" s="267">
        <f>AA13/22</f>
        <v>11.090909090909092</v>
      </c>
      <c r="AC13" s="286" t="s">
        <v>284</v>
      </c>
    </row>
    <row r="14" spans="2:29" x14ac:dyDescent="0.25">
      <c r="C14" s="59"/>
      <c r="D14" s="185">
        <v>0.5</v>
      </c>
      <c r="E14" s="183">
        <v>888</v>
      </c>
      <c r="G14" s="63"/>
      <c r="H14" s="230"/>
      <c r="I14" s="191"/>
      <c r="J14" s="191"/>
      <c r="K14" s="253"/>
      <c r="L14" s="268"/>
      <c r="M14" s="192"/>
      <c r="N14" s="281"/>
      <c r="O14" s="244"/>
      <c r="P14" s="265"/>
      <c r="Q14" s="266"/>
      <c r="S14" s="231"/>
      <c r="T14" s="231"/>
      <c r="U14" s="222"/>
      <c r="V14" s="254"/>
      <c r="W14" s="223"/>
      <c r="X14" s="223"/>
      <c r="Y14" s="282"/>
      <c r="Z14" s="255"/>
      <c r="AA14" s="63"/>
      <c r="AB14" s="267"/>
      <c r="AC14" s="63"/>
    </row>
    <row r="15" spans="2:29" x14ac:dyDescent="0.25">
      <c r="C15" s="59"/>
      <c r="D15" s="185">
        <v>0.4</v>
      </c>
      <c r="E15" s="183">
        <v>710.4</v>
      </c>
      <c r="G15" s="278" t="s">
        <v>388</v>
      </c>
      <c r="H15" s="230"/>
      <c r="I15" s="191"/>
      <c r="J15" s="191"/>
      <c r="K15" s="253"/>
      <c r="L15" s="268"/>
      <c r="M15" s="192"/>
      <c r="N15" s="281"/>
      <c r="O15" s="244"/>
      <c r="P15" s="265"/>
      <c r="Q15" s="266"/>
      <c r="S15" s="278" t="s">
        <v>388</v>
      </c>
      <c r="T15" s="231"/>
      <c r="U15" s="222"/>
      <c r="V15" s="254"/>
      <c r="W15" s="223"/>
      <c r="X15" s="223"/>
      <c r="Y15" s="282"/>
      <c r="Z15" s="255"/>
      <c r="AA15" s="63"/>
      <c r="AB15" s="267"/>
      <c r="AC15" s="278" t="s">
        <v>388</v>
      </c>
    </row>
    <row r="16" spans="2:29" x14ac:dyDescent="0.25">
      <c r="C16" s="59"/>
      <c r="D16" s="185">
        <v>0.3</v>
      </c>
      <c r="E16" s="183">
        <v>532.79999999999995</v>
      </c>
      <c r="G16" s="233" t="s">
        <v>272</v>
      </c>
      <c r="H16" s="230">
        <f>SUMIF('FY 2026 Schedule'!$Q$4:$Q$609,'Planning-Hours tabulation'!$G16,'FY 2026 Schedule'!$U$4:$U$609)</f>
        <v>510</v>
      </c>
      <c r="I16" s="191">
        <f>SUMIF(Table2[Instructor 2],'Planning-Hours tabulation'!G16,Table2[Course Length (Hours)])</f>
        <v>0</v>
      </c>
      <c r="J16" s="191">
        <f>SUM(H16,I16)</f>
        <v>510</v>
      </c>
      <c r="K16" s="253">
        <f>$E$8-J16</f>
        <v>1442</v>
      </c>
      <c r="L16" s="268">
        <f t="shared" ref="L16:O19" si="11">H16/$E$8</f>
        <v>0.26127049180327871</v>
      </c>
      <c r="M16" s="192">
        <f t="shared" si="11"/>
        <v>0</v>
      </c>
      <c r="N16" s="269">
        <f t="shared" si="11"/>
        <v>0.26127049180327871</v>
      </c>
      <c r="O16" s="244">
        <f t="shared" si="11"/>
        <v>0.73872950819672134</v>
      </c>
      <c r="P16" s="265">
        <f>K16/8</f>
        <v>180.25</v>
      </c>
      <c r="Q16" s="266">
        <f>P16/22</f>
        <v>8.1931818181818183</v>
      </c>
      <c r="S16" s="231">
        <f>(SUMIF('FY 2026 Schedule'!$Q$4:$Q$609,'Planning-Hours tabulation'!$G16,'FY 2026 Schedule'!$AK$4:$AK$609))</f>
        <v>510</v>
      </c>
      <c r="T16" s="231">
        <f>SUMIF('FY 2026 Schedule'!$R$4:$R$609,'Planning-Hours tabulation'!$G16,'FY 2026 Schedule'!$AK$4:$AK$609)</f>
        <v>0</v>
      </c>
      <c r="U16" s="222">
        <f>S16+T16</f>
        <v>510</v>
      </c>
      <c r="V16" s="254">
        <f>$E$8-U16</f>
        <v>1442</v>
      </c>
      <c r="W16" s="223">
        <f t="shared" ref="W16:Z19" si="12">S16/$E$8</f>
        <v>0.26127049180327871</v>
      </c>
      <c r="X16" s="223">
        <f t="shared" si="12"/>
        <v>0</v>
      </c>
      <c r="Y16" s="270">
        <f t="shared" si="12"/>
        <v>0.26127049180327871</v>
      </c>
      <c r="Z16" s="255">
        <f t="shared" si="12"/>
        <v>0.73872950819672134</v>
      </c>
      <c r="AA16" s="63">
        <f>V16/8</f>
        <v>180.25</v>
      </c>
      <c r="AB16" s="267">
        <f>AA16/22</f>
        <v>8.1931818181818183</v>
      </c>
      <c r="AC16" s="233" t="s">
        <v>272</v>
      </c>
    </row>
    <row r="17" spans="3:29" x14ac:dyDescent="0.25">
      <c r="C17" s="59"/>
      <c r="D17" s="185">
        <v>0.2</v>
      </c>
      <c r="E17" s="183">
        <v>355.2</v>
      </c>
      <c r="G17" s="233" t="s">
        <v>538</v>
      </c>
      <c r="H17" s="230">
        <f>SUMIF('FY 2026 Schedule'!$Q$4:$Q$609,'Planning-Hours tabulation'!$G17,'FY 2026 Schedule'!$U$4:$U$609)</f>
        <v>736</v>
      </c>
      <c r="I17" s="191">
        <f>SUMIF(Table2[Instructor 2],'Planning-Hours tabulation'!G17,Table2[Course Length (Hours)])</f>
        <v>0</v>
      </c>
      <c r="J17" s="191">
        <f>SUM(H17,I17)</f>
        <v>736</v>
      </c>
      <c r="K17" s="253">
        <f>$E$8-J17</f>
        <v>1216</v>
      </c>
      <c r="L17" s="268">
        <f t="shared" si="11"/>
        <v>0.37704918032786883</v>
      </c>
      <c r="M17" s="192">
        <f t="shared" si="11"/>
        <v>0</v>
      </c>
      <c r="N17" s="269">
        <f t="shared" si="11"/>
        <v>0.37704918032786883</v>
      </c>
      <c r="O17" s="244">
        <f t="shared" si="11"/>
        <v>0.62295081967213117</v>
      </c>
      <c r="P17" s="265">
        <f>K17/8</f>
        <v>152</v>
      </c>
      <c r="Q17" s="266">
        <f>P17/22</f>
        <v>6.9090909090909092</v>
      </c>
      <c r="S17" s="231">
        <f>(SUMIF('FY 2026 Schedule'!$Q$4:$Q$609,'Planning-Hours tabulation'!$G17,'FY 2026 Schedule'!$AK$4:$AK$609))</f>
        <v>736</v>
      </c>
      <c r="T17" s="231">
        <f>SUMIF('FY 2026 Schedule'!$R$4:$R$609,'Planning-Hours tabulation'!$G17,'FY 2026 Schedule'!$AK$4:$AK$609)</f>
        <v>0</v>
      </c>
      <c r="U17" s="222">
        <f>S17+T17</f>
        <v>736</v>
      </c>
      <c r="V17" s="254">
        <f>$E$8-U17</f>
        <v>1216</v>
      </c>
      <c r="W17" s="223">
        <f t="shared" si="12"/>
        <v>0.37704918032786883</v>
      </c>
      <c r="X17" s="223">
        <f t="shared" si="12"/>
        <v>0</v>
      </c>
      <c r="Y17" s="270">
        <f t="shared" si="12"/>
        <v>0.37704918032786883</v>
      </c>
      <c r="Z17" s="255">
        <f t="shared" si="12"/>
        <v>0.62295081967213117</v>
      </c>
      <c r="AA17" s="63">
        <f>V17/8</f>
        <v>152</v>
      </c>
      <c r="AB17" s="267">
        <f>AA17/22</f>
        <v>6.9090909090909092</v>
      </c>
      <c r="AC17" s="233" t="s">
        <v>538</v>
      </c>
    </row>
    <row r="18" spans="3:29" x14ac:dyDescent="0.25">
      <c r="C18" s="59"/>
      <c r="D18" s="185">
        <v>0.1</v>
      </c>
      <c r="E18" s="183">
        <v>177.6</v>
      </c>
      <c r="G18" s="233" t="s">
        <v>172</v>
      </c>
      <c r="H18" s="230">
        <f>SUMIF('FY 2026 Schedule'!$Q$4:$Q$609,'Planning-Hours tabulation'!$G18,'FY 2026 Schedule'!$U$4:$U$609)</f>
        <v>704</v>
      </c>
      <c r="I18" s="191">
        <f>SUMIF(Table2[Instructor 2],'Planning-Hours tabulation'!G18,Table2[Course Length (Hours)])</f>
        <v>0</v>
      </c>
      <c r="J18" s="191">
        <f>SUM(H18,I18)</f>
        <v>704</v>
      </c>
      <c r="K18" s="253">
        <f>$E$8-J18</f>
        <v>1248</v>
      </c>
      <c r="L18" s="268">
        <f t="shared" si="11"/>
        <v>0.36065573770491804</v>
      </c>
      <c r="M18" s="192">
        <f t="shared" si="11"/>
        <v>0</v>
      </c>
      <c r="N18" s="269">
        <f t="shared" si="11"/>
        <v>0.36065573770491804</v>
      </c>
      <c r="O18" s="244">
        <f t="shared" si="11"/>
        <v>0.63934426229508201</v>
      </c>
      <c r="P18" s="265">
        <f>K18/8</f>
        <v>156</v>
      </c>
      <c r="Q18" s="266">
        <f>P18/22</f>
        <v>7.0909090909090908</v>
      </c>
      <c r="S18" s="231">
        <f>(SUMIF('FY 2026 Schedule'!$Q$4:$Q$609,'Planning-Hours tabulation'!$G18,'FY 2026 Schedule'!$AK$4:$AK$609))</f>
        <v>704</v>
      </c>
      <c r="T18" s="231">
        <f>SUMIF('FY 2026 Schedule'!$R$4:$R$609,'Planning-Hours tabulation'!$G18,'FY 2026 Schedule'!$AK$4:$AK$609)</f>
        <v>0</v>
      </c>
      <c r="U18" s="222">
        <f>S18+T18</f>
        <v>704</v>
      </c>
      <c r="V18" s="254">
        <f>$E$8-U18</f>
        <v>1248</v>
      </c>
      <c r="W18" s="223">
        <f t="shared" si="12"/>
        <v>0.36065573770491804</v>
      </c>
      <c r="X18" s="223">
        <f t="shared" si="12"/>
        <v>0</v>
      </c>
      <c r="Y18" s="270">
        <f t="shared" si="12"/>
        <v>0.36065573770491804</v>
      </c>
      <c r="Z18" s="255">
        <f t="shared" si="12"/>
        <v>0.63934426229508201</v>
      </c>
      <c r="AA18" s="63">
        <f>V18/8</f>
        <v>156</v>
      </c>
      <c r="AB18" s="267">
        <f>AA18/22</f>
        <v>7.0909090909090908</v>
      </c>
      <c r="AC18" s="233" t="s">
        <v>172</v>
      </c>
    </row>
    <row r="19" spans="3:29" x14ac:dyDescent="0.25">
      <c r="G19" s="233" t="s">
        <v>273</v>
      </c>
      <c r="H19" s="230">
        <f>SUMIF('FY 2026 Schedule'!$Q$4:$Q$609,'Planning-Hours tabulation'!$G19,'FY 2026 Schedule'!$U$4:$U$609)</f>
        <v>504</v>
      </c>
      <c r="I19" s="191">
        <f>SUMIF(Table2[Instructor 2],'Planning-Hours tabulation'!G19,Table2[Course Length (Hours)])</f>
        <v>40</v>
      </c>
      <c r="J19" s="191">
        <f>SUM(H19,I19)</f>
        <v>544</v>
      </c>
      <c r="K19" s="253">
        <f>$E$8-J19</f>
        <v>1408</v>
      </c>
      <c r="L19" s="268">
        <f t="shared" si="11"/>
        <v>0.25819672131147542</v>
      </c>
      <c r="M19" s="192">
        <f t="shared" si="11"/>
        <v>2.0491803278688523E-2</v>
      </c>
      <c r="N19" s="269">
        <f t="shared" si="11"/>
        <v>0.27868852459016391</v>
      </c>
      <c r="O19" s="244">
        <f t="shared" si="11"/>
        <v>0.72131147540983609</v>
      </c>
      <c r="P19" s="265">
        <f>K19/8</f>
        <v>176</v>
      </c>
      <c r="Q19" s="266">
        <f>P19/22</f>
        <v>8</v>
      </c>
      <c r="S19" s="231">
        <f>(SUMIF('FY 2026 Schedule'!$Q$4:$Q$609,'Planning-Hours tabulation'!$G19,'FY 2026 Schedule'!$AK$4:$AK$609))</f>
        <v>504</v>
      </c>
      <c r="T19" s="231">
        <f>SUMIF('FY 2026 Schedule'!$R$4:$R$609,'Planning-Hours tabulation'!$G19,'FY 2026 Schedule'!$AK$4:$AK$609)</f>
        <v>20</v>
      </c>
      <c r="U19" s="222">
        <f>S19+T19</f>
        <v>524</v>
      </c>
      <c r="V19" s="254">
        <f>$E$8-U19</f>
        <v>1428</v>
      </c>
      <c r="W19" s="223">
        <f t="shared" si="12"/>
        <v>0.25819672131147542</v>
      </c>
      <c r="X19" s="223">
        <f t="shared" si="12"/>
        <v>1.0245901639344262E-2</v>
      </c>
      <c r="Y19" s="270">
        <f t="shared" si="12"/>
        <v>0.26844262295081966</v>
      </c>
      <c r="Z19" s="255">
        <f t="shared" si="12"/>
        <v>0.73155737704918034</v>
      </c>
      <c r="AA19" s="63">
        <f>V19/8</f>
        <v>178.5</v>
      </c>
      <c r="AB19" s="267">
        <f>AA19/22</f>
        <v>8.1136363636363633</v>
      </c>
      <c r="AC19" s="233" t="s">
        <v>273</v>
      </c>
    </row>
    <row r="20" spans="3:29" x14ac:dyDescent="0.25">
      <c r="G20" s="233"/>
      <c r="H20" s="230"/>
      <c r="I20" s="191"/>
      <c r="J20" s="191"/>
      <c r="K20" s="253"/>
      <c r="L20" s="268"/>
      <c r="M20" s="192"/>
      <c r="N20" s="281"/>
      <c r="O20" s="244"/>
      <c r="P20" s="265"/>
      <c r="Q20" s="266"/>
      <c r="S20" s="231"/>
      <c r="T20" s="231"/>
      <c r="U20" s="222"/>
      <c r="V20" s="254"/>
      <c r="W20" s="223"/>
      <c r="X20" s="223"/>
      <c r="Y20" s="281"/>
      <c r="Z20" s="255"/>
      <c r="AA20" s="63"/>
      <c r="AB20" s="267"/>
      <c r="AC20" s="233"/>
    </row>
    <row r="21" spans="3:29" x14ac:dyDescent="0.25">
      <c r="G21" s="368" t="s">
        <v>386</v>
      </c>
      <c r="H21" s="230"/>
      <c r="I21" s="191"/>
      <c r="J21" s="191"/>
      <c r="K21" s="253"/>
      <c r="L21" s="268"/>
      <c r="M21" s="192"/>
      <c r="N21" s="281"/>
      <c r="O21" s="244"/>
      <c r="P21" s="265"/>
      <c r="Q21" s="266"/>
      <c r="S21" s="368" t="s">
        <v>386</v>
      </c>
      <c r="T21" s="231"/>
      <c r="U21" s="222"/>
      <c r="V21" s="254"/>
      <c r="W21" s="223"/>
      <c r="X21" s="223"/>
      <c r="Y21" s="281"/>
      <c r="Z21" s="255"/>
      <c r="AA21" s="63"/>
      <c r="AB21" s="267"/>
      <c r="AC21" s="368" t="s">
        <v>386</v>
      </c>
    </row>
    <row r="22" spans="3:29" x14ac:dyDescent="0.25">
      <c r="G22" s="367" t="s">
        <v>432</v>
      </c>
      <c r="H22" s="230">
        <f>SUMIF('FY 2026 Schedule'!$Q$4:$Q$609,'Planning-Hours tabulation'!$G22,'FY 2026 Schedule'!$U$4:$U$609)</f>
        <v>112</v>
      </c>
      <c r="I22" s="191">
        <f>SUMIF(Table2[Instructor 2],'Planning-Hours tabulation'!G22,Table2[Course Length (Hours)])</f>
        <v>0</v>
      </c>
      <c r="J22" s="191">
        <f>SUM(H22,I22)</f>
        <v>112</v>
      </c>
      <c r="K22" s="253">
        <f>$E$8-J22</f>
        <v>1840</v>
      </c>
      <c r="L22" s="268">
        <f t="shared" ref="L22:O25" si="13">H22/$E$8</f>
        <v>5.737704918032787E-2</v>
      </c>
      <c r="M22" s="192">
        <f t="shared" si="13"/>
        <v>0</v>
      </c>
      <c r="N22" s="269">
        <f t="shared" si="13"/>
        <v>5.737704918032787E-2</v>
      </c>
      <c r="O22" s="244">
        <f t="shared" si="13"/>
        <v>0.94262295081967218</v>
      </c>
      <c r="P22" s="265">
        <f>K22/8</f>
        <v>230</v>
      </c>
      <c r="Q22" s="266">
        <f>P22/22</f>
        <v>10.454545454545455</v>
      </c>
      <c r="S22" s="231">
        <f>(SUMIF('FY 2026 Schedule'!$Q$4:$Q$609,'Planning-Hours tabulation'!$G22,'FY 2026 Schedule'!$AK$4:$AK$609))</f>
        <v>112</v>
      </c>
      <c r="T22" s="231">
        <f>SUMIF('FY 2026 Schedule'!$R$4:$R$609,'Planning-Hours tabulation'!$G22,'FY 2026 Schedule'!$AK$4:$AK$609)</f>
        <v>0</v>
      </c>
      <c r="U22" s="222">
        <f>S22+T22</f>
        <v>112</v>
      </c>
      <c r="V22" s="254">
        <f>$E$8-U22</f>
        <v>1840</v>
      </c>
      <c r="W22" s="223">
        <f t="shared" ref="W22:Z25" si="14">S22/$E$8</f>
        <v>5.737704918032787E-2</v>
      </c>
      <c r="X22" s="223">
        <f t="shared" si="14"/>
        <v>0</v>
      </c>
      <c r="Y22" s="270">
        <f t="shared" si="14"/>
        <v>5.737704918032787E-2</v>
      </c>
      <c r="Z22" s="255">
        <f t="shared" si="14"/>
        <v>0.94262295081967218</v>
      </c>
      <c r="AA22" s="63">
        <f>V22/8</f>
        <v>230</v>
      </c>
      <c r="AB22" s="267">
        <f>AA22/22</f>
        <v>10.454545454545455</v>
      </c>
      <c r="AC22" s="367" t="s">
        <v>432</v>
      </c>
    </row>
    <row r="23" spans="3:29" x14ac:dyDescent="0.25">
      <c r="G23" s="367" t="s">
        <v>164</v>
      </c>
      <c r="H23" s="230">
        <f>SUMIF('FY 2026 Schedule'!$Q$4:$Q$609,'Planning-Hours tabulation'!$G23,'FY 2026 Schedule'!$U$4:$U$609)</f>
        <v>272</v>
      </c>
      <c r="I23" s="191">
        <f>SUMIF(Table2[Instructor 2],'Planning-Hours tabulation'!G23,Table2[Course Length (Hours)])</f>
        <v>0</v>
      </c>
      <c r="J23" s="191">
        <f>SUM(H23,I23)</f>
        <v>272</v>
      </c>
      <c r="K23" s="253">
        <f>$E$8-J23</f>
        <v>1680</v>
      </c>
      <c r="L23" s="268">
        <f t="shared" si="13"/>
        <v>0.13934426229508196</v>
      </c>
      <c r="M23" s="192">
        <f t="shared" si="13"/>
        <v>0</v>
      </c>
      <c r="N23" s="269">
        <f t="shared" si="13"/>
        <v>0.13934426229508196</v>
      </c>
      <c r="O23" s="244">
        <f t="shared" si="13"/>
        <v>0.86065573770491799</v>
      </c>
      <c r="P23" s="265">
        <f>K23/8</f>
        <v>210</v>
      </c>
      <c r="Q23" s="266">
        <f>P23/22</f>
        <v>9.545454545454545</v>
      </c>
      <c r="S23" s="231">
        <f>(SUMIF('FY 2026 Schedule'!$Q$4:$Q$609,'Planning-Hours tabulation'!$G23,'FY 2026 Schedule'!$AK$4:$AK$609))</f>
        <v>272</v>
      </c>
      <c r="T23" s="231">
        <f>SUMIF('FY 2026 Schedule'!$R$4:$R$609,'Planning-Hours tabulation'!$G23,'FY 2026 Schedule'!$AK$4:$AK$609)</f>
        <v>0</v>
      </c>
      <c r="U23" s="222">
        <f>S23+T23</f>
        <v>272</v>
      </c>
      <c r="V23" s="254">
        <f>$E$8-U23</f>
        <v>1680</v>
      </c>
      <c r="W23" s="223">
        <f t="shared" si="14"/>
        <v>0.13934426229508196</v>
      </c>
      <c r="X23" s="223">
        <f t="shared" si="14"/>
        <v>0</v>
      </c>
      <c r="Y23" s="270">
        <f t="shared" si="14"/>
        <v>0.13934426229508196</v>
      </c>
      <c r="Z23" s="255">
        <f t="shared" si="14"/>
        <v>0.86065573770491799</v>
      </c>
      <c r="AA23" s="63">
        <f>V23/8</f>
        <v>210</v>
      </c>
      <c r="AB23" s="267">
        <f>AA23/22</f>
        <v>9.545454545454545</v>
      </c>
      <c r="AC23" s="367" t="s">
        <v>164</v>
      </c>
    </row>
    <row r="24" spans="3:29" x14ac:dyDescent="0.25">
      <c r="G24" s="367" t="s">
        <v>444</v>
      </c>
      <c r="H24" s="230">
        <f>SUMIF('FY 2026 Schedule'!$Q$4:$Q$609,'Planning-Hours tabulation'!$G24,'FY 2026 Schedule'!$U$4:$U$609)</f>
        <v>456</v>
      </c>
      <c r="I24" s="191">
        <f>SUMIF(Table2[Instructor 2],'Planning-Hours tabulation'!G24,Table2[Course Length (Hours)])</f>
        <v>0</v>
      </c>
      <c r="J24" s="191">
        <f>SUM(H24,I24)</f>
        <v>456</v>
      </c>
      <c r="K24" s="253">
        <f>$E$8-J24</f>
        <v>1496</v>
      </c>
      <c r="L24" s="268">
        <f t="shared" si="13"/>
        <v>0.23360655737704919</v>
      </c>
      <c r="M24" s="192">
        <f t="shared" si="13"/>
        <v>0</v>
      </c>
      <c r="N24" s="269">
        <f t="shared" si="13"/>
        <v>0.23360655737704919</v>
      </c>
      <c r="O24" s="244">
        <f t="shared" si="13"/>
        <v>0.76639344262295084</v>
      </c>
      <c r="P24" s="265">
        <f>K24/8</f>
        <v>187</v>
      </c>
      <c r="Q24" s="266">
        <f>P24/22</f>
        <v>8.5</v>
      </c>
      <c r="S24" s="231">
        <f>(SUMIF('FY 2026 Schedule'!$Q$4:$Q$609,'Planning-Hours tabulation'!$G24,'FY 2026 Schedule'!$AK$4:$AK$609))</f>
        <v>444</v>
      </c>
      <c r="T24" s="231">
        <f>SUMIF('FY 2026 Schedule'!$R$4:$R$609,'Planning-Hours tabulation'!$G24,'FY 2026 Schedule'!$AK$4:$AK$609)</f>
        <v>0</v>
      </c>
      <c r="U24" s="222">
        <f>S24+T24</f>
        <v>444</v>
      </c>
      <c r="V24" s="254">
        <f>$E$8-U24</f>
        <v>1508</v>
      </c>
      <c r="W24" s="223">
        <f t="shared" si="14"/>
        <v>0.22745901639344263</v>
      </c>
      <c r="X24" s="223">
        <f t="shared" si="14"/>
        <v>0</v>
      </c>
      <c r="Y24" s="270">
        <f t="shared" si="14"/>
        <v>0.22745901639344263</v>
      </c>
      <c r="Z24" s="255">
        <f t="shared" si="14"/>
        <v>0.77254098360655743</v>
      </c>
      <c r="AA24" s="63">
        <f>V24/8</f>
        <v>188.5</v>
      </c>
      <c r="AB24" s="267">
        <f>AA24/22</f>
        <v>8.5681818181818183</v>
      </c>
      <c r="AC24" s="367" t="s">
        <v>444</v>
      </c>
    </row>
    <row r="25" spans="3:29" x14ac:dyDescent="0.25">
      <c r="G25" s="369" t="s">
        <v>431</v>
      </c>
      <c r="H25" s="370">
        <f>SUMIF('FY 2026 Schedule'!$Q$4:$Q$609,'Planning-Hours tabulation'!$G25,'FY 2026 Schedule'!$U$4:$U$609)</f>
        <v>504</v>
      </c>
      <c r="I25" s="371">
        <f>SUMIF(Table2[Instructor 2],'Planning-Hours tabulation'!G25,Table2[Course Length (Hours)])</f>
        <v>24</v>
      </c>
      <c r="J25" s="371">
        <f>SUM(H25,I25)</f>
        <v>528</v>
      </c>
      <c r="K25" s="372">
        <f>$E$8-J25</f>
        <v>1424</v>
      </c>
      <c r="L25" s="373">
        <f t="shared" si="13"/>
        <v>0.25819672131147542</v>
      </c>
      <c r="M25" s="374">
        <f t="shared" si="13"/>
        <v>1.2295081967213115E-2</v>
      </c>
      <c r="N25" s="375">
        <f t="shared" si="13"/>
        <v>0.27049180327868855</v>
      </c>
      <c r="O25" s="376">
        <f t="shared" si="13"/>
        <v>0.72950819672131151</v>
      </c>
      <c r="P25" s="377">
        <f>K25/8</f>
        <v>178</v>
      </c>
      <c r="Q25" s="378">
        <f>P25/22</f>
        <v>8.0909090909090917</v>
      </c>
      <c r="S25" s="379">
        <f>(SUMIF('FY 2026 Schedule'!$Q$4:$Q$609,'Planning-Hours tabulation'!$G25,'FY 2026 Schedule'!$AK$4:$AK$609))</f>
        <v>504</v>
      </c>
      <c r="T25" s="379">
        <f>SUMIF('FY 2026 Schedule'!$R$4:$R$609,'Planning-Hours tabulation'!$G25,'FY 2026 Schedule'!$AK$4:$AK$609)</f>
        <v>12</v>
      </c>
      <c r="U25" s="380">
        <f>S25+T25</f>
        <v>516</v>
      </c>
      <c r="V25" s="381">
        <f>$E$8-U25</f>
        <v>1436</v>
      </c>
      <c r="W25" s="382">
        <f t="shared" si="14"/>
        <v>0.25819672131147542</v>
      </c>
      <c r="X25" s="382">
        <f t="shared" si="14"/>
        <v>6.1475409836065573E-3</v>
      </c>
      <c r="Y25" s="383">
        <f t="shared" si="14"/>
        <v>0.26434426229508196</v>
      </c>
      <c r="Z25" s="384">
        <f t="shared" si="14"/>
        <v>0.73565573770491799</v>
      </c>
      <c r="AA25" s="385">
        <f>V25/8</f>
        <v>179.5</v>
      </c>
      <c r="AB25" s="386">
        <f>AA25/22</f>
        <v>8.1590909090909083</v>
      </c>
      <c r="AC25" s="369" t="s">
        <v>431</v>
      </c>
    </row>
    <row r="26" spans="3:29" x14ac:dyDescent="0.25">
      <c r="G26" s="23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4"/>
      <c r="V26" s="64"/>
      <c r="W26" s="64"/>
      <c r="X26" s="64"/>
      <c r="Y26" s="64"/>
      <c r="Z26" s="63"/>
      <c r="AA26" s="63"/>
      <c r="AB26" s="63"/>
      <c r="AC26" s="63"/>
    </row>
    <row r="27" spans="3:29" x14ac:dyDescent="0.25">
      <c r="G27" s="279" t="s">
        <v>539</v>
      </c>
      <c r="H27" s="64"/>
      <c r="I27" s="64"/>
      <c r="J27" s="64"/>
      <c r="K27" s="162"/>
      <c r="L27" s="396"/>
      <c r="M27" s="397"/>
      <c r="N27" s="67"/>
      <c r="O27" s="244"/>
      <c r="P27" s="265"/>
      <c r="Q27" s="266"/>
      <c r="R27" s="63"/>
      <c r="S27" s="279" t="s">
        <v>539</v>
      </c>
      <c r="T27" s="64"/>
      <c r="U27" s="398"/>
      <c r="V27" s="399"/>
      <c r="W27" s="185"/>
      <c r="X27" s="185"/>
      <c r="Y27" s="400"/>
      <c r="Z27" s="255"/>
      <c r="AA27" s="63"/>
      <c r="AB27" s="267"/>
      <c r="AC27" s="279" t="s">
        <v>539</v>
      </c>
    </row>
    <row r="28" spans="3:29" x14ac:dyDescent="0.25">
      <c r="G28" s="280" t="s">
        <v>442</v>
      </c>
      <c r="H28" s="64">
        <f>SUMIF('FY 2026 Schedule'!$Q$4:$Q$609,'Planning-Hours tabulation'!$G28,'FY 2026 Schedule'!$U$4:$U$609)</f>
        <v>160</v>
      </c>
      <c r="I28" s="64">
        <f>SUMIF(Table2[Instructor 2],'Planning-Hours tabulation'!G28,Table2[Course Length (Hours)])</f>
        <v>0</v>
      </c>
      <c r="J28" s="64">
        <f>SUM(H28,I28)</f>
        <v>160</v>
      </c>
      <c r="K28" s="162">
        <f>$E$8-J28</f>
        <v>1792</v>
      </c>
      <c r="L28" s="396">
        <f t="shared" ref="L28:O29" si="15">H28/$E$8</f>
        <v>8.1967213114754092E-2</v>
      </c>
      <c r="M28" s="397">
        <f t="shared" si="15"/>
        <v>0</v>
      </c>
      <c r="N28" s="401">
        <f t="shared" si="15"/>
        <v>8.1967213114754092E-2</v>
      </c>
      <c r="O28" s="244">
        <f t="shared" si="15"/>
        <v>0.91803278688524592</v>
      </c>
      <c r="P28" s="265">
        <f>K28/8</f>
        <v>224</v>
      </c>
      <c r="Q28" s="266">
        <f>P28/22</f>
        <v>10.181818181818182</v>
      </c>
      <c r="R28" s="63"/>
      <c r="S28" s="64">
        <f>(SUMIF('FY 2026 Schedule'!$Q$4:$Q$609,'Planning-Hours tabulation'!$G28,'FY 2026 Schedule'!$AK$4:$AK$609))</f>
        <v>80</v>
      </c>
      <c r="T28" s="64">
        <f>SUMIF('FY 2026 Schedule'!$R$4:$R$609,'Planning-Hours tabulation'!$G28,'FY 2026 Schedule'!$AK$4:$AK$609)</f>
        <v>0</v>
      </c>
      <c r="U28" s="398">
        <f>S28+T28</f>
        <v>80</v>
      </c>
      <c r="V28" s="399">
        <f>$E$8-U28</f>
        <v>1872</v>
      </c>
      <c r="W28" s="185">
        <f t="shared" ref="W28:Z29" si="16">S28/$E$8</f>
        <v>4.0983606557377046E-2</v>
      </c>
      <c r="X28" s="185">
        <f t="shared" si="16"/>
        <v>0</v>
      </c>
      <c r="Y28" s="402">
        <f t="shared" si="16"/>
        <v>4.0983606557377046E-2</v>
      </c>
      <c r="Z28" s="255">
        <f t="shared" si="16"/>
        <v>0.95901639344262291</v>
      </c>
      <c r="AA28" s="63">
        <f>V28/8</f>
        <v>234</v>
      </c>
      <c r="AB28" s="267">
        <f>AA28/22</f>
        <v>10.636363636363637</v>
      </c>
      <c r="AC28" s="280" t="s">
        <v>442</v>
      </c>
    </row>
    <row r="29" spans="3:29" x14ac:dyDescent="0.25">
      <c r="G29" s="387" t="s">
        <v>443</v>
      </c>
      <c r="H29" s="230">
        <f>SUMIF('FY 2026 Schedule'!$Q$4:$Q$609,'Planning-Hours tabulation'!$G29,'FY 2026 Schedule'!$U$4:$U$609)</f>
        <v>0</v>
      </c>
      <c r="I29" s="191">
        <f>SUMIF(Table2[Instructor 2],'Planning-Hours tabulation'!G29,Table2[Course Length (Hours)])</f>
        <v>160</v>
      </c>
      <c r="J29" s="191">
        <f>SUM(H29,I29)</f>
        <v>160</v>
      </c>
      <c r="K29" s="253">
        <f>$E$8-J29</f>
        <v>1792</v>
      </c>
      <c r="L29" s="268">
        <f t="shared" si="15"/>
        <v>0</v>
      </c>
      <c r="M29" s="192">
        <f t="shared" si="15"/>
        <v>8.1967213114754092E-2</v>
      </c>
      <c r="N29" s="269">
        <f t="shared" si="15"/>
        <v>8.1967213114754092E-2</v>
      </c>
      <c r="O29" s="388">
        <f t="shared" si="15"/>
        <v>0.91803278688524592</v>
      </c>
      <c r="P29" s="389">
        <f>K29/8</f>
        <v>224</v>
      </c>
      <c r="Q29" s="390">
        <f>P29/22</f>
        <v>10.181818181818182</v>
      </c>
      <c r="S29" s="231">
        <f>(SUMIF('FY 2026 Schedule'!$Q$4:$Q$609,'Planning-Hours tabulation'!$G29,'FY 2026 Schedule'!$AK$4:$AK$609))</f>
        <v>0</v>
      </c>
      <c r="T29" s="231">
        <f>SUMIF('FY 2026 Schedule'!$R$4:$R$609,'Planning-Hours tabulation'!$G29,'FY 2026 Schedule'!$AK$4:$AK$609)</f>
        <v>80</v>
      </c>
      <c r="U29" s="222">
        <f>S29+T29</f>
        <v>80</v>
      </c>
      <c r="V29" s="254">
        <f>$E$8-U29</f>
        <v>1872</v>
      </c>
      <c r="W29" s="391">
        <f t="shared" si="16"/>
        <v>0</v>
      </c>
      <c r="X29" s="391">
        <f t="shared" si="16"/>
        <v>4.0983606557377046E-2</v>
      </c>
      <c r="Y29" s="392">
        <f t="shared" si="16"/>
        <v>4.0983606557377046E-2</v>
      </c>
      <c r="Z29" s="393">
        <f t="shared" si="16"/>
        <v>0.95901639344262291</v>
      </c>
      <c r="AA29" s="394">
        <f>V29/8</f>
        <v>234</v>
      </c>
      <c r="AB29" s="395">
        <f>AA29/22</f>
        <v>10.636363636363637</v>
      </c>
      <c r="AC29" s="387" t="s">
        <v>443</v>
      </c>
    </row>
    <row r="30" spans="3:29" x14ac:dyDescent="0.25">
      <c r="G30" s="280" t="s">
        <v>540</v>
      </c>
      <c r="H30" s="230">
        <f>SUMIF('FY 2026 Schedule'!$Q$4:$Q$609,'Planning-Hours tabulation'!$G30,'FY 2026 Schedule'!$U$4:$U$609)</f>
        <v>0</v>
      </c>
      <c r="I30" s="191">
        <f>SUMIF(Table2[Instructor 2],'Planning-Hours tabulation'!G30,Table2[Course Length (Hours)])</f>
        <v>0</v>
      </c>
      <c r="J30" s="191">
        <f t="shared" ref="J30" si="17">SUM(H30,I30)</f>
        <v>0</v>
      </c>
      <c r="K30" s="253">
        <f>$E$8-J30</f>
        <v>1952</v>
      </c>
      <c r="L30" s="268">
        <f t="shared" ref="L30" si="18">H30/$E$8</f>
        <v>0</v>
      </c>
      <c r="M30" s="192">
        <f t="shared" ref="M30" si="19">I30/$E$8</f>
        <v>0</v>
      </c>
      <c r="N30" s="269">
        <f t="shared" ref="N30" si="20">J30/$E$8</f>
        <v>0</v>
      </c>
      <c r="O30" s="244">
        <f t="shared" ref="O30" si="21">K30/$E$8</f>
        <v>1</v>
      </c>
      <c r="P30" s="265">
        <f t="shared" ref="P30" si="22">K30/8</f>
        <v>244</v>
      </c>
      <c r="Q30" s="266">
        <f t="shared" ref="Q30" si="23">P30/22</f>
        <v>11.090909090909092</v>
      </c>
      <c r="S30" s="231">
        <f>(SUMIF('FY 2026 Schedule'!$Q$4:$Q$609,'Planning-Hours tabulation'!$G30,'FY 2026 Schedule'!$AK$4:$AK$609))</f>
        <v>0</v>
      </c>
      <c r="T30" s="231">
        <f>SUMIF('FY 2026 Schedule'!$R$4:$R$609,'Planning-Hours tabulation'!$G30,'FY 2026 Schedule'!$AK$4:$AK$609)</f>
        <v>0</v>
      </c>
      <c r="U30" s="222">
        <f>S30+T30</f>
        <v>0</v>
      </c>
      <c r="V30" s="254">
        <f>$E$8-U30</f>
        <v>1952</v>
      </c>
      <c r="W30" s="223">
        <f t="shared" ref="W30" si="24">S30/$E$8</f>
        <v>0</v>
      </c>
      <c r="X30" s="223">
        <f t="shared" ref="X30" si="25">T30/$E$8</f>
        <v>0</v>
      </c>
      <c r="Y30" s="270">
        <f t="shared" ref="Y30" si="26">U30/$E$8</f>
        <v>0</v>
      </c>
      <c r="Z30" s="255">
        <f t="shared" ref="Z30" si="27">V30/$E$8</f>
        <v>1</v>
      </c>
      <c r="AA30" s="63">
        <f>V30/8</f>
        <v>244</v>
      </c>
      <c r="AB30" s="267">
        <f>AA30/22</f>
        <v>11.090909090909092</v>
      </c>
      <c r="AC30" s="280" t="s">
        <v>540</v>
      </c>
    </row>
    <row r="31" spans="3:29" x14ac:dyDescent="0.25">
      <c r="G31" s="280" t="s">
        <v>541</v>
      </c>
      <c r="H31" s="230">
        <f>SUMIF('FY 2026 Schedule'!$Q$4:$Q$609,'Planning-Hours tabulation'!$G31,'FY 2026 Schedule'!$U$4:$U$609)</f>
        <v>0</v>
      </c>
      <c r="I31" s="191">
        <f>SUMIF(Table2[Instructor 2],'Planning-Hours tabulation'!G31,Table2[Course Length (Hours)])</f>
        <v>0</v>
      </c>
      <c r="J31" s="191">
        <f t="shared" ref="J31" si="28">SUM(H31,I31)</f>
        <v>0</v>
      </c>
      <c r="K31" s="253">
        <f>$E$8-J31</f>
        <v>1952</v>
      </c>
      <c r="L31" s="268">
        <f t="shared" ref="L31" si="29">H31/$E$8</f>
        <v>0</v>
      </c>
      <c r="M31" s="192">
        <f t="shared" ref="M31" si="30">I31/$E$8</f>
        <v>0</v>
      </c>
      <c r="N31" s="269">
        <f t="shared" ref="N31" si="31">J31/$E$8</f>
        <v>0</v>
      </c>
      <c r="O31" s="244">
        <f t="shared" ref="O31" si="32">K31/$E$8</f>
        <v>1</v>
      </c>
      <c r="P31" s="265">
        <f t="shared" ref="P31" si="33">K31/8</f>
        <v>244</v>
      </c>
      <c r="Q31" s="266">
        <f t="shared" ref="Q31" si="34">P31/22</f>
        <v>11.090909090909092</v>
      </c>
      <c r="S31" s="231">
        <f>(SUMIF('FY 2026 Schedule'!$Q$4:$Q$609,'Planning-Hours tabulation'!$G31,'FY 2026 Schedule'!$AK$4:$AK$609))</f>
        <v>0</v>
      </c>
      <c r="T31" s="231">
        <f>SUMIF('FY 2026 Schedule'!$R$4:$R$609,'Planning-Hours tabulation'!$G31,'FY 2026 Schedule'!$AK$4:$AK$609)</f>
        <v>0</v>
      </c>
      <c r="U31" s="222">
        <f>S31+T31</f>
        <v>0</v>
      </c>
      <c r="V31" s="254">
        <f>$E$8-U31</f>
        <v>1952</v>
      </c>
      <c r="W31" s="223">
        <f t="shared" ref="W31" si="35">S31/$E$8</f>
        <v>0</v>
      </c>
      <c r="X31" s="223">
        <f t="shared" ref="X31" si="36">T31/$E$8</f>
        <v>0</v>
      </c>
      <c r="Y31" s="270">
        <f t="shared" ref="Y31" si="37">U31/$E$8</f>
        <v>0</v>
      </c>
      <c r="Z31" s="255">
        <f t="shared" ref="Z31" si="38">V31/$E$8</f>
        <v>1</v>
      </c>
      <c r="AA31" s="63">
        <f>V31/8</f>
        <v>244</v>
      </c>
      <c r="AB31" s="267">
        <f>AA31/22</f>
        <v>11.090909090909092</v>
      </c>
      <c r="AC31" s="280" t="s">
        <v>541</v>
      </c>
    </row>
    <row r="41" spans="7:9" x14ac:dyDescent="0.25">
      <c r="I41" s="272"/>
    </row>
    <row r="47" spans="7:9" x14ac:dyDescent="0.25">
      <c r="G47" s="271"/>
      <c r="I47" s="272"/>
    </row>
    <row r="48" spans="7:9" x14ac:dyDescent="0.25">
      <c r="G48" s="271"/>
      <c r="I48" s="272"/>
    </row>
    <row r="49" spans="7:9" x14ac:dyDescent="0.25">
      <c r="G49" s="271"/>
    </row>
    <row r="50" spans="7:9" x14ac:dyDescent="0.25">
      <c r="G50" s="271"/>
    </row>
    <row r="51" spans="7:9" x14ac:dyDescent="0.25">
      <c r="I51" s="273"/>
    </row>
    <row r="52" spans="7:9" x14ac:dyDescent="0.25">
      <c r="I52" s="271"/>
    </row>
    <row r="53" spans="7:9" x14ac:dyDescent="0.25">
      <c r="I53" s="271"/>
    </row>
    <row r="54" spans="7:9" x14ac:dyDescent="0.25">
      <c r="I54" s="271"/>
    </row>
    <row r="55" spans="7:9" x14ac:dyDescent="0.25">
      <c r="I55" s="271"/>
    </row>
    <row r="56" spans="7:9" x14ac:dyDescent="0.25">
      <c r="I56" s="271"/>
    </row>
    <row r="57" spans="7:9" x14ac:dyDescent="0.25">
      <c r="I57" s="271"/>
    </row>
    <row r="59" spans="7:9" x14ac:dyDescent="0.25">
      <c r="I59" s="274"/>
    </row>
    <row r="60" spans="7:9" x14ac:dyDescent="0.25">
      <c r="I60" s="119"/>
    </row>
    <row r="61" spans="7:9" x14ac:dyDescent="0.25">
      <c r="I61" s="119"/>
    </row>
  </sheetData>
  <sortState xmlns:xlrd2="http://schemas.microsoft.com/office/spreadsheetml/2017/richdata2" ref="U5:U19">
    <sortCondition ref="U5:U19"/>
  </sortState>
  <phoneticPr fontId="4" type="noConversion"/>
  <pageMargins left="0.7" right="0.7" top="0.75" bottom="0.75" header="0.3" footer="0.3"/>
  <pageSetup scale="40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1F7E8-0963-47B0-9474-568EAB56D8B0}">
  <sheetPr>
    <tabColor theme="9" tint="0.79998168889431442"/>
    <pageSetUpPr fitToPage="1"/>
  </sheetPr>
  <dimension ref="A1:AX78"/>
  <sheetViews>
    <sheetView zoomScale="80" zoomScaleNormal="80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10" sqref="A10:XFD10"/>
    </sheetView>
  </sheetViews>
  <sheetFormatPr defaultColWidth="7.7109375" defaultRowHeight="15" x14ac:dyDescent="0.25"/>
  <cols>
    <col min="1" max="1" width="25.42578125" style="13" customWidth="1"/>
    <col min="2" max="2" width="7.7109375" style="13" bestFit="1" customWidth="1"/>
    <col min="3" max="4" width="11" style="13" customWidth="1"/>
    <col min="5" max="5" width="7.7109375" style="13" bestFit="1" customWidth="1"/>
    <col min="6" max="14" width="7.7109375" style="13" customWidth="1"/>
    <col min="15" max="15" width="3.42578125" style="241" customWidth="1"/>
    <col min="16" max="16" width="7.7109375" style="13" customWidth="1"/>
    <col min="17" max="17" width="7.7109375" style="13" bestFit="1" customWidth="1"/>
    <col min="18" max="23" width="7.7109375" style="13" customWidth="1"/>
    <col min="24" max="25" width="7.7109375" style="13" hidden="1" customWidth="1"/>
    <col min="26" max="26" width="2.28515625" style="13" customWidth="1"/>
    <col min="27" max="28" width="7.7109375" style="13" customWidth="1"/>
    <col min="29" max="29" width="7.7109375" style="194" customWidth="1"/>
    <col min="30" max="30" width="7.7109375" style="13" customWidth="1"/>
    <col min="31" max="31" width="9.42578125" style="13" customWidth="1"/>
    <col min="32" max="32" width="9.7109375" style="13" customWidth="1"/>
    <col min="33" max="33" width="8.7109375" style="13" customWidth="1"/>
    <col min="34" max="34" width="2.5703125" style="13" customWidth="1"/>
    <col min="35" max="35" width="7.7109375" style="13" customWidth="1"/>
    <col min="36" max="36" width="9.7109375" style="13" customWidth="1"/>
    <col min="37" max="37" width="9.5703125" style="13" customWidth="1"/>
    <col min="38" max="38" width="8" style="13" customWidth="1"/>
    <col min="39" max="40" width="9.7109375" style="13" customWidth="1"/>
    <col min="41" max="41" width="8.7109375" style="13" customWidth="1"/>
    <col min="42" max="42" width="2.5703125" style="13" customWidth="1"/>
    <col min="43" max="43" width="7.7109375" style="195"/>
    <col min="44" max="44" width="7.7109375" style="195" customWidth="1"/>
    <col min="45" max="46" width="7.7109375" style="13"/>
    <col min="47" max="47" width="9" style="13" customWidth="1"/>
    <col min="48" max="48" width="15.7109375" style="13" customWidth="1"/>
    <col min="49" max="49" width="11.42578125" style="13" customWidth="1"/>
    <col min="50" max="50" width="26.5703125" style="13" customWidth="1"/>
    <col min="51" max="16384" width="7.7109375" style="13"/>
  </cols>
  <sheetData>
    <row r="1" spans="1:50" ht="87.75" customHeight="1" x14ac:dyDescent="0.25">
      <c r="A1" s="204" t="s">
        <v>8</v>
      </c>
      <c r="B1" s="205" t="s">
        <v>9</v>
      </c>
      <c r="C1" s="205" t="s">
        <v>10</v>
      </c>
      <c r="D1" s="206" t="s">
        <v>11</v>
      </c>
      <c r="E1" s="206" t="s">
        <v>12</v>
      </c>
      <c r="F1" s="234" t="s">
        <v>542</v>
      </c>
      <c r="G1" s="234" t="s">
        <v>543</v>
      </c>
      <c r="H1" s="234" t="s">
        <v>544</v>
      </c>
      <c r="I1" s="234" t="s">
        <v>545</v>
      </c>
      <c r="J1" s="234" t="s">
        <v>546</v>
      </c>
      <c r="K1" s="234" t="s">
        <v>547</v>
      </c>
      <c r="L1" s="234" t="s">
        <v>548</v>
      </c>
      <c r="M1" s="234" t="s">
        <v>549</v>
      </c>
      <c r="N1" s="234" t="s">
        <v>550</v>
      </c>
      <c r="O1" s="235" t="s">
        <v>551</v>
      </c>
      <c r="P1" s="236" t="s">
        <v>552</v>
      </c>
      <c r="Q1" s="236" t="s">
        <v>553</v>
      </c>
      <c r="R1" s="236" t="s">
        <v>554</v>
      </c>
      <c r="S1" s="236" t="s">
        <v>555</v>
      </c>
      <c r="T1" s="236" t="s">
        <v>556</v>
      </c>
      <c r="U1" s="236" t="s">
        <v>557</v>
      </c>
      <c r="V1" s="236" t="s">
        <v>13</v>
      </c>
      <c r="W1" s="236" t="s">
        <v>558</v>
      </c>
      <c r="X1" s="207" t="s">
        <v>559</v>
      </c>
      <c r="Y1" s="208" t="s">
        <v>560</v>
      </c>
      <c r="Z1" s="209" t="s">
        <v>561</v>
      </c>
      <c r="AA1" s="210" t="s">
        <v>562</v>
      </c>
      <c r="AB1" s="211" t="s">
        <v>563</v>
      </c>
      <c r="AC1" s="212" t="s">
        <v>564</v>
      </c>
      <c r="AD1" s="210" t="s">
        <v>565</v>
      </c>
      <c r="AE1" s="210" t="s">
        <v>566</v>
      </c>
      <c r="AF1" s="211" t="s">
        <v>567</v>
      </c>
      <c r="AG1" s="211" t="s">
        <v>568</v>
      </c>
      <c r="AH1" s="209" t="s">
        <v>569</v>
      </c>
      <c r="AI1" s="213" t="s">
        <v>570</v>
      </c>
      <c r="AJ1" s="214" t="s">
        <v>571</v>
      </c>
      <c r="AK1" s="213" t="s">
        <v>572</v>
      </c>
      <c r="AL1" s="213" t="s">
        <v>573</v>
      </c>
      <c r="AM1" s="213" t="s">
        <v>574</v>
      </c>
      <c r="AN1" s="214" t="s">
        <v>575</v>
      </c>
      <c r="AO1" s="214" t="s">
        <v>576</v>
      </c>
      <c r="AP1" s="209" t="s">
        <v>577</v>
      </c>
      <c r="AQ1" s="215" t="s">
        <v>578</v>
      </c>
      <c r="AR1" s="216" t="s">
        <v>579</v>
      </c>
      <c r="AS1" s="217" t="s">
        <v>580</v>
      </c>
      <c r="AT1" s="217" t="s">
        <v>581</v>
      </c>
      <c r="AU1" s="217" t="s">
        <v>582</v>
      </c>
      <c r="AV1" s="218" t="s">
        <v>583</v>
      </c>
      <c r="AW1" s="218" t="s">
        <v>584</v>
      </c>
      <c r="AX1" s="219" t="s">
        <v>585</v>
      </c>
    </row>
    <row r="2" spans="1:50" s="194" customFormat="1" ht="38.25" x14ac:dyDescent="0.25">
      <c r="A2" s="356" t="s">
        <v>23</v>
      </c>
      <c r="B2" s="193" t="str">
        <f>VLOOKUP(Table119[[#This Row],[Course]],'TSD-Data'!$A$1:$G$95,7,FALSE)</f>
        <v>N4</v>
      </c>
      <c r="C2" s="193" t="s">
        <v>25</v>
      </c>
      <c r="D2" s="487" t="str">
        <f>VLOOKUP(Table119[[#This Row],[Course]],'TSD-Data'!$A$1:$G$90,2,FALSE)</f>
        <v>A-4J-0022</v>
      </c>
      <c r="E2" s="193" t="str">
        <f>VLOOKUP(Table119[[#This Row],[Course]],'TSD-Data'!$A$1:$G$90,3,FALSE)</f>
        <v>09ER</v>
      </c>
      <c r="F2" s="193">
        <v>248</v>
      </c>
      <c r="G2" s="193">
        <f>VLOOKUP(Table119[[#This Row],[Course]],'TSD-Data'!$A$1:$G$90,4,FALSE)</f>
        <v>45</v>
      </c>
      <c r="H2" s="243">
        <f>Table119[[#This Row],[FY26 FLT Quota Need]]/Table119[[#This Row],[FY26 Quota Per course]]</f>
        <v>5.5111111111111111</v>
      </c>
      <c r="I2" s="237">
        <f>ROUNDUP(Table119[[#This Row],[FY26 Courses Needed]],0)</f>
        <v>6</v>
      </c>
      <c r="J2" s="340">
        <f>COUNTIF(Table2[Course Title],Table119[[#This Row],[Course]])</f>
        <v>10</v>
      </c>
      <c r="K2" s="289">
        <f>VLOOKUP(Table119[[#This Row],[Course]],'TSD-Data'!$A$1:$G$90,6,FALSE)</f>
        <v>16</v>
      </c>
      <c r="L2" s="489">
        <f>Table119[[#This Row],[FY26 NSETC Course '# projections]]*Table119[[#This Row],[FY26 Hours Per Course]]</f>
        <v>160</v>
      </c>
      <c r="M2" s="489">
        <f>Table119[[#This Row],[FY26 NSETC Course '# projections]]-Table119[[#This Row],[FY26 Courses Needed Round UP]]</f>
        <v>4</v>
      </c>
      <c r="N2" s="290">
        <f t="shared" ref="N2:N34" si="0">IFERROR(J2*G2/F2, "N/A")</f>
        <v>1.814516129032258</v>
      </c>
      <c r="O2" s="238"/>
      <c r="P2" s="490">
        <v>9</v>
      </c>
      <c r="Q2" s="491">
        <v>45</v>
      </c>
      <c r="R2" s="492">
        <v>204</v>
      </c>
      <c r="S2" s="493">
        <v>10</v>
      </c>
      <c r="T2" s="494">
        <v>50</v>
      </c>
      <c r="U2" s="495">
        <f>(Table119[[#This Row],[FY25 Grads]]+Table119[[#This Row],[FY25 Fails]])/Table119[[#This Row],[FY25 Total Courses]]</f>
        <v>23.777777777777779</v>
      </c>
      <c r="V2" s="496">
        <v>337</v>
      </c>
      <c r="W2" s="497">
        <f t="shared" ref="W2:W59" si="1">IFERROR((R2+S2)/V2, "N/A")</f>
        <v>0.63501483679525228</v>
      </c>
      <c r="X2" s="498">
        <v>456</v>
      </c>
      <c r="Y2" s="499">
        <v>23</v>
      </c>
      <c r="Z2" s="500"/>
      <c r="AA2" s="501">
        <v>10</v>
      </c>
      <c r="AB2" s="502">
        <v>45</v>
      </c>
      <c r="AC2" s="503">
        <v>191</v>
      </c>
      <c r="AD2" s="504">
        <v>2</v>
      </c>
      <c r="AE2" s="505">
        <f t="shared" ref="AE2:AE32" si="2">AVERAGE(AC2+AD2)/AA2</f>
        <v>19.3</v>
      </c>
      <c r="AF2" s="506">
        <v>340</v>
      </c>
      <c r="AG2" s="507">
        <f t="shared" ref="AG2:AG32" si="3">SUM(AC2+AD2)/AF2</f>
        <v>0.56764705882352939</v>
      </c>
      <c r="AH2" s="500"/>
      <c r="AI2" s="491">
        <v>11</v>
      </c>
      <c r="AJ2" s="508">
        <v>20</v>
      </c>
      <c r="AK2" s="494">
        <v>204</v>
      </c>
      <c r="AL2" s="494">
        <v>8</v>
      </c>
      <c r="AM2" s="509">
        <f t="shared" ref="AM2:AM32" si="4">AVERAGE(AK2+AL2)/AI2</f>
        <v>19.272727272727273</v>
      </c>
      <c r="AN2" s="510">
        <v>220</v>
      </c>
      <c r="AO2" s="507">
        <f t="shared" ref="AO2:AO32" si="5">SUM(AK2+AL2)/AN2</f>
        <v>0.96363636363636362</v>
      </c>
      <c r="AP2" s="511"/>
      <c r="AQ2" s="512">
        <v>19</v>
      </c>
      <c r="AR2" s="512">
        <v>30</v>
      </c>
      <c r="AS2" s="513">
        <v>209</v>
      </c>
      <c r="AT2" s="513">
        <v>0</v>
      </c>
      <c r="AU2" s="514">
        <v>11</v>
      </c>
      <c r="AV2" s="515">
        <v>570</v>
      </c>
      <c r="AW2" s="516">
        <f t="shared" ref="AW2:AW12" si="6">SUM(AS2+AT2)/AV2</f>
        <v>0.36666666666666664</v>
      </c>
      <c r="AX2" s="356" t="s">
        <v>23</v>
      </c>
    </row>
    <row r="3" spans="1:50" s="194" customFormat="1" x14ac:dyDescent="0.25">
      <c r="A3" s="517" t="s">
        <v>28</v>
      </c>
      <c r="B3" s="193" t="str">
        <f>VLOOKUP(Table119[[#This Row],[Course]],'TSD-Data'!$A$1:$G$95,7,FALSE)</f>
        <v>N3</v>
      </c>
      <c r="C3" s="357" t="s">
        <v>30</v>
      </c>
      <c r="D3" s="487" t="str">
        <f>VLOOKUP(Table119[[#This Row],[Course]],'TSD-Data'!$A$1:$G$90,2,FALSE)</f>
        <v>A-493-0014</v>
      </c>
      <c r="E3" s="193">
        <f>VLOOKUP(Table119[[#This Row],[Course]],'TSD-Data'!$A$1:$G$90,3,FALSE)</f>
        <v>3878</v>
      </c>
      <c r="F3" s="518">
        <v>472</v>
      </c>
      <c r="G3" s="193">
        <f>VLOOKUP(Table119[[#This Row],[Course]],'TSD-Data'!$A$1:$G$90,4,FALSE)</f>
        <v>25</v>
      </c>
      <c r="H3" s="243">
        <f>Table119[[#This Row],[FY26 FLT Quota Need]]/Table119[[#This Row],[FY26 Quota Per course]]</f>
        <v>18.88</v>
      </c>
      <c r="I3" s="237">
        <f>ROUNDUP(Table119[[#This Row],[FY26 Courses Needed]],0)</f>
        <v>19</v>
      </c>
      <c r="J3" s="340">
        <f>COUNTIF(Table2[Course Title],Table119[[#This Row],[Course]])</f>
        <v>2</v>
      </c>
      <c r="K3" s="289">
        <f>VLOOKUP(Table119[[#This Row],[Course]],'TSD-Data'!$A$1:$G$90,6,FALSE)</f>
        <v>24</v>
      </c>
      <c r="L3" s="489">
        <f>Table119[[#This Row],[FY26 NSETC Course '# projections]]*Table119[[#This Row],[FY26 Hours Per Course]]</f>
        <v>48</v>
      </c>
      <c r="M3" s="489">
        <f>Table119[[#This Row],[FY26 NSETC Course '# projections]]-Table119[[#This Row],[FY26 Courses Needed Round UP]]</f>
        <v>-17</v>
      </c>
      <c r="N3" s="290">
        <f t="shared" si="0"/>
        <v>0.1059322033898305</v>
      </c>
      <c r="O3" s="238"/>
      <c r="P3" s="490">
        <v>3</v>
      </c>
      <c r="Q3" s="491">
        <v>25</v>
      </c>
      <c r="R3" s="492">
        <v>27</v>
      </c>
      <c r="S3" s="493">
        <v>0</v>
      </c>
      <c r="T3" s="494">
        <v>1</v>
      </c>
      <c r="U3" s="495">
        <f>(Table119[[#This Row],[FY25 Grads]]+Table119[[#This Row],[FY25 Fails]])/Table119[[#This Row],[FY25 Total Courses]]</f>
        <v>9</v>
      </c>
      <c r="V3" s="496">
        <v>325</v>
      </c>
      <c r="W3" s="497">
        <f t="shared" si="1"/>
        <v>8.3076923076923076E-2</v>
      </c>
      <c r="X3" s="498">
        <v>463</v>
      </c>
      <c r="Y3" s="499">
        <v>19</v>
      </c>
      <c r="Z3" s="500"/>
      <c r="AA3" s="512">
        <v>2</v>
      </c>
      <c r="AB3" s="502">
        <v>25</v>
      </c>
      <c r="AC3" s="519">
        <v>31</v>
      </c>
      <c r="AD3" s="520">
        <v>1</v>
      </c>
      <c r="AE3" s="505">
        <f t="shared" si="2"/>
        <v>16</v>
      </c>
      <c r="AF3" s="506">
        <v>384</v>
      </c>
      <c r="AG3" s="507">
        <f t="shared" si="3"/>
        <v>8.3333333333333329E-2</v>
      </c>
      <c r="AH3" s="500"/>
      <c r="AI3" s="491">
        <v>3</v>
      </c>
      <c r="AJ3" s="508">
        <v>25</v>
      </c>
      <c r="AK3" s="494">
        <v>51</v>
      </c>
      <c r="AL3" s="494">
        <v>0</v>
      </c>
      <c r="AM3" s="509">
        <f t="shared" si="4"/>
        <v>17</v>
      </c>
      <c r="AN3" s="521">
        <v>215</v>
      </c>
      <c r="AO3" s="507">
        <f t="shared" si="5"/>
        <v>0.23720930232558141</v>
      </c>
      <c r="AP3" s="511"/>
      <c r="AQ3" s="512">
        <v>1</v>
      </c>
      <c r="AR3" s="512">
        <v>25</v>
      </c>
      <c r="AS3" s="513">
        <v>10</v>
      </c>
      <c r="AT3" s="513">
        <v>0</v>
      </c>
      <c r="AU3" s="522">
        <f>(Table119[[#This Row],[FY22 Grads]]+Table119[[#This Row],[FY22 Fails]])/Table119[[#This Row],[FY22 Total Courses]]</f>
        <v>10</v>
      </c>
      <c r="AV3" s="515">
        <v>179</v>
      </c>
      <c r="AW3" s="507">
        <f t="shared" si="6"/>
        <v>5.5865921787709494E-2</v>
      </c>
      <c r="AX3" s="517" t="s">
        <v>28</v>
      </c>
    </row>
    <row r="4" spans="1:50" s="194" customFormat="1" ht="25.5" x14ac:dyDescent="0.25">
      <c r="A4" s="356" t="s">
        <v>32</v>
      </c>
      <c r="B4" s="193" t="str">
        <f>VLOOKUP(Table119[[#This Row],[Course]],'TSD-Data'!$A$1:$G$95,7,FALSE)</f>
        <v>N3</v>
      </c>
      <c r="C4" s="357" t="s">
        <v>30</v>
      </c>
      <c r="D4" s="487" t="str">
        <f>VLOOKUP(Table119[[#This Row],[Course]],'TSD-Data'!$A$1:$G$90,2,FALSE)</f>
        <v>A-493-0015</v>
      </c>
      <c r="E4" s="193">
        <f>VLOOKUP(Table119[[#This Row],[Course]],'TSD-Data'!$A$1:$G$90,3,FALSE)</f>
        <v>3879</v>
      </c>
      <c r="F4" s="518">
        <v>216</v>
      </c>
      <c r="G4" s="193">
        <f>VLOOKUP(Table119[[#This Row],[Course]],'TSD-Data'!$A$1:$G$90,4,FALSE)</f>
        <v>30</v>
      </c>
      <c r="H4" s="243">
        <f>Table119[[#This Row],[FY26 FLT Quota Need]]/Table119[[#This Row],[FY26 Quota Per course]]</f>
        <v>7.2</v>
      </c>
      <c r="I4" s="237">
        <f>ROUNDUP(Table119[[#This Row],[FY26 Courses Needed]],0)</f>
        <v>8</v>
      </c>
      <c r="J4" s="340">
        <f>COUNTIF(Table2[Course Title],Table119[[#This Row],[Course]])</f>
        <v>4</v>
      </c>
      <c r="K4" s="289">
        <f>VLOOKUP(Table119[[#This Row],[Course]],'TSD-Data'!$A$1:$G$90,6,FALSE)</f>
        <v>4</v>
      </c>
      <c r="L4" s="523">
        <f>Table119[[#This Row],[FY26 NSETC Course '# projections]]*Table119[[#This Row],[FY26 Hours Per Course]]</f>
        <v>16</v>
      </c>
      <c r="M4" s="523">
        <f>Table119[[#This Row],[FY26 NSETC Course '# projections]]-Table119[[#This Row],[FY26 Courses Needed Round UP]]</f>
        <v>-4</v>
      </c>
      <c r="N4" s="290">
        <f t="shared" si="0"/>
        <v>0.55555555555555558</v>
      </c>
      <c r="O4" s="238"/>
      <c r="P4" s="490">
        <v>3</v>
      </c>
      <c r="Q4" s="491">
        <v>30</v>
      </c>
      <c r="R4" s="492">
        <v>50</v>
      </c>
      <c r="S4" s="493">
        <v>0</v>
      </c>
      <c r="T4" s="494">
        <v>1</v>
      </c>
      <c r="U4" s="495">
        <f>(Table119[[#This Row],[FY25 Grads]]+Table119[[#This Row],[FY25 Fails]])/Table119[[#This Row],[FY25 Total Courses]]</f>
        <v>16.666666666666668</v>
      </c>
      <c r="V4" s="496">
        <v>341</v>
      </c>
      <c r="W4" s="497">
        <f t="shared" si="1"/>
        <v>0.1466275659824047</v>
      </c>
      <c r="X4" s="498">
        <v>403</v>
      </c>
      <c r="Y4" s="499">
        <v>14</v>
      </c>
      <c r="Z4" s="500"/>
      <c r="AA4" s="512">
        <v>4</v>
      </c>
      <c r="AB4" s="502">
        <v>30</v>
      </c>
      <c r="AC4" s="519">
        <v>69</v>
      </c>
      <c r="AD4" s="520">
        <v>1</v>
      </c>
      <c r="AE4" s="505">
        <f t="shared" si="2"/>
        <v>17.5</v>
      </c>
      <c r="AF4" s="506">
        <v>361</v>
      </c>
      <c r="AG4" s="507">
        <f t="shared" si="3"/>
        <v>0.19390581717451524</v>
      </c>
      <c r="AH4" s="500"/>
      <c r="AI4" s="491">
        <v>4</v>
      </c>
      <c r="AJ4" s="508">
        <v>30</v>
      </c>
      <c r="AK4" s="494">
        <v>68</v>
      </c>
      <c r="AL4" s="494">
        <v>0</v>
      </c>
      <c r="AM4" s="509">
        <f t="shared" si="4"/>
        <v>17</v>
      </c>
      <c r="AN4" s="521">
        <v>170</v>
      </c>
      <c r="AO4" s="507">
        <f t="shared" si="5"/>
        <v>0.4</v>
      </c>
      <c r="AP4" s="511"/>
      <c r="AQ4" s="512">
        <v>4</v>
      </c>
      <c r="AR4" s="512">
        <v>25</v>
      </c>
      <c r="AS4" s="513">
        <v>64</v>
      </c>
      <c r="AT4" s="513">
        <v>1</v>
      </c>
      <c r="AU4" s="522">
        <f>(Table119[[#This Row],[FY22 Grads]]+Table119[[#This Row],[FY22 Fails]])/Table119[[#This Row],[FY22 Total Courses]]</f>
        <v>16.25</v>
      </c>
      <c r="AV4" s="515">
        <v>107</v>
      </c>
      <c r="AW4" s="507">
        <f t="shared" si="6"/>
        <v>0.60747663551401865</v>
      </c>
      <c r="AX4" s="356" t="s">
        <v>32</v>
      </c>
    </row>
    <row r="5" spans="1:50" s="194" customFormat="1" x14ac:dyDescent="0.25">
      <c r="A5" s="517" t="s">
        <v>34</v>
      </c>
      <c r="B5" s="193" t="str">
        <f>VLOOKUP(Table119[[#This Row],[Course]],'TSD-Data'!$A$1:$G$95,7,FALSE)</f>
        <v>N3</v>
      </c>
      <c r="C5" s="357" t="s">
        <v>30</v>
      </c>
      <c r="D5" s="487" t="str">
        <f>VLOOKUP(Table119[[#This Row],[Course]],'TSD-Data'!$A$1:$G$90,2,FALSE)</f>
        <v>A-493-0019</v>
      </c>
      <c r="E5" s="193">
        <f>VLOOKUP(Table119[[#This Row],[Course]],'TSD-Data'!$A$1:$G$90,3,FALSE)</f>
        <v>3882</v>
      </c>
      <c r="F5" s="518">
        <v>181</v>
      </c>
      <c r="G5" s="193">
        <f>VLOOKUP(Table119[[#This Row],[Course]],'TSD-Data'!$A$1:$G$90,4,FALSE)</f>
        <v>25</v>
      </c>
      <c r="H5" s="243">
        <f>Table119[[#This Row],[FY26 FLT Quota Need]]/Table119[[#This Row],[FY26 Quota Per course]]</f>
        <v>7.24</v>
      </c>
      <c r="I5" s="237">
        <f>ROUNDUP(Table119[[#This Row],[FY26 Courses Needed]],0)</f>
        <v>8</v>
      </c>
      <c r="J5" s="340">
        <f>COUNTIF(Table2[Course Title],Table119[[#This Row],[Course]])</f>
        <v>2</v>
      </c>
      <c r="K5" s="289">
        <f>VLOOKUP(Table119[[#This Row],[Course]],'TSD-Data'!$A$1:$G$90,6,FALSE)</f>
        <v>16</v>
      </c>
      <c r="L5" s="489">
        <f>Table119[[#This Row],[FY26 NSETC Course '# projections]]*Table119[[#This Row],[FY26 Hours Per Course]]</f>
        <v>32</v>
      </c>
      <c r="M5" s="523">
        <f>Table119[[#This Row],[FY26 NSETC Course '# projections]]-Table119[[#This Row],[FY26 Courses Needed Round UP]]</f>
        <v>-6</v>
      </c>
      <c r="N5" s="290">
        <f t="shared" si="0"/>
        <v>0.27624309392265195</v>
      </c>
      <c r="O5" s="238"/>
      <c r="P5" s="490">
        <v>3</v>
      </c>
      <c r="Q5" s="491">
        <v>25</v>
      </c>
      <c r="R5" s="492">
        <v>17</v>
      </c>
      <c r="S5" s="493">
        <v>0</v>
      </c>
      <c r="T5" s="494">
        <v>1</v>
      </c>
      <c r="U5" s="495">
        <f>(Table119[[#This Row],[FY25 Grads]]+Table119[[#This Row],[FY25 Fails]])/Table119[[#This Row],[FY25 Total Courses]]</f>
        <v>5.666666666666667</v>
      </c>
      <c r="V5" s="496">
        <v>128</v>
      </c>
      <c r="W5" s="497">
        <f t="shared" si="1"/>
        <v>0.1328125</v>
      </c>
      <c r="X5" s="498">
        <v>307</v>
      </c>
      <c r="Y5" s="499">
        <v>13</v>
      </c>
      <c r="Z5" s="500"/>
      <c r="AA5" s="512">
        <v>2</v>
      </c>
      <c r="AB5" s="502">
        <v>25</v>
      </c>
      <c r="AC5" s="519">
        <v>24</v>
      </c>
      <c r="AD5" s="520">
        <v>0</v>
      </c>
      <c r="AE5" s="505">
        <f t="shared" si="2"/>
        <v>12</v>
      </c>
      <c r="AF5" s="506">
        <v>261</v>
      </c>
      <c r="AG5" s="507">
        <f t="shared" si="3"/>
        <v>9.1954022988505746E-2</v>
      </c>
      <c r="AH5" s="500"/>
      <c r="AI5" s="491">
        <v>3</v>
      </c>
      <c r="AJ5" s="508">
        <v>25</v>
      </c>
      <c r="AK5" s="494">
        <v>26</v>
      </c>
      <c r="AL5" s="494">
        <v>0</v>
      </c>
      <c r="AM5" s="509">
        <f t="shared" si="4"/>
        <v>8.6666666666666661</v>
      </c>
      <c r="AN5" s="521">
        <v>95</v>
      </c>
      <c r="AO5" s="507">
        <f t="shared" si="5"/>
        <v>0.27368421052631581</v>
      </c>
      <c r="AP5" s="511"/>
      <c r="AQ5" s="512">
        <v>1</v>
      </c>
      <c r="AR5" s="512">
        <v>25</v>
      </c>
      <c r="AS5" s="513">
        <v>9</v>
      </c>
      <c r="AT5" s="513">
        <v>0</v>
      </c>
      <c r="AU5" s="522">
        <f>(Table119[[#This Row],[FY22 Grads]]+Table119[[#This Row],[FY22 Fails]])/Table119[[#This Row],[FY22 Total Courses]]</f>
        <v>9</v>
      </c>
      <c r="AV5" s="515">
        <v>82</v>
      </c>
      <c r="AW5" s="507">
        <f t="shared" si="6"/>
        <v>0.10975609756097561</v>
      </c>
      <c r="AX5" s="517" t="s">
        <v>34</v>
      </c>
    </row>
    <row r="6" spans="1:50" s="194" customFormat="1" ht="25.5" x14ac:dyDescent="0.25">
      <c r="A6" s="356" t="s">
        <v>36</v>
      </c>
      <c r="B6" s="193" t="str">
        <f>VLOOKUP(Table119[[#This Row],[Course]],'TSD-Data'!$A$1:$G$95,7,FALSE)</f>
        <v>N3</v>
      </c>
      <c r="C6" s="357" t="s">
        <v>30</v>
      </c>
      <c r="D6" s="487" t="str">
        <f>VLOOKUP(Table119[[#This Row],[Course]],'TSD-Data'!$A$1:$G$90,2,FALSE)</f>
        <v>A-493-0020</v>
      </c>
      <c r="E6" s="193">
        <f>VLOOKUP(Table119[[#This Row],[Course]],'TSD-Data'!$A$1:$G$90,3,FALSE)</f>
        <v>3888</v>
      </c>
      <c r="F6" s="518">
        <v>163</v>
      </c>
      <c r="G6" s="193">
        <f>VLOOKUP(Table119[[#This Row],[Course]],'TSD-Data'!$A$1:$G$90,4,FALSE)</f>
        <v>30</v>
      </c>
      <c r="H6" s="243">
        <f>Table119[[#This Row],[FY26 FLT Quota Need]]/Table119[[#This Row],[FY26 Quota Per course]]</f>
        <v>5.4333333333333336</v>
      </c>
      <c r="I6" s="237">
        <f>ROUNDUP(Table119[[#This Row],[FY26 Courses Needed]],0)</f>
        <v>6</v>
      </c>
      <c r="J6" s="340">
        <f>COUNTIF(Table2[Course Title],Table119[[#This Row],[Course]])</f>
        <v>4</v>
      </c>
      <c r="K6" s="289">
        <f>VLOOKUP(Table119[[#This Row],[Course]],'TSD-Data'!$A$1:$G$90,6,FALSE)</f>
        <v>4</v>
      </c>
      <c r="L6" s="523">
        <f>Table119[[#This Row],[FY26 NSETC Course '# projections]]*Table119[[#This Row],[FY26 Hours Per Course]]</f>
        <v>16</v>
      </c>
      <c r="M6" s="523">
        <f>Table119[[#This Row],[FY26 NSETC Course '# projections]]-Table119[[#This Row],[FY26 Courses Needed Round UP]]</f>
        <v>-2</v>
      </c>
      <c r="N6" s="290">
        <f t="shared" si="0"/>
        <v>0.73619631901840488</v>
      </c>
      <c r="O6" s="238"/>
      <c r="P6" s="490">
        <v>4</v>
      </c>
      <c r="Q6" s="491">
        <v>30</v>
      </c>
      <c r="R6" s="492">
        <v>49</v>
      </c>
      <c r="S6" s="493">
        <v>0</v>
      </c>
      <c r="T6" s="494">
        <v>3</v>
      </c>
      <c r="U6" s="495">
        <f>(Table119[[#This Row],[FY25 Grads]]+Table119[[#This Row],[FY25 Fails]])/Table119[[#This Row],[FY25 Total Courses]]</f>
        <v>12.25</v>
      </c>
      <c r="V6" s="496">
        <v>171</v>
      </c>
      <c r="W6" s="497">
        <f t="shared" si="1"/>
        <v>0.28654970760233917</v>
      </c>
      <c r="X6" s="498">
        <v>261</v>
      </c>
      <c r="Y6" s="499">
        <v>9</v>
      </c>
      <c r="Z6" s="500"/>
      <c r="AA6" s="512">
        <v>4</v>
      </c>
      <c r="AB6" s="502">
        <v>30</v>
      </c>
      <c r="AC6" s="519">
        <v>42</v>
      </c>
      <c r="AD6" s="520">
        <v>0</v>
      </c>
      <c r="AE6" s="505">
        <f t="shared" si="2"/>
        <v>10.5</v>
      </c>
      <c r="AF6" s="506">
        <v>234</v>
      </c>
      <c r="AG6" s="507">
        <f t="shared" si="3"/>
        <v>0.17948717948717949</v>
      </c>
      <c r="AH6" s="500"/>
      <c r="AI6" s="491">
        <v>4</v>
      </c>
      <c r="AJ6" s="508">
        <v>30</v>
      </c>
      <c r="AK6" s="494">
        <v>41</v>
      </c>
      <c r="AL6" s="494">
        <v>0</v>
      </c>
      <c r="AM6" s="509">
        <f t="shared" si="4"/>
        <v>10.25</v>
      </c>
      <c r="AN6" s="521">
        <v>79</v>
      </c>
      <c r="AO6" s="507">
        <f t="shared" si="5"/>
        <v>0.51898734177215189</v>
      </c>
      <c r="AP6" s="511"/>
      <c r="AQ6" s="512">
        <v>4</v>
      </c>
      <c r="AR6" s="512">
        <v>25</v>
      </c>
      <c r="AS6" s="513">
        <v>28</v>
      </c>
      <c r="AT6" s="513">
        <v>0</v>
      </c>
      <c r="AU6" s="522">
        <f>(Table119[[#This Row],[FY22 Grads]]+Table119[[#This Row],[FY22 Fails]])/Table119[[#This Row],[FY22 Total Courses]]</f>
        <v>7</v>
      </c>
      <c r="AV6" s="515">
        <v>76</v>
      </c>
      <c r="AW6" s="507">
        <f t="shared" si="6"/>
        <v>0.36842105263157893</v>
      </c>
      <c r="AX6" s="356" t="s">
        <v>36</v>
      </c>
    </row>
    <row r="7" spans="1:50" s="194" customFormat="1" ht="53.25" customHeight="1" x14ac:dyDescent="0.25">
      <c r="A7" s="356" t="s">
        <v>38</v>
      </c>
      <c r="B7" s="193" t="str">
        <f>VLOOKUP(Table119[[#This Row],[Course]],'TSD-Data'!$A$1:$G$95,7,FALSE)</f>
        <v>N3</v>
      </c>
      <c r="C7" s="357" t="s">
        <v>30</v>
      </c>
      <c r="D7" s="487" t="str">
        <f>VLOOKUP(Table119[[#This Row],[Course]],'TSD-Data'!$A$1:$G$90,2,FALSE)</f>
        <v>A-493-0069</v>
      </c>
      <c r="E7" s="193" t="str">
        <f>VLOOKUP(Table119[[#This Row],[Course]],'TSD-Data'!$A$1:$G$90,3,FALSE)</f>
        <v>450U</v>
      </c>
      <c r="F7" s="518">
        <v>216</v>
      </c>
      <c r="G7" s="193">
        <f>VLOOKUP(Table119[[#This Row],[Course]],'TSD-Data'!$A$1:$G$90,4,FALSE)</f>
        <v>25</v>
      </c>
      <c r="H7" s="243">
        <f>Table119[[#This Row],[FY26 FLT Quota Need]]/Table119[[#This Row],[FY26 Quota Per course]]</f>
        <v>8.64</v>
      </c>
      <c r="I7" s="237">
        <f>ROUNDUP(Table119[[#This Row],[FY26 Courses Needed]],0)</f>
        <v>9</v>
      </c>
      <c r="J7" s="340">
        <f>COUNTIF(Table2[Course Title],Table119[[#This Row],[Course]])</f>
        <v>2</v>
      </c>
      <c r="K7" s="289">
        <f>VLOOKUP(Table119[[#This Row],[Course]],'TSD-Data'!$A$1:$G$90,6,FALSE)</f>
        <v>40</v>
      </c>
      <c r="L7" s="489">
        <f>Table119[[#This Row],[FY26 NSETC Course '# projections]]*Table119[[#This Row],[FY26 Hours Per Course]]</f>
        <v>80</v>
      </c>
      <c r="M7" s="523">
        <f>Table119[[#This Row],[FY26 NSETC Course '# projections]]-Table119[[#This Row],[FY26 Courses Needed Round UP]]</f>
        <v>-7</v>
      </c>
      <c r="N7" s="290">
        <f t="shared" si="0"/>
        <v>0.23148148148148148</v>
      </c>
      <c r="O7" s="238"/>
      <c r="P7" s="490">
        <v>3</v>
      </c>
      <c r="Q7" s="491">
        <v>25</v>
      </c>
      <c r="R7" s="492">
        <v>12</v>
      </c>
      <c r="S7" s="493">
        <v>0</v>
      </c>
      <c r="T7" s="494">
        <v>2</v>
      </c>
      <c r="U7" s="495">
        <f>(Table119[[#This Row],[FY25 Grads]]+Table119[[#This Row],[FY25 Fails]])/Table119[[#This Row],[FY25 Total Courses]]</f>
        <v>4</v>
      </c>
      <c r="V7" s="496">
        <v>197</v>
      </c>
      <c r="W7" s="497">
        <f t="shared" si="1"/>
        <v>6.0913705583756347E-2</v>
      </c>
      <c r="X7" s="498">
        <v>330</v>
      </c>
      <c r="Y7" s="499">
        <v>14</v>
      </c>
      <c r="Z7" s="500"/>
      <c r="AA7" s="512">
        <v>2</v>
      </c>
      <c r="AB7" s="502">
        <v>25</v>
      </c>
      <c r="AC7" s="519">
        <v>19</v>
      </c>
      <c r="AD7" s="520">
        <v>0</v>
      </c>
      <c r="AE7" s="505">
        <f t="shared" si="2"/>
        <v>9.5</v>
      </c>
      <c r="AF7" s="506">
        <v>291</v>
      </c>
      <c r="AG7" s="507">
        <f t="shared" si="3"/>
        <v>6.5292096219931275E-2</v>
      </c>
      <c r="AH7" s="500"/>
      <c r="AI7" s="491">
        <v>3</v>
      </c>
      <c r="AJ7" s="508">
        <v>25</v>
      </c>
      <c r="AK7" s="494">
        <v>22</v>
      </c>
      <c r="AL7" s="494">
        <v>0</v>
      </c>
      <c r="AM7" s="509">
        <f t="shared" si="4"/>
        <v>7.333333333333333</v>
      </c>
      <c r="AN7" s="521">
        <v>150</v>
      </c>
      <c r="AO7" s="507">
        <f t="shared" si="5"/>
        <v>0.14666666666666667</v>
      </c>
      <c r="AP7" s="511"/>
      <c r="AQ7" s="512">
        <v>1</v>
      </c>
      <c r="AR7" s="512">
        <v>25</v>
      </c>
      <c r="AS7" s="513">
        <v>5</v>
      </c>
      <c r="AT7" s="513">
        <v>0</v>
      </c>
      <c r="AU7" s="522">
        <f>(Table119[[#This Row],[FY22 Grads]]+Table119[[#This Row],[FY22 Fails]])/Table119[[#This Row],[FY22 Total Courses]]</f>
        <v>5</v>
      </c>
      <c r="AV7" s="515">
        <v>96</v>
      </c>
      <c r="AW7" s="507">
        <f t="shared" si="6"/>
        <v>5.2083333333333336E-2</v>
      </c>
      <c r="AX7" s="356" t="s">
        <v>38</v>
      </c>
    </row>
    <row r="8" spans="1:50" s="194" customFormat="1" ht="25.5" x14ac:dyDescent="0.25">
      <c r="A8" s="356" t="s">
        <v>41</v>
      </c>
      <c r="B8" s="193" t="str">
        <f>VLOOKUP(Table119[[#This Row],[Course]],'TSD-Data'!$A$1:$G$95,7,FALSE)</f>
        <v>N3</v>
      </c>
      <c r="C8" s="357" t="s">
        <v>30</v>
      </c>
      <c r="D8" s="487" t="str">
        <f>VLOOKUP(Table119[[#This Row],[Course]],'TSD-Data'!$A$1:$G$90,2,FALSE)</f>
        <v>A-493-0070</v>
      </c>
      <c r="E8" s="193" t="str">
        <f>VLOOKUP(Table119[[#This Row],[Course]],'TSD-Data'!$A$1:$G$90,3,FALSE)</f>
        <v>450V</v>
      </c>
      <c r="F8" s="518">
        <v>127</v>
      </c>
      <c r="G8" s="193">
        <f>VLOOKUP(Table119[[#This Row],[Course]],'TSD-Data'!$A$1:$G$90,4,FALSE)</f>
        <v>30</v>
      </c>
      <c r="H8" s="243">
        <f>Table119[[#This Row],[FY26 FLT Quota Need]]/Table119[[#This Row],[FY26 Quota Per course]]</f>
        <v>4.2333333333333334</v>
      </c>
      <c r="I8" s="237">
        <f>ROUNDUP(Table119[[#This Row],[FY26 Courses Needed]],0)</f>
        <v>5</v>
      </c>
      <c r="J8" s="340">
        <f>COUNTIF(Table2[Course Title],Table119[[#This Row],[Course]])</f>
        <v>4</v>
      </c>
      <c r="K8" s="289">
        <f>VLOOKUP(Table119[[#This Row],[Course]],'TSD-Data'!$A$1:$G$90,6,FALSE)</f>
        <v>8</v>
      </c>
      <c r="L8" s="489">
        <f>Table119[[#This Row],[FY26 NSETC Course '# projections]]*Table119[[#This Row],[FY26 Hours Per Course]]</f>
        <v>32</v>
      </c>
      <c r="M8" s="523">
        <f>Table119[[#This Row],[FY26 NSETC Course '# projections]]-Table119[[#This Row],[FY26 Courses Needed Round UP]]</f>
        <v>-1</v>
      </c>
      <c r="N8" s="290">
        <f t="shared" si="0"/>
        <v>0.94488188976377951</v>
      </c>
      <c r="O8" s="238"/>
      <c r="P8" s="490">
        <v>4</v>
      </c>
      <c r="Q8" s="491">
        <v>30</v>
      </c>
      <c r="R8" s="492">
        <v>49</v>
      </c>
      <c r="S8" s="493">
        <v>0</v>
      </c>
      <c r="T8" s="494">
        <v>5</v>
      </c>
      <c r="U8" s="495">
        <f>(Table119[[#This Row],[FY25 Grads]]+Table119[[#This Row],[FY25 Fails]])/Table119[[#This Row],[FY25 Total Courses]]</f>
        <v>12.25</v>
      </c>
      <c r="V8" s="496">
        <v>258</v>
      </c>
      <c r="W8" s="497">
        <f t="shared" si="1"/>
        <v>0.18992248062015504</v>
      </c>
      <c r="X8" s="498">
        <v>321</v>
      </c>
      <c r="Y8" s="499">
        <v>11</v>
      </c>
      <c r="Z8" s="500"/>
      <c r="AA8" s="512">
        <v>4</v>
      </c>
      <c r="AB8" s="502">
        <v>30</v>
      </c>
      <c r="AC8" s="519">
        <v>46</v>
      </c>
      <c r="AD8" s="520">
        <v>0</v>
      </c>
      <c r="AE8" s="505">
        <f t="shared" si="2"/>
        <v>11.5</v>
      </c>
      <c r="AF8" s="506">
        <v>299</v>
      </c>
      <c r="AG8" s="507">
        <f t="shared" si="3"/>
        <v>0.15384615384615385</v>
      </c>
      <c r="AH8" s="500"/>
      <c r="AI8" s="491">
        <v>4</v>
      </c>
      <c r="AJ8" s="508">
        <v>30</v>
      </c>
      <c r="AK8" s="494">
        <v>53</v>
      </c>
      <c r="AL8" s="494">
        <v>0</v>
      </c>
      <c r="AM8" s="509">
        <f t="shared" si="4"/>
        <v>13.25</v>
      </c>
      <c r="AN8" s="521">
        <v>74</v>
      </c>
      <c r="AO8" s="507">
        <f t="shared" si="5"/>
        <v>0.71621621621621623</v>
      </c>
      <c r="AP8" s="511"/>
      <c r="AQ8" s="512">
        <v>4</v>
      </c>
      <c r="AR8" s="512">
        <v>25</v>
      </c>
      <c r="AS8" s="513">
        <v>57</v>
      </c>
      <c r="AT8" s="513">
        <v>0</v>
      </c>
      <c r="AU8" s="522">
        <f>(Table119[[#This Row],[FY22 Grads]]+Table119[[#This Row],[FY22 Fails]])/Table119[[#This Row],[FY22 Total Courses]]</f>
        <v>14.25</v>
      </c>
      <c r="AV8" s="515">
        <v>69</v>
      </c>
      <c r="AW8" s="507">
        <f t="shared" si="6"/>
        <v>0.82608695652173914</v>
      </c>
      <c r="AX8" s="356" t="s">
        <v>41</v>
      </c>
    </row>
    <row r="9" spans="1:50" s="194" customFormat="1" ht="26.25" x14ac:dyDescent="0.25">
      <c r="A9" s="356" t="s">
        <v>44</v>
      </c>
      <c r="B9" s="193" t="str">
        <f>VLOOKUP(Table119[[#This Row],[Course]],'TSD-Data'!$A$1:$G$95,7,FALSE)</f>
        <v>N8</v>
      </c>
      <c r="C9" s="193" t="s">
        <v>25</v>
      </c>
      <c r="D9" s="487" t="str">
        <f>VLOOKUP(Table119[[#This Row],[Course]],'TSD-Data'!$A$1:$G$90,2,FALSE)</f>
        <v>A-493-0665</v>
      </c>
      <c r="E9" s="193" t="str">
        <f>VLOOKUP(Table119[[#This Row],[Course]],'TSD-Data'!$A$1:$G$90,3,FALSE)</f>
        <v>10KW</v>
      </c>
      <c r="F9" s="193">
        <v>409</v>
      </c>
      <c r="G9" s="193">
        <f>VLOOKUP(Table119[[#This Row],[Course]],'TSD-Data'!$A$1:$G$90,4,FALSE)</f>
        <v>45</v>
      </c>
      <c r="H9" s="243">
        <f>Table119[[#This Row],[FY26 FLT Quota Need]]/Table119[[#This Row],[FY26 Quota Per course]]</f>
        <v>9.0888888888888886</v>
      </c>
      <c r="I9" s="237">
        <f>ROUNDUP(Table119[[#This Row],[FY26 Courses Needed]],0)</f>
        <v>10</v>
      </c>
      <c r="J9" s="340">
        <f>COUNTIF(Table2[Course Title],Table119[[#This Row],[Course]])</f>
        <v>10</v>
      </c>
      <c r="K9" s="289">
        <f>VLOOKUP(Table119[[#This Row],[Course]],'TSD-Data'!$A$1:$G$90,6,FALSE)</f>
        <v>24</v>
      </c>
      <c r="L9" s="489">
        <f>Table119[[#This Row],[FY26 NSETC Course '# projections]]*Table119[[#This Row],[FY26 Hours Per Course]]</f>
        <v>240</v>
      </c>
      <c r="M9" s="489">
        <f>Table119[[#This Row],[FY26 NSETC Course '# projections]]-Table119[[#This Row],[FY26 Courses Needed Round UP]]</f>
        <v>0</v>
      </c>
      <c r="N9" s="290">
        <f t="shared" si="0"/>
        <v>1.1002444987775062</v>
      </c>
      <c r="O9" s="238"/>
      <c r="P9" s="490">
        <v>11</v>
      </c>
      <c r="Q9" s="491">
        <v>45</v>
      </c>
      <c r="R9" s="492">
        <v>292</v>
      </c>
      <c r="S9" s="493">
        <v>7</v>
      </c>
      <c r="T9" s="494">
        <v>46</v>
      </c>
      <c r="U9" s="495">
        <f>(Table119[[#This Row],[FY25 Grads]]+Table119[[#This Row],[FY25 Fails]])/Table119[[#This Row],[FY25 Total Courses]]</f>
        <v>27.181818181818183</v>
      </c>
      <c r="V9" s="496">
        <v>464</v>
      </c>
      <c r="W9" s="497">
        <f t="shared" si="1"/>
        <v>0.6443965517241379</v>
      </c>
      <c r="X9" s="498">
        <v>465</v>
      </c>
      <c r="Y9" s="499">
        <v>16</v>
      </c>
      <c r="Z9" s="500"/>
      <c r="AA9" s="512">
        <v>10</v>
      </c>
      <c r="AB9" s="502">
        <v>45</v>
      </c>
      <c r="AC9" s="519">
        <v>262</v>
      </c>
      <c r="AD9" s="520">
        <v>11</v>
      </c>
      <c r="AE9" s="505">
        <f t="shared" si="2"/>
        <v>27.3</v>
      </c>
      <c r="AF9" s="506">
        <v>406</v>
      </c>
      <c r="AG9" s="507">
        <f t="shared" si="3"/>
        <v>0.67241379310344829</v>
      </c>
      <c r="AH9" s="500"/>
      <c r="AI9" s="491">
        <v>17</v>
      </c>
      <c r="AJ9" s="508">
        <v>30</v>
      </c>
      <c r="AK9" s="494">
        <v>284</v>
      </c>
      <c r="AL9" s="494">
        <v>10</v>
      </c>
      <c r="AM9" s="509">
        <f t="shared" si="4"/>
        <v>17.294117647058822</v>
      </c>
      <c r="AN9" s="521">
        <f>228+261</f>
        <v>489</v>
      </c>
      <c r="AO9" s="507">
        <f t="shared" si="5"/>
        <v>0.60122699386503065</v>
      </c>
      <c r="AP9" s="511"/>
      <c r="AQ9" s="512">
        <v>10</v>
      </c>
      <c r="AR9" s="512">
        <v>30</v>
      </c>
      <c r="AS9" s="513">
        <v>249</v>
      </c>
      <c r="AT9" s="513">
        <v>4</v>
      </c>
      <c r="AU9" s="522">
        <f>(Table119[[#This Row],[FY22 Grads]]+Table119[[#This Row],[FY22 Fails]])/Table119[[#This Row],[FY22 Total Courses]]</f>
        <v>25.3</v>
      </c>
      <c r="AV9" s="515">
        <v>352</v>
      </c>
      <c r="AW9" s="507">
        <f t="shared" si="6"/>
        <v>0.71875</v>
      </c>
      <c r="AX9" s="356" t="s">
        <v>44</v>
      </c>
    </row>
    <row r="10" spans="1:50" s="194" customFormat="1" ht="45" x14ac:dyDescent="0.25">
      <c r="A10" s="524" t="s">
        <v>48</v>
      </c>
      <c r="B10" s="193" t="str">
        <f>VLOOKUP(Table119[[#This Row],[Course]],'TSD-Data'!$A$1:$G$95,7,FALSE)</f>
        <v>N5</v>
      </c>
      <c r="C10" s="357" t="s">
        <v>30</v>
      </c>
      <c r="D10" s="487" t="str">
        <f>VLOOKUP(Table119[[#This Row],[Course]],'TSD-Data'!$A$1:$G$90,2,FALSE)</f>
        <v>A-493-0103</v>
      </c>
      <c r="E10" s="193" t="str">
        <f>VLOOKUP(Table119[[#This Row],[Course]],'TSD-Data'!$A$1:$G$90,3,FALSE)</f>
        <v>12JY</v>
      </c>
      <c r="F10" s="518">
        <v>2190</v>
      </c>
      <c r="G10" s="193">
        <f>VLOOKUP(Table119[[#This Row],[Course]],'TSD-Data'!$A$1:$G$90,4,FALSE)</f>
        <v>25</v>
      </c>
      <c r="H10" s="243">
        <f>Table119[[#This Row],[FY26 FLT Quota Need]]/Table119[[#This Row],[FY26 Quota Per course]]</f>
        <v>87.6</v>
      </c>
      <c r="I10" s="237">
        <f>ROUNDUP(Table119[[#This Row],[FY26 Courses Needed]],0)</f>
        <v>88</v>
      </c>
      <c r="J10" s="340">
        <f>COUNTIF(Table2[Course Title],Table119[[#This Row],[Course]])</f>
        <v>49</v>
      </c>
      <c r="K10" s="289">
        <f>VLOOKUP(Table119[[#This Row],[Course]],'TSD-Data'!$A$1:$G$90,6,FALSE)</f>
        <v>40</v>
      </c>
      <c r="L10" s="489">
        <f>Table119[[#This Row],[FY26 NSETC Course '# projections]]*Table119[[#This Row],[FY26 Hours Per Course]]</f>
        <v>1960</v>
      </c>
      <c r="M10" s="523">
        <f>Table119[[#This Row],[FY26 NSETC Course '# projections]]-Table119[[#This Row],[FY26 Courses Needed Round UP]]</f>
        <v>-39</v>
      </c>
      <c r="N10" s="290">
        <f t="shared" si="0"/>
        <v>0.55936073059360736</v>
      </c>
      <c r="O10" s="238"/>
      <c r="P10" s="490">
        <v>37</v>
      </c>
      <c r="Q10" s="491">
        <v>25</v>
      </c>
      <c r="R10" s="492">
        <v>694</v>
      </c>
      <c r="S10" s="493">
        <v>2</v>
      </c>
      <c r="T10" s="494">
        <v>139</v>
      </c>
      <c r="U10" s="495">
        <f>(Table119[[#This Row],[FY25 Grads]]+Table119[[#This Row],[FY25 Fails]])/Table119[[#This Row],[FY25 Total Courses]]</f>
        <v>18.810810810810811</v>
      </c>
      <c r="V10" s="496">
        <v>2046</v>
      </c>
      <c r="W10" s="497">
        <f t="shared" si="1"/>
        <v>0.34017595307917886</v>
      </c>
      <c r="X10" s="498">
        <v>2230</v>
      </c>
      <c r="Y10" s="499">
        <v>90</v>
      </c>
      <c r="Z10" s="500"/>
      <c r="AA10" s="512">
        <v>32</v>
      </c>
      <c r="AB10" s="502">
        <v>25</v>
      </c>
      <c r="AC10" s="525">
        <v>611</v>
      </c>
      <c r="AD10" s="520">
        <v>0</v>
      </c>
      <c r="AE10" s="505">
        <f t="shared" si="2"/>
        <v>19.09375</v>
      </c>
      <c r="AF10" s="506">
        <v>2051</v>
      </c>
      <c r="AG10" s="507">
        <f t="shared" si="3"/>
        <v>0.29790346172598731</v>
      </c>
      <c r="AH10" s="500"/>
      <c r="AI10" s="491">
        <v>21</v>
      </c>
      <c r="AJ10" s="508">
        <v>25</v>
      </c>
      <c r="AK10" s="494">
        <v>435</v>
      </c>
      <c r="AL10" s="494">
        <v>1</v>
      </c>
      <c r="AM10" s="509">
        <f t="shared" si="4"/>
        <v>20.761904761904763</v>
      </c>
      <c r="AN10" s="521">
        <v>408</v>
      </c>
      <c r="AO10" s="507">
        <f t="shared" si="5"/>
        <v>1.0686274509803921</v>
      </c>
      <c r="AP10" s="511"/>
      <c r="AQ10" s="512">
        <v>18</v>
      </c>
      <c r="AR10" s="512">
        <v>25</v>
      </c>
      <c r="AS10" s="513">
        <v>328</v>
      </c>
      <c r="AT10" s="513">
        <v>1</v>
      </c>
      <c r="AU10" s="522">
        <f>(Table119[[#This Row],[FY22 Grads]]+Table119[[#This Row],[FY22 Fails]])/Table119[[#This Row],[FY22 Total Courses]]</f>
        <v>18.277777777777779</v>
      </c>
      <c r="AV10" s="515">
        <v>365</v>
      </c>
      <c r="AW10" s="507">
        <f t="shared" si="6"/>
        <v>0.90136986301369859</v>
      </c>
      <c r="AX10" s="524" t="s">
        <v>48</v>
      </c>
    </row>
    <row r="11" spans="1:50" s="194" customFormat="1" x14ac:dyDescent="0.25">
      <c r="A11" s="524" t="s">
        <v>52</v>
      </c>
      <c r="B11" s="193" t="str">
        <f>VLOOKUP(Table119[[#This Row],[Course]],'TSD-Data'!$A$1:$G$95,7,FALSE)</f>
        <v>N3</v>
      </c>
      <c r="C11" s="357" t="s">
        <v>30</v>
      </c>
      <c r="D11" s="487" t="str">
        <f>VLOOKUP(Table119[[#This Row],[Course]],'TSD-Data'!$A$1:$G$90,2,FALSE)</f>
        <v>A-493-0030</v>
      </c>
      <c r="E11" s="193" t="str">
        <f>VLOOKUP(Table119[[#This Row],[Course]],'TSD-Data'!$A$1:$G$90,3,FALSE)</f>
        <v>286X</v>
      </c>
      <c r="F11" s="518">
        <v>932</v>
      </c>
      <c r="G11" s="193">
        <f>VLOOKUP(Table119[[#This Row],[Course]],'TSD-Data'!$A$1:$G$90,4,FALSE)</f>
        <v>25</v>
      </c>
      <c r="H11" s="243">
        <f>Table119[[#This Row],[FY26 FLT Quota Need]]/Table119[[#This Row],[FY26 Quota Per course]]</f>
        <v>37.28</v>
      </c>
      <c r="I11" s="237">
        <f>ROUNDUP(Table119[[#This Row],[FY26 Courses Needed]],0)</f>
        <v>38</v>
      </c>
      <c r="J11" s="340">
        <f>COUNTIF(Table2[Course Title],Table119[[#This Row],[Course]])</f>
        <v>5</v>
      </c>
      <c r="K11" s="289">
        <f>VLOOKUP(Table119[[#This Row],[Course]],'TSD-Data'!$A$1:$G$90,6,FALSE)</f>
        <v>40</v>
      </c>
      <c r="L11" s="489">
        <f>Table119[[#This Row],[FY26 NSETC Course '# projections]]*Table119[[#This Row],[FY26 Hours Per Course]]</f>
        <v>200</v>
      </c>
      <c r="M11" s="523">
        <f>Table119[[#This Row],[FY26 NSETC Course '# projections]]-Table119[[#This Row],[FY26 Courses Needed Round UP]]</f>
        <v>-33</v>
      </c>
      <c r="N11" s="290">
        <f t="shared" si="0"/>
        <v>0.13412017167381973</v>
      </c>
      <c r="O11" s="238"/>
      <c r="P11" s="490">
        <v>6</v>
      </c>
      <c r="Q11" s="491">
        <v>25</v>
      </c>
      <c r="R11" s="492">
        <v>103</v>
      </c>
      <c r="S11" s="493">
        <v>8</v>
      </c>
      <c r="T11" s="494">
        <v>30</v>
      </c>
      <c r="U11" s="495">
        <f>(Table119[[#This Row],[FY25 Grads]]+Table119[[#This Row],[FY25 Fails]])/Table119[[#This Row],[FY25 Total Courses]]</f>
        <v>18.5</v>
      </c>
      <c r="V11" s="496">
        <v>707</v>
      </c>
      <c r="W11" s="497">
        <f t="shared" si="1"/>
        <v>0.15700141442715701</v>
      </c>
      <c r="X11" s="498">
        <v>821</v>
      </c>
      <c r="Y11" s="499">
        <v>33</v>
      </c>
      <c r="Z11" s="500"/>
      <c r="AA11" s="512">
        <v>10</v>
      </c>
      <c r="AB11" s="502">
        <v>25</v>
      </c>
      <c r="AC11" s="525">
        <v>145</v>
      </c>
      <c r="AD11" s="520">
        <v>12</v>
      </c>
      <c r="AE11" s="505">
        <f t="shared" si="2"/>
        <v>15.7</v>
      </c>
      <c r="AF11" s="506">
        <v>860</v>
      </c>
      <c r="AG11" s="507">
        <f t="shared" si="3"/>
        <v>0.18255813953488373</v>
      </c>
      <c r="AH11" s="500"/>
      <c r="AI11" s="491">
        <v>7</v>
      </c>
      <c r="AJ11" s="508">
        <v>25</v>
      </c>
      <c r="AK11" s="494">
        <v>124</v>
      </c>
      <c r="AL11" s="494">
        <v>19</v>
      </c>
      <c r="AM11" s="509">
        <f t="shared" si="4"/>
        <v>20.428571428571427</v>
      </c>
      <c r="AN11" s="521">
        <v>603</v>
      </c>
      <c r="AO11" s="507">
        <f t="shared" si="5"/>
        <v>0.23714759535655058</v>
      </c>
      <c r="AP11" s="511"/>
      <c r="AQ11" s="512">
        <v>5</v>
      </c>
      <c r="AR11" s="512">
        <v>25</v>
      </c>
      <c r="AS11" s="513">
        <v>82</v>
      </c>
      <c r="AT11" s="513">
        <v>9</v>
      </c>
      <c r="AU11" s="522">
        <f>(Table119[[#This Row],[FY22 Grads]]+Table119[[#This Row],[FY22 Fails]])/Table119[[#This Row],[FY22 Total Courses]]</f>
        <v>18.2</v>
      </c>
      <c r="AV11" s="515">
        <v>602</v>
      </c>
      <c r="AW11" s="507">
        <f t="shared" si="6"/>
        <v>0.15116279069767441</v>
      </c>
      <c r="AX11" s="524" t="s">
        <v>52</v>
      </c>
    </row>
    <row r="12" spans="1:50" s="194" customFormat="1" ht="30" x14ac:dyDescent="0.25">
      <c r="A12" s="524" t="s">
        <v>55</v>
      </c>
      <c r="B12" s="193" t="str">
        <f>VLOOKUP(Table119[[#This Row],[Course]],'TSD-Data'!$A$1:$G$95,7,FALSE)</f>
        <v>N5</v>
      </c>
      <c r="C12" s="357" t="s">
        <v>30</v>
      </c>
      <c r="D12" s="487" t="str">
        <f>VLOOKUP(Table119[[#This Row],[Course]],'TSD-Data'!$A$1:$G$90,2,FALSE)</f>
        <v>A-493-0021</v>
      </c>
      <c r="E12" s="193" t="str">
        <f>VLOOKUP(Table119[[#This Row],[Course]],'TSD-Data'!$A$1:$G$90,3,FALSE)</f>
        <v>18BN</v>
      </c>
      <c r="F12" s="518">
        <v>475</v>
      </c>
      <c r="G12" s="193">
        <f>VLOOKUP(Table119[[#This Row],[Course]],'TSD-Data'!$A$1:$G$90,4,FALSE)</f>
        <v>35</v>
      </c>
      <c r="H12" s="243">
        <f>Table119[[#This Row],[FY26 FLT Quota Need]]/Table119[[#This Row],[FY26 Quota Per course]]</f>
        <v>13.571428571428571</v>
      </c>
      <c r="I12" s="237">
        <f>ROUNDUP(Table119[[#This Row],[FY26 Courses Needed]],0)</f>
        <v>14</v>
      </c>
      <c r="J12" s="340">
        <f>COUNTIF(Table2[Course Title],Table119[[#This Row],[Course]])</f>
        <v>5</v>
      </c>
      <c r="K12" s="289">
        <f>VLOOKUP(Table119[[#This Row],[Course]],'TSD-Data'!$A$1:$G$90,6,FALSE)</f>
        <v>30</v>
      </c>
      <c r="L12" s="489">
        <f>Table119[[#This Row],[FY26 NSETC Course '# projections]]*Table119[[#This Row],[FY26 Hours Per Course]]</f>
        <v>150</v>
      </c>
      <c r="M12" s="523">
        <f>Table119[[#This Row],[FY26 NSETC Course '# projections]]-Table119[[#This Row],[FY26 Courses Needed Round UP]]</f>
        <v>-9</v>
      </c>
      <c r="N12" s="290">
        <f t="shared" si="0"/>
        <v>0.36842105263157893</v>
      </c>
      <c r="O12" s="238"/>
      <c r="P12" s="490">
        <v>3</v>
      </c>
      <c r="Q12" s="491">
        <v>35</v>
      </c>
      <c r="R12" s="492">
        <v>45</v>
      </c>
      <c r="S12" s="493">
        <v>0</v>
      </c>
      <c r="T12" s="494">
        <v>8</v>
      </c>
      <c r="U12" s="495">
        <f>(Table119[[#This Row],[FY25 Grads]]+Table119[[#This Row],[FY25 Fails]])/Table119[[#This Row],[FY25 Total Courses]]</f>
        <v>15</v>
      </c>
      <c r="V12" s="496">
        <v>620</v>
      </c>
      <c r="W12" s="497">
        <f t="shared" si="1"/>
        <v>7.2580645161290328E-2</v>
      </c>
      <c r="X12" s="498">
        <v>418</v>
      </c>
      <c r="Y12" s="499">
        <v>12</v>
      </c>
      <c r="Z12" s="500"/>
      <c r="AA12" s="512">
        <v>7</v>
      </c>
      <c r="AB12" s="502">
        <v>35</v>
      </c>
      <c r="AC12" s="519">
        <v>126</v>
      </c>
      <c r="AD12" s="520">
        <v>1</v>
      </c>
      <c r="AE12" s="505">
        <f t="shared" si="2"/>
        <v>18.142857142857142</v>
      </c>
      <c r="AF12" s="506">
        <v>494</v>
      </c>
      <c r="AG12" s="507">
        <f t="shared" si="3"/>
        <v>0.25708502024291496</v>
      </c>
      <c r="AH12" s="500"/>
      <c r="AI12" s="491">
        <v>2</v>
      </c>
      <c r="AJ12" s="508">
        <v>35</v>
      </c>
      <c r="AK12" s="494">
        <v>40</v>
      </c>
      <c r="AL12" s="494">
        <v>0</v>
      </c>
      <c r="AM12" s="509">
        <f t="shared" si="4"/>
        <v>20</v>
      </c>
      <c r="AN12" s="521">
        <v>266</v>
      </c>
      <c r="AO12" s="507">
        <f t="shared" si="5"/>
        <v>0.15037593984962405</v>
      </c>
      <c r="AP12" s="511"/>
      <c r="AQ12" s="512">
        <v>1</v>
      </c>
      <c r="AR12" s="512">
        <v>25</v>
      </c>
      <c r="AS12" s="513">
        <v>17</v>
      </c>
      <c r="AT12" s="513">
        <v>0</v>
      </c>
      <c r="AU12" s="522">
        <f>(Table119[[#This Row],[FY22 Grads]]+Table119[[#This Row],[FY22 Fails]])/Table119[[#This Row],[FY22 Total Courses]]</f>
        <v>17</v>
      </c>
      <c r="AV12" s="515">
        <v>353</v>
      </c>
      <c r="AW12" s="507">
        <f t="shared" si="6"/>
        <v>4.8158640226628892E-2</v>
      </c>
      <c r="AX12" s="524" t="s">
        <v>55</v>
      </c>
    </row>
    <row r="13" spans="1:50" s="194" customFormat="1" ht="25.5" x14ac:dyDescent="0.25">
      <c r="A13" s="356" t="s">
        <v>58</v>
      </c>
      <c r="B13" s="193" t="str">
        <f>VLOOKUP(Table119[[#This Row],[Course]],'TSD-Data'!$A$1:$G$95,7,FALSE)</f>
        <v>N3</v>
      </c>
      <c r="C13" s="357" t="s">
        <v>30</v>
      </c>
      <c r="D13" s="487" t="str">
        <f>VLOOKUP(Table119[[#This Row],[Course]],'TSD-Data'!$A$1:$G$90,2,FALSE)</f>
        <v>A-760-2166</v>
      </c>
      <c r="E13" s="193" t="str">
        <f>VLOOKUP(Table119[[#This Row],[Course]],'TSD-Data'!$A$1:$G$90,3,FALSE)</f>
        <v>438J</v>
      </c>
      <c r="F13" s="518">
        <v>185</v>
      </c>
      <c r="G13" s="193">
        <f>VLOOKUP(Table119[[#This Row],[Course]],'TSD-Data'!$A$1:$G$90,4,FALSE)</f>
        <v>25</v>
      </c>
      <c r="H13" s="243">
        <f>Table119[[#This Row],[FY26 FLT Quota Need]]/Table119[[#This Row],[FY26 Quota Per course]]</f>
        <v>7.4</v>
      </c>
      <c r="I13" s="237">
        <f>ROUNDUP(Table119[[#This Row],[FY26 Courses Needed]],0)</f>
        <v>8</v>
      </c>
      <c r="J13" s="340">
        <f>COUNTIF(Table2[Course Title],Table119[[#This Row],[Course]])</f>
        <v>3</v>
      </c>
      <c r="K13" s="289">
        <f>VLOOKUP(Table119[[#This Row],[Course]],'TSD-Data'!$A$1:$G$90,6,FALSE)</f>
        <v>16</v>
      </c>
      <c r="L13" s="489">
        <f>Table119[[#This Row],[FY26 NSETC Course '# projections]]*Table119[[#This Row],[FY26 Hours Per Course]]</f>
        <v>48</v>
      </c>
      <c r="M13" s="523">
        <f>Table119[[#This Row],[FY26 NSETC Course '# projections]]-Table119[[#This Row],[FY26 Courses Needed Round UP]]</f>
        <v>-5</v>
      </c>
      <c r="N13" s="290">
        <f t="shared" si="0"/>
        <v>0.40540540540540543</v>
      </c>
      <c r="O13" s="238"/>
      <c r="P13" s="490">
        <v>1</v>
      </c>
      <c r="Q13" s="491">
        <v>25</v>
      </c>
      <c r="R13" s="492">
        <v>12</v>
      </c>
      <c r="S13" s="526">
        <v>0</v>
      </c>
      <c r="T13" s="494">
        <v>0</v>
      </c>
      <c r="U13" s="495">
        <f>(Table119[[#This Row],[FY25 Grads]]+Table119[[#This Row],[FY25 Fails]])/Table119[[#This Row],[FY25 Total Courses]]</f>
        <v>12</v>
      </c>
      <c r="V13" s="496">
        <v>61</v>
      </c>
      <c r="W13" s="497">
        <f t="shared" si="1"/>
        <v>0.19672131147540983</v>
      </c>
      <c r="X13" s="498">
        <v>131</v>
      </c>
      <c r="Y13" s="499">
        <v>6</v>
      </c>
      <c r="Z13" s="500"/>
      <c r="AA13" s="512">
        <v>1</v>
      </c>
      <c r="AB13" s="502">
        <v>25</v>
      </c>
      <c r="AC13" s="519">
        <v>7</v>
      </c>
      <c r="AD13" s="520">
        <v>0</v>
      </c>
      <c r="AE13" s="505">
        <f t="shared" si="2"/>
        <v>7</v>
      </c>
      <c r="AF13" s="506">
        <v>113</v>
      </c>
      <c r="AG13" s="507">
        <f t="shared" si="3"/>
        <v>6.1946902654867256E-2</v>
      </c>
      <c r="AH13" s="500"/>
      <c r="AI13" s="491">
        <v>2</v>
      </c>
      <c r="AJ13" s="508">
        <v>25</v>
      </c>
      <c r="AK13" s="494">
        <v>25</v>
      </c>
      <c r="AL13" s="494">
        <v>1</v>
      </c>
      <c r="AM13" s="509">
        <f t="shared" si="4"/>
        <v>13</v>
      </c>
      <c r="AN13" s="521">
        <v>30</v>
      </c>
      <c r="AO13" s="507">
        <f t="shared" si="5"/>
        <v>0.8666666666666667</v>
      </c>
      <c r="AP13" s="511"/>
      <c r="AQ13" s="512"/>
      <c r="AR13" s="512"/>
      <c r="AS13" s="527"/>
      <c r="AT13" s="527"/>
      <c r="AU13" s="522"/>
      <c r="AV13" s="515"/>
      <c r="AW13" s="507"/>
      <c r="AX13" s="356" t="s">
        <v>58</v>
      </c>
    </row>
    <row r="14" spans="1:50" s="194" customFormat="1" ht="30" x14ac:dyDescent="0.25">
      <c r="A14" s="524" t="s">
        <v>61</v>
      </c>
      <c r="B14" s="193" t="str">
        <f>VLOOKUP(Table119[[#This Row],[Course]],'TSD-Data'!$A$1:$G$95,7,FALSE)</f>
        <v>N4</v>
      </c>
      <c r="C14" s="357" t="s">
        <v>30</v>
      </c>
      <c r="D14" s="487" t="str">
        <f>VLOOKUP(Table119[[#This Row],[Course]],'TSD-Data'!$A$1:$G$90,2,FALSE)</f>
        <v>A-493-0012</v>
      </c>
      <c r="E14" s="193">
        <f>VLOOKUP(Table119[[#This Row],[Course]],'TSD-Data'!$A$1:$G$90,3,FALSE)</f>
        <v>3682</v>
      </c>
      <c r="F14" s="193">
        <v>1008</v>
      </c>
      <c r="G14" s="193">
        <f>VLOOKUP(Table119[[#This Row],[Course]],'TSD-Data'!$A$1:$G$90,4,FALSE)</f>
        <v>40</v>
      </c>
      <c r="H14" s="243">
        <f>Table119[[#This Row],[FY26 FLT Quota Need]]/Table119[[#This Row],[FY26 Quota Per course]]</f>
        <v>25.2</v>
      </c>
      <c r="I14" s="237">
        <f>ROUNDUP(Table119[[#This Row],[FY26 Courses Needed]],0)</f>
        <v>26</v>
      </c>
      <c r="J14" s="340">
        <f>COUNTIF(Table2[Course Title],Table119[[#This Row],[Course]])</f>
        <v>31</v>
      </c>
      <c r="K14" s="289">
        <f>VLOOKUP(Table119[[#This Row],[Course]],'TSD-Data'!$A$1:$G$90,6,FALSE)</f>
        <v>40</v>
      </c>
      <c r="L14" s="489">
        <f>Table119[[#This Row],[FY26 NSETC Course '# projections]]*Table119[[#This Row],[FY26 Hours Per Course]]</f>
        <v>1240</v>
      </c>
      <c r="M14" s="523">
        <f>Table119[[#This Row],[FY26 NSETC Course '# projections]]-Table119[[#This Row],[FY26 Courses Needed Round UP]]</f>
        <v>5</v>
      </c>
      <c r="N14" s="290">
        <f t="shared" si="0"/>
        <v>1.2301587301587302</v>
      </c>
      <c r="O14" s="238"/>
      <c r="P14" s="490">
        <v>29</v>
      </c>
      <c r="Q14" s="491">
        <v>40</v>
      </c>
      <c r="R14" s="528">
        <v>700</v>
      </c>
      <c r="S14" s="526">
        <v>6</v>
      </c>
      <c r="T14" s="494">
        <v>120</v>
      </c>
      <c r="U14" s="495">
        <f>(Table119[[#This Row],[FY25 Grads]]+Table119[[#This Row],[FY25 Fails]])/Table119[[#This Row],[FY25 Total Courses]]</f>
        <v>24.344827586206897</v>
      </c>
      <c r="V14" s="496">
        <v>661</v>
      </c>
      <c r="W14" s="497">
        <f t="shared" si="1"/>
        <v>1.0680786686838124</v>
      </c>
      <c r="X14" s="529">
        <v>571</v>
      </c>
      <c r="Y14" s="530">
        <v>15</v>
      </c>
      <c r="Z14" s="500"/>
      <c r="AA14" s="501">
        <v>20</v>
      </c>
      <c r="AB14" s="502">
        <v>40</v>
      </c>
      <c r="AC14" s="503">
        <v>520</v>
      </c>
      <c r="AD14" s="504">
        <v>35</v>
      </c>
      <c r="AE14" s="505">
        <f t="shared" si="2"/>
        <v>27.75</v>
      </c>
      <c r="AF14" s="506">
        <v>573</v>
      </c>
      <c r="AG14" s="507">
        <f t="shared" si="3"/>
        <v>0.96858638743455494</v>
      </c>
      <c r="AH14" s="500"/>
      <c r="AI14" s="491">
        <v>23</v>
      </c>
      <c r="AJ14" s="531">
        <v>40</v>
      </c>
      <c r="AK14" s="494">
        <v>610</v>
      </c>
      <c r="AL14" s="494">
        <v>3</v>
      </c>
      <c r="AM14" s="509">
        <f t="shared" si="4"/>
        <v>26.652173913043477</v>
      </c>
      <c r="AN14" s="510">
        <v>760</v>
      </c>
      <c r="AO14" s="507">
        <f t="shared" si="5"/>
        <v>0.80657894736842106</v>
      </c>
      <c r="AP14" s="511"/>
      <c r="AQ14" s="512"/>
      <c r="AR14" s="512"/>
      <c r="AS14" s="513"/>
      <c r="AT14" s="513"/>
      <c r="AU14" s="514"/>
      <c r="AV14" s="515"/>
      <c r="AW14" s="516"/>
      <c r="AX14" s="524" t="s">
        <v>61</v>
      </c>
    </row>
    <row r="15" spans="1:50" s="194" customFormat="1" ht="30" x14ac:dyDescent="0.25">
      <c r="A15" s="524" t="s">
        <v>63</v>
      </c>
      <c r="B15" s="193" t="str">
        <f>VLOOKUP(Table119[[#This Row],[Course]],'TSD-Data'!$A$1:$G$95,7,FALSE)</f>
        <v>N4</v>
      </c>
      <c r="C15" s="357" t="s">
        <v>30</v>
      </c>
      <c r="D15" s="487" t="str">
        <f>VLOOKUP(Table119[[#This Row],[Course]],'TSD-Data'!$A$1:$G$90,2,FALSE)</f>
        <v>A-493-0013</v>
      </c>
      <c r="E15" s="193">
        <f>VLOOKUP(Table119[[#This Row],[Course]],'TSD-Data'!$A$1:$G$90,3,FALSE)</f>
        <v>3683</v>
      </c>
      <c r="F15" s="193">
        <v>1204</v>
      </c>
      <c r="G15" s="193">
        <f>VLOOKUP(Table119[[#This Row],[Course]],'TSD-Data'!$A$1:$G$90,4,FALSE)</f>
        <v>40</v>
      </c>
      <c r="H15" s="243">
        <f>Table119[[#This Row],[FY26 FLT Quota Need]]/Table119[[#This Row],[FY26 Quota Per course]]</f>
        <v>30.1</v>
      </c>
      <c r="I15" s="237">
        <f>ROUNDUP(Table119[[#This Row],[FY26 Courses Needed]],0)</f>
        <v>31</v>
      </c>
      <c r="J15" s="340">
        <f>COUNTIF(Table2[Course Title],Table119[[#This Row],[Course]])</f>
        <v>20</v>
      </c>
      <c r="K15" s="289">
        <f>VLOOKUP(Table119[[#This Row],[Course]],'TSD-Data'!$A$1:$G$90,6,FALSE)</f>
        <v>24</v>
      </c>
      <c r="L15" s="289">
        <f>Table119[[#This Row],[FY26 NSETC Course '# projections]]*Table119[[#This Row],[FY26 Hours Per Course]]</f>
        <v>480</v>
      </c>
      <c r="M15" s="523">
        <f>Table119[[#This Row],[FY26 NSETC Course '# projections]]-Table119[[#This Row],[FY26 Courses Needed Round UP]]</f>
        <v>-11</v>
      </c>
      <c r="N15" s="290">
        <f t="shared" si="0"/>
        <v>0.66445182724252494</v>
      </c>
      <c r="O15" s="238"/>
      <c r="P15" s="490">
        <v>20</v>
      </c>
      <c r="Q15" s="490">
        <v>40</v>
      </c>
      <c r="R15" s="532">
        <v>322</v>
      </c>
      <c r="S15" s="526">
        <v>3</v>
      </c>
      <c r="T15" s="496">
        <v>49</v>
      </c>
      <c r="U15" s="495">
        <f>(Table119[[#This Row],[FY25 Grads]]+Table119[[#This Row],[FY25 Fails]])/Table119[[#This Row],[FY25 Total Courses]]</f>
        <v>16.25</v>
      </c>
      <c r="V15" s="496">
        <v>787</v>
      </c>
      <c r="W15" s="497">
        <f t="shared" si="1"/>
        <v>0.41296060991105465</v>
      </c>
      <c r="X15" s="498">
        <v>381</v>
      </c>
      <c r="Y15" s="533">
        <v>10</v>
      </c>
      <c r="Z15" s="500"/>
      <c r="AA15" s="501">
        <v>23</v>
      </c>
      <c r="AB15" s="502">
        <v>40</v>
      </c>
      <c r="AC15" s="503">
        <v>401</v>
      </c>
      <c r="AD15" s="504">
        <v>19</v>
      </c>
      <c r="AE15" s="505">
        <f t="shared" si="2"/>
        <v>18.260869565217391</v>
      </c>
      <c r="AF15" s="506">
        <v>473</v>
      </c>
      <c r="AG15" s="507">
        <f t="shared" si="3"/>
        <v>0.88794926004228325</v>
      </c>
      <c r="AH15" s="500"/>
      <c r="AI15" s="490">
        <v>25</v>
      </c>
      <c r="AJ15" s="534">
        <v>40</v>
      </c>
      <c r="AK15" s="496">
        <v>469</v>
      </c>
      <c r="AL15" s="496">
        <v>15</v>
      </c>
      <c r="AM15" s="509">
        <f t="shared" si="4"/>
        <v>19.36</v>
      </c>
      <c r="AN15" s="510">
        <v>1000</v>
      </c>
      <c r="AO15" s="507">
        <f t="shared" si="5"/>
        <v>0.48399999999999999</v>
      </c>
      <c r="AP15" s="511"/>
      <c r="AQ15" s="512"/>
      <c r="AR15" s="512"/>
      <c r="AS15" s="513"/>
      <c r="AT15" s="513"/>
      <c r="AU15" s="514"/>
      <c r="AV15" s="515"/>
      <c r="AW15" s="516"/>
      <c r="AX15" s="524" t="s">
        <v>63</v>
      </c>
    </row>
    <row r="16" spans="1:50" s="194" customFormat="1" ht="45" x14ac:dyDescent="0.25">
      <c r="A16" s="535" t="s">
        <v>65</v>
      </c>
      <c r="B16" s="193" t="str">
        <f>VLOOKUP(Table119[[#This Row],[Course]],'TSD-Data'!$A$1:$G$95,7,FALSE)</f>
        <v>N5</v>
      </c>
      <c r="C16" s="193" t="s">
        <v>25</v>
      </c>
      <c r="D16" s="487" t="str">
        <f>VLOOKUP(Table119[[#This Row],[Course]],'TSD-Data'!$A$1:$G$90,2,FALSE)</f>
        <v>A-493-0099</v>
      </c>
      <c r="E16" s="193" t="str">
        <f>VLOOKUP(Table119[[#This Row],[Course]],'TSD-Data'!$A$1:$G$90,3,FALSE)</f>
        <v>12JW</v>
      </c>
      <c r="F16" s="193">
        <v>1231</v>
      </c>
      <c r="G16" s="193">
        <f>VLOOKUP(Table119[[#This Row],[Course]],'TSD-Data'!$A$1:$G$90,4,FALSE)</f>
        <v>45</v>
      </c>
      <c r="H16" s="243">
        <f>Table119[[#This Row],[FY26 FLT Quota Need]]/Table119[[#This Row],[FY26 Quota Per course]]</f>
        <v>27.355555555555554</v>
      </c>
      <c r="I16" s="237">
        <f>ROUNDUP(Table119[[#This Row],[FY26 Courses Needed]],0)</f>
        <v>28</v>
      </c>
      <c r="J16" s="340">
        <f>COUNTIF(Table2[Course Title],Table119[[#This Row],[Course]])</f>
        <v>21</v>
      </c>
      <c r="K16" s="289">
        <f>VLOOKUP(Table119[[#This Row],[Course]],'TSD-Data'!$A$1:$G$90,6,FALSE)</f>
        <v>24</v>
      </c>
      <c r="L16" s="489">
        <f>Table119[[#This Row],[FY26 NSETC Course '# projections]]*Table119[[#This Row],[FY26 Hours Per Course]]</f>
        <v>504</v>
      </c>
      <c r="M16" s="523">
        <f>Table119[[#This Row],[FY26 NSETC Course '# projections]]-Table119[[#This Row],[FY26 Courses Needed Round UP]]</f>
        <v>-7</v>
      </c>
      <c r="N16" s="290">
        <f t="shared" si="0"/>
        <v>0.76766856214459789</v>
      </c>
      <c r="O16" s="238"/>
      <c r="P16" s="490">
        <v>21</v>
      </c>
      <c r="Q16" s="491">
        <v>45</v>
      </c>
      <c r="R16" s="492">
        <v>493</v>
      </c>
      <c r="S16" s="526">
        <v>5</v>
      </c>
      <c r="T16" s="494">
        <v>113</v>
      </c>
      <c r="U16" s="495">
        <f>(Table119[[#This Row],[FY25 Grads]]+Table119[[#This Row],[FY25 Fails]])/Table119[[#This Row],[FY25 Total Courses]]</f>
        <v>23.714285714285715</v>
      </c>
      <c r="V16" s="496">
        <v>915</v>
      </c>
      <c r="W16" s="497">
        <f t="shared" si="1"/>
        <v>0.54426229508196722</v>
      </c>
      <c r="X16" s="498">
        <v>915</v>
      </c>
      <c r="Y16" s="499">
        <v>31</v>
      </c>
      <c r="Z16" s="500"/>
      <c r="AA16" s="512">
        <v>16</v>
      </c>
      <c r="AB16" s="502">
        <v>45</v>
      </c>
      <c r="AC16" s="519">
        <v>486</v>
      </c>
      <c r="AD16" s="520">
        <v>2</v>
      </c>
      <c r="AE16" s="505">
        <f t="shared" si="2"/>
        <v>30.5</v>
      </c>
      <c r="AF16" s="506">
        <v>851</v>
      </c>
      <c r="AG16" s="507">
        <f t="shared" si="3"/>
        <v>0.57344300822561689</v>
      </c>
      <c r="AH16" s="500"/>
      <c r="AI16" s="491">
        <v>15</v>
      </c>
      <c r="AJ16" s="508">
        <v>30</v>
      </c>
      <c r="AK16" s="494">
        <v>400</v>
      </c>
      <c r="AL16" s="494">
        <v>4</v>
      </c>
      <c r="AM16" s="509">
        <f t="shared" si="4"/>
        <v>26.933333333333334</v>
      </c>
      <c r="AN16" s="521">
        <v>273</v>
      </c>
      <c r="AO16" s="536">
        <f t="shared" si="5"/>
        <v>1.4798534798534799</v>
      </c>
      <c r="AP16" s="511"/>
      <c r="AQ16" s="512">
        <v>11</v>
      </c>
      <c r="AR16" s="512">
        <v>30</v>
      </c>
      <c r="AS16" s="513">
        <v>314</v>
      </c>
      <c r="AT16" s="513">
        <v>3</v>
      </c>
      <c r="AU16" s="522">
        <f>(Table119[[#This Row],[FY22 Grads]]+Table119[[#This Row],[FY22 Fails]])/Table119[[#This Row],[FY22 Total Courses]]</f>
        <v>28.818181818181817</v>
      </c>
      <c r="AV16" s="515">
        <v>207</v>
      </c>
      <c r="AW16" s="537">
        <f t="shared" ref="AW16:AW32" si="7">SUM(AS16+AT16)/AV16</f>
        <v>1.5314009661835748</v>
      </c>
      <c r="AX16" s="535" t="s">
        <v>65</v>
      </c>
    </row>
    <row r="17" spans="1:50" s="194" customFormat="1" ht="30" x14ac:dyDescent="0.25">
      <c r="A17" s="524" t="s">
        <v>68</v>
      </c>
      <c r="B17" s="193" t="str">
        <f>VLOOKUP(Table119[[#This Row],[Course]],'TSD-Data'!$A$1:$G$95,7,FALSE)</f>
        <v>N5</v>
      </c>
      <c r="C17" s="357" t="s">
        <v>30</v>
      </c>
      <c r="D17" s="487" t="str">
        <f>VLOOKUP(Table119[[#This Row],[Course]],'TSD-Data'!$A$1:$G$90,2,FALSE)</f>
        <v xml:space="preserve">A-493-0075 </v>
      </c>
      <c r="E17" s="193" t="str">
        <f>VLOOKUP(Table119[[#This Row],[Course]],'TSD-Data'!$A$1:$G$90,3,FALSE)</f>
        <v>714U</v>
      </c>
      <c r="F17" s="518">
        <v>822</v>
      </c>
      <c r="G17" s="193">
        <f>VLOOKUP(Table119[[#This Row],[Course]],'TSD-Data'!$A$1:$G$90,4,FALSE)</f>
        <v>30</v>
      </c>
      <c r="H17" s="243">
        <f>Table119[[#This Row],[FY26 FLT Quota Need]]/Table119[[#This Row],[FY26 Quota Per course]]</f>
        <v>27.4</v>
      </c>
      <c r="I17" s="237">
        <f>ROUNDUP(Table119[[#This Row],[FY26 Courses Needed]],0)</f>
        <v>28</v>
      </c>
      <c r="J17" s="340">
        <f>COUNTIF(Table2[Course Title],Table119[[#This Row],[Course]])</f>
        <v>1</v>
      </c>
      <c r="K17" s="289">
        <f>VLOOKUP(Table119[[#This Row],[Course]],'TSD-Data'!$A$1:$G$90,6,FALSE)</f>
        <v>32</v>
      </c>
      <c r="L17" s="489">
        <f>Table119[[#This Row],[FY26 NSETC Course '# projections]]*Table119[[#This Row],[FY26 Hours Per Course]]</f>
        <v>32</v>
      </c>
      <c r="M17" s="523">
        <f>Table119[[#This Row],[FY26 NSETC Course '# projections]]-Table119[[#This Row],[FY26 Courses Needed Round UP]]</f>
        <v>-27</v>
      </c>
      <c r="N17" s="290">
        <f t="shared" si="0"/>
        <v>3.6496350364963501E-2</v>
      </c>
      <c r="O17" s="238"/>
      <c r="P17" s="490">
        <v>9</v>
      </c>
      <c r="Q17" s="491">
        <v>30</v>
      </c>
      <c r="R17" s="492">
        <v>71</v>
      </c>
      <c r="S17" s="526">
        <v>0</v>
      </c>
      <c r="T17" s="494">
        <v>19</v>
      </c>
      <c r="U17" s="495">
        <f>(Table119[[#This Row],[FY25 Grads]]+Table119[[#This Row],[FY25 Fails]])/Table119[[#This Row],[FY25 Total Courses]]</f>
        <v>7.8888888888888893</v>
      </c>
      <c r="V17" s="496">
        <v>883</v>
      </c>
      <c r="W17" s="497">
        <f t="shared" si="1"/>
        <v>8.0407701019252542E-2</v>
      </c>
      <c r="X17" s="498">
        <v>792</v>
      </c>
      <c r="Y17" s="499">
        <v>27</v>
      </c>
      <c r="Z17" s="500"/>
      <c r="AA17" s="512">
        <v>9</v>
      </c>
      <c r="AB17" s="502">
        <v>30</v>
      </c>
      <c r="AC17" s="525">
        <v>108</v>
      </c>
      <c r="AD17" s="520">
        <v>0</v>
      </c>
      <c r="AE17" s="505">
        <f t="shared" si="2"/>
        <v>12</v>
      </c>
      <c r="AF17" s="506">
        <v>939</v>
      </c>
      <c r="AG17" s="507">
        <f t="shared" si="3"/>
        <v>0.11501597444089456</v>
      </c>
      <c r="AH17" s="500"/>
      <c r="AI17" s="491">
        <v>6</v>
      </c>
      <c r="AJ17" s="508">
        <v>30</v>
      </c>
      <c r="AK17" s="494">
        <v>145</v>
      </c>
      <c r="AL17" s="494">
        <v>0</v>
      </c>
      <c r="AM17" s="509">
        <f t="shared" si="4"/>
        <v>24.166666666666668</v>
      </c>
      <c r="AN17" s="521">
        <v>517</v>
      </c>
      <c r="AO17" s="507">
        <f t="shared" si="5"/>
        <v>0.28046421663442939</v>
      </c>
      <c r="AP17" s="511"/>
      <c r="AQ17" s="512">
        <v>4</v>
      </c>
      <c r="AR17" s="512">
        <v>30</v>
      </c>
      <c r="AS17" s="513">
        <v>63</v>
      </c>
      <c r="AT17" s="513">
        <v>0</v>
      </c>
      <c r="AU17" s="522">
        <f>(Table119[[#This Row],[FY22 Grads]]+Table119[[#This Row],[FY22 Fails]])/Table119[[#This Row],[FY22 Total Courses]]</f>
        <v>15.75</v>
      </c>
      <c r="AV17" s="515">
        <v>431</v>
      </c>
      <c r="AW17" s="507">
        <f t="shared" si="7"/>
        <v>0.14617169373549885</v>
      </c>
      <c r="AX17" s="524" t="s">
        <v>68</v>
      </c>
    </row>
    <row r="18" spans="1:50" s="194" customFormat="1" ht="45" x14ac:dyDescent="0.25">
      <c r="A18" s="535" t="s">
        <v>71</v>
      </c>
      <c r="B18" s="193" t="str">
        <f>VLOOKUP(Table119[[#This Row],[Course]],'TSD-Data'!$A$1:$G$95,7,FALSE)</f>
        <v>N5</v>
      </c>
      <c r="C18" s="193" t="s">
        <v>25</v>
      </c>
      <c r="D18" s="487" t="str">
        <f>VLOOKUP(Table119[[#This Row],[Course]],'TSD-Data'!$A$1:$G$90,2,FALSE)</f>
        <v>A-493-0061</v>
      </c>
      <c r="E18" s="193" t="str">
        <f>VLOOKUP(Table119[[#This Row],[Course]],'TSD-Data'!$A$1:$G$90,3,FALSE)</f>
        <v>288E</v>
      </c>
      <c r="F18" s="193">
        <v>900</v>
      </c>
      <c r="G18" s="193">
        <f>VLOOKUP(Table119[[#This Row],[Course]],'TSD-Data'!$A$1:$G$90,4,FALSE)</f>
        <v>45</v>
      </c>
      <c r="H18" s="243">
        <f>Table119[[#This Row],[FY26 FLT Quota Need]]/Table119[[#This Row],[FY26 Quota Per course]]</f>
        <v>20</v>
      </c>
      <c r="I18" s="237">
        <f>ROUNDUP(Table119[[#This Row],[FY26 Courses Needed]],0)</f>
        <v>20</v>
      </c>
      <c r="J18" s="340">
        <f>COUNTIF(Table2[Course Title],Table119[[#This Row],[Course]])</f>
        <v>17</v>
      </c>
      <c r="K18" s="289">
        <f>VLOOKUP(Table119[[#This Row],[Course]],'TSD-Data'!$A$1:$G$90,6,FALSE)</f>
        <v>30</v>
      </c>
      <c r="L18" s="489">
        <f>Table119[[#This Row],[FY26 NSETC Course '# projections]]*Table119[[#This Row],[FY26 Hours Per Course]]</f>
        <v>510</v>
      </c>
      <c r="M18" s="489">
        <f>Table119[[#This Row],[FY26 NSETC Course '# projections]]-Table119[[#This Row],[FY26 Courses Needed Round UP]]</f>
        <v>-3</v>
      </c>
      <c r="N18" s="290">
        <f t="shared" si="0"/>
        <v>0.85</v>
      </c>
      <c r="O18" s="238"/>
      <c r="P18" s="490">
        <v>17</v>
      </c>
      <c r="Q18" s="491">
        <v>45</v>
      </c>
      <c r="R18" s="492">
        <v>415</v>
      </c>
      <c r="S18" s="526">
        <v>1</v>
      </c>
      <c r="T18" s="494">
        <v>72</v>
      </c>
      <c r="U18" s="495">
        <f>(Table119[[#This Row],[FY25 Grads]]+Table119[[#This Row],[FY25 Fails]])/Table119[[#This Row],[FY25 Total Courses]]</f>
        <v>24.470588235294116</v>
      </c>
      <c r="V18" s="496">
        <v>721</v>
      </c>
      <c r="W18" s="497">
        <f t="shared" si="1"/>
        <v>0.57697642163661578</v>
      </c>
      <c r="X18" s="498">
        <v>702</v>
      </c>
      <c r="Y18" s="499">
        <v>24</v>
      </c>
      <c r="Z18" s="500"/>
      <c r="AA18" s="512">
        <v>17</v>
      </c>
      <c r="AB18" s="502">
        <v>45</v>
      </c>
      <c r="AC18" s="519">
        <v>402</v>
      </c>
      <c r="AD18" s="520">
        <v>3</v>
      </c>
      <c r="AE18" s="505">
        <f t="shared" si="2"/>
        <v>23.823529411764707</v>
      </c>
      <c r="AF18" s="506">
        <v>762</v>
      </c>
      <c r="AG18" s="507">
        <f t="shared" si="3"/>
        <v>0.53149606299212604</v>
      </c>
      <c r="AH18" s="500"/>
      <c r="AI18" s="491">
        <v>12</v>
      </c>
      <c r="AJ18" s="508">
        <v>30</v>
      </c>
      <c r="AK18" s="494">
        <v>307</v>
      </c>
      <c r="AL18" s="494">
        <v>8</v>
      </c>
      <c r="AM18" s="509">
        <f t="shared" si="4"/>
        <v>26.25</v>
      </c>
      <c r="AN18" s="521">
        <v>446</v>
      </c>
      <c r="AO18" s="507">
        <f t="shared" si="5"/>
        <v>0.70627802690582964</v>
      </c>
      <c r="AP18" s="511"/>
      <c r="AQ18" s="512">
        <v>10</v>
      </c>
      <c r="AR18" s="512">
        <v>30</v>
      </c>
      <c r="AS18" s="513">
        <v>231</v>
      </c>
      <c r="AT18" s="513">
        <v>3</v>
      </c>
      <c r="AU18" s="522">
        <f>(Table119[[#This Row],[FY22 Grads]]+Table119[[#This Row],[FY22 Fails]])/Table119[[#This Row],[FY22 Total Courses]]</f>
        <v>23.4</v>
      </c>
      <c r="AV18" s="515">
        <v>498</v>
      </c>
      <c r="AW18" s="507">
        <f t="shared" si="7"/>
        <v>0.46987951807228917</v>
      </c>
      <c r="AX18" s="535" t="s">
        <v>71</v>
      </c>
    </row>
    <row r="19" spans="1:50" s="194" customFormat="1" ht="75" x14ac:dyDescent="0.25">
      <c r="A19" s="535" t="s">
        <v>74</v>
      </c>
      <c r="B19" s="193" t="str">
        <f>VLOOKUP(Table119[[#This Row],[Course]],'TSD-Data'!$A$1:$G$95,7,FALSE)</f>
        <v>N8</v>
      </c>
      <c r="C19" s="193" t="s">
        <v>25</v>
      </c>
      <c r="D19" s="487" t="str">
        <f>VLOOKUP(Table119[[#This Row],[Course]],'TSD-Data'!$A$1:$G$90,2,FALSE)</f>
        <v>A-322-2604</v>
      </c>
      <c r="E19" s="193" t="str">
        <f>VLOOKUP(Table119[[#This Row],[Course]],'TSD-Data'!$A$1:$G$90,3,FALSE)</f>
        <v>10ZZ</v>
      </c>
      <c r="F19" s="193">
        <v>893</v>
      </c>
      <c r="G19" s="193">
        <f>VLOOKUP(Table119[[#This Row],[Course]],'TSD-Data'!$A$1:$G$90,4,FALSE)</f>
        <v>45</v>
      </c>
      <c r="H19" s="243">
        <f>Table119[[#This Row],[FY26 FLT Quota Need]]/Table119[[#This Row],[FY26 Quota Per course]]</f>
        <v>19.844444444444445</v>
      </c>
      <c r="I19" s="237">
        <f>ROUNDUP(Table119[[#This Row],[FY26 Courses Needed]],0)</f>
        <v>20</v>
      </c>
      <c r="J19" s="340">
        <f>COUNTIF(Table2[Course Title],Table119[[#This Row],[Course]])</f>
        <v>20</v>
      </c>
      <c r="K19" s="289">
        <f>VLOOKUP(Table119[[#This Row],[Course]],'TSD-Data'!$A$1:$G$90,6,FALSE)</f>
        <v>24</v>
      </c>
      <c r="L19" s="489">
        <f>Table119[[#This Row],[FY26 NSETC Course '# projections]]*Table119[[#This Row],[FY26 Hours Per Course]]</f>
        <v>480</v>
      </c>
      <c r="M19" s="489">
        <f>Table119[[#This Row],[FY26 NSETC Course '# projections]]-Table119[[#This Row],[FY26 Courses Needed Round UP]]</f>
        <v>0</v>
      </c>
      <c r="N19" s="290">
        <f t="shared" si="0"/>
        <v>1.0078387458006719</v>
      </c>
      <c r="O19" s="238"/>
      <c r="P19" s="490">
        <v>18</v>
      </c>
      <c r="Q19" s="491">
        <v>45</v>
      </c>
      <c r="R19" s="492">
        <v>627</v>
      </c>
      <c r="S19" s="526">
        <v>22</v>
      </c>
      <c r="T19" s="494">
        <v>130</v>
      </c>
      <c r="U19" s="495">
        <f>(Table119[[#This Row],[FY25 Grads]]+Table119[[#This Row],[FY25 Fails]])/Table119[[#This Row],[FY25 Total Courses]]</f>
        <v>36.055555555555557</v>
      </c>
      <c r="V19" s="496">
        <v>791</v>
      </c>
      <c r="W19" s="497">
        <f t="shared" si="1"/>
        <v>0.82048040455120097</v>
      </c>
      <c r="X19" s="498">
        <v>640</v>
      </c>
      <c r="Y19" s="499">
        <v>22</v>
      </c>
      <c r="Z19" s="500"/>
      <c r="AA19" s="512">
        <v>18</v>
      </c>
      <c r="AB19" s="502">
        <v>45</v>
      </c>
      <c r="AC19" s="519">
        <v>683</v>
      </c>
      <c r="AD19" s="520">
        <v>13</v>
      </c>
      <c r="AE19" s="505">
        <f t="shared" si="2"/>
        <v>38.666666666666664</v>
      </c>
      <c r="AF19" s="506">
        <v>800</v>
      </c>
      <c r="AG19" s="507">
        <f t="shared" si="3"/>
        <v>0.87</v>
      </c>
      <c r="AH19" s="500"/>
      <c r="AI19" s="491">
        <v>26</v>
      </c>
      <c r="AJ19" s="508">
        <v>30</v>
      </c>
      <c r="AK19" s="494">
        <v>680</v>
      </c>
      <c r="AL19" s="494">
        <v>29</v>
      </c>
      <c r="AM19" s="509">
        <f t="shared" si="4"/>
        <v>27.26923076923077</v>
      </c>
      <c r="AN19" s="521">
        <f>459+323</f>
        <v>782</v>
      </c>
      <c r="AO19" s="507">
        <f t="shared" si="5"/>
        <v>0.90664961636828645</v>
      </c>
      <c r="AP19" s="511"/>
      <c r="AQ19" s="512">
        <v>17</v>
      </c>
      <c r="AR19" s="512">
        <v>30</v>
      </c>
      <c r="AS19" s="513">
        <v>448</v>
      </c>
      <c r="AT19" s="513">
        <v>23</v>
      </c>
      <c r="AU19" s="522">
        <f>(Table119[[#This Row],[FY22 Grads]]+Table119[[#This Row],[FY22 Fails]])/Table119[[#This Row],[FY22 Total Courses]]</f>
        <v>27.705882352941178</v>
      </c>
      <c r="AV19" s="515">
        <v>221</v>
      </c>
      <c r="AW19" s="516">
        <f t="shared" si="7"/>
        <v>2.1312217194570136</v>
      </c>
      <c r="AX19" s="535" t="s">
        <v>74</v>
      </c>
    </row>
    <row r="20" spans="1:50" s="194" customFormat="1" ht="45" x14ac:dyDescent="0.25">
      <c r="A20" s="524" t="s">
        <v>77</v>
      </c>
      <c r="B20" s="193" t="str">
        <f>VLOOKUP(Table119[[#This Row],[Course]],'TSD-Data'!$A$1:$G$95,7,FALSE)</f>
        <v>N4</v>
      </c>
      <c r="C20" s="357" t="s">
        <v>30</v>
      </c>
      <c r="D20" s="487" t="str">
        <f>VLOOKUP(Table119[[#This Row],[Course]],'TSD-Data'!$A$1:$G$90,2,FALSE)</f>
        <v>A-493-0077</v>
      </c>
      <c r="E20" s="193" t="str">
        <f>VLOOKUP(Table119[[#This Row],[Course]],'TSD-Data'!$A$1:$G$90,3,FALSE)</f>
        <v>0381</v>
      </c>
      <c r="F20" s="193">
        <v>1279</v>
      </c>
      <c r="G20" s="193">
        <f>VLOOKUP(Table119[[#This Row],[Course]],'TSD-Data'!$A$1:$G$90,4,FALSE)</f>
        <v>25</v>
      </c>
      <c r="H20" s="243">
        <f>Table119[[#This Row],[FY26 FLT Quota Need]]/Table119[[#This Row],[FY26 Quota Per course]]</f>
        <v>51.16</v>
      </c>
      <c r="I20" s="237">
        <f>ROUNDUP(Table119[[#This Row],[FY26 Courses Needed]],0)</f>
        <v>52</v>
      </c>
      <c r="J20" s="340">
        <f>COUNTIF(Table2[Course Title],Table119[[#This Row],[Course]])</f>
        <v>35</v>
      </c>
      <c r="K20" s="289">
        <f>VLOOKUP(Table119[[#This Row],[Course]],'TSD-Data'!$A$1:$G$90,6,FALSE)</f>
        <v>24</v>
      </c>
      <c r="L20" s="289">
        <f>Table119[[#This Row],[FY26 NSETC Course '# projections]]*Table119[[#This Row],[FY26 Hours Per Course]]</f>
        <v>840</v>
      </c>
      <c r="M20" s="523">
        <f>Table119[[#This Row],[FY26 NSETC Course '# projections]]-Table119[[#This Row],[FY26 Courses Needed Round UP]]</f>
        <v>-17</v>
      </c>
      <c r="N20" s="290">
        <f t="shared" si="0"/>
        <v>0.68412822517591865</v>
      </c>
      <c r="O20" s="238"/>
      <c r="P20" s="490">
        <v>14</v>
      </c>
      <c r="Q20" s="490">
        <v>25</v>
      </c>
      <c r="R20" s="532">
        <v>194</v>
      </c>
      <c r="S20" s="526">
        <v>0</v>
      </c>
      <c r="T20" s="496">
        <v>14</v>
      </c>
      <c r="U20" s="495">
        <f>(Table119[[#This Row],[FY25 Grads]]+Table119[[#This Row],[FY25 Fails]])/Table119[[#This Row],[FY25 Total Courses]]</f>
        <v>13.857142857142858</v>
      </c>
      <c r="V20" s="496">
        <v>1042</v>
      </c>
      <c r="W20" s="497">
        <f t="shared" si="1"/>
        <v>0.18618042226487524</v>
      </c>
      <c r="X20" s="498">
        <v>1148</v>
      </c>
      <c r="Y20" s="533">
        <v>46</v>
      </c>
      <c r="Z20" s="500"/>
      <c r="AA20" s="501">
        <v>9</v>
      </c>
      <c r="AB20" s="502">
        <v>25</v>
      </c>
      <c r="AC20" s="503">
        <v>134</v>
      </c>
      <c r="AD20" s="504">
        <v>1</v>
      </c>
      <c r="AE20" s="505">
        <f t="shared" si="2"/>
        <v>15</v>
      </c>
      <c r="AF20" s="506">
        <v>1359</v>
      </c>
      <c r="AG20" s="507">
        <f t="shared" si="3"/>
        <v>9.9337748344370855E-2</v>
      </c>
      <c r="AH20" s="500"/>
      <c r="AI20" s="490">
        <v>14</v>
      </c>
      <c r="AJ20" s="534">
        <v>25</v>
      </c>
      <c r="AK20" s="496">
        <v>244</v>
      </c>
      <c r="AL20" s="496">
        <v>0</v>
      </c>
      <c r="AM20" s="509">
        <f t="shared" si="4"/>
        <v>17.428571428571427</v>
      </c>
      <c r="AN20" s="510">
        <v>375</v>
      </c>
      <c r="AO20" s="507">
        <f t="shared" si="5"/>
        <v>0.65066666666666662</v>
      </c>
      <c r="AP20" s="511"/>
      <c r="AQ20" s="512">
        <v>20</v>
      </c>
      <c r="AR20" s="512">
        <v>25</v>
      </c>
      <c r="AS20" s="513">
        <v>278</v>
      </c>
      <c r="AT20" s="513">
        <v>0</v>
      </c>
      <c r="AU20" s="514">
        <v>13.9</v>
      </c>
      <c r="AV20" s="515">
        <v>500</v>
      </c>
      <c r="AW20" s="516">
        <f t="shared" si="7"/>
        <v>0.55600000000000005</v>
      </c>
      <c r="AX20" s="524" t="s">
        <v>77</v>
      </c>
    </row>
    <row r="21" spans="1:50" s="194" customFormat="1" ht="60" x14ac:dyDescent="0.25">
      <c r="A21" s="524" t="s">
        <v>80</v>
      </c>
      <c r="B21" s="193" t="str">
        <f>VLOOKUP(Table119[[#This Row],[Course]],'TSD-Data'!$A$1:$G$95,7,FALSE)</f>
        <v>N4</v>
      </c>
      <c r="C21" s="357" t="s">
        <v>30</v>
      </c>
      <c r="D21" s="487" t="str">
        <f>VLOOKUP(Table119[[#This Row],[Course]],'TSD-Data'!$A$1:$G$90,2,FALSE)</f>
        <v>A-493-0083</v>
      </c>
      <c r="E21" s="193" t="str">
        <f>VLOOKUP(Table119[[#This Row],[Course]],'TSD-Data'!$A$1:$G$90,3,FALSE)</f>
        <v>339E</v>
      </c>
      <c r="F21" s="193">
        <v>1501</v>
      </c>
      <c r="G21" s="193">
        <f>VLOOKUP(Table119[[#This Row],[Course]],'TSD-Data'!$A$1:$G$90,4,FALSE)</f>
        <v>30</v>
      </c>
      <c r="H21" s="243">
        <f>Table119[[#This Row],[FY26 FLT Quota Need]]/Table119[[#This Row],[FY26 Quota Per course]]</f>
        <v>50.033333333333331</v>
      </c>
      <c r="I21" s="237">
        <f>ROUNDUP(Table119[[#This Row],[FY26 Courses Needed]],0)</f>
        <v>51</v>
      </c>
      <c r="J21" s="340">
        <f>COUNTIF(Table2[Course Title],Table119[[#This Row],[Course]])</f>
        <v>27</v>
      </c>
      <c r="K21" s="289">
        <f>VLOOKUP(Table119[[#This Row],[Course]],'TSD-Data'!$A$1:$G$90,6,FALSE)</f>
        <v>8</v>
      </c>
      <c r="L21" s="289">
        <f>Table119[[#This Row],[FY26 NSETC Course '# projections]]*Table119[[#This Row],[FY26 Hours Per Course]]</f>
        <v>216</v>
      </c>
      <c r="M21" s="523">
        <f>Table119[[#This Row],[FY26 NSETC Course '# projections]]-Table119[[#This Row],[FY26 Courses Needed Round UP]]</f>
        <v>-24</v>
      </c>
      <c r="N21" s="290">
        <f t="shared" si="0"/>
        <v>0.53964023984010656</v>
      </c>
      <c r="O21" s="238"/>
      <c r="P21" s="490">
        <v>26</v>
      </c>
      <c r="Q21" s="490">
        <v>30</v>
      </c>
      <c r="R21" s="532">
        <v>417</v>
      </c>
      <c r="S21" s="526">
        <v>1</v>
      </c>
      <c r="T21" s="496">
        <v>67</v>
      </c>
      <c r="U21" s="495">
        <f>(Table119[[#This Row],[FY25 Grads]]+Table119[[#This Row],[FY25 Fails]])/Table119[[#This Row],[FY25 Total Courses]]</f>
        <v>16.076923076923077</v>
      </c>
      <c r="V21" s="496">
        <v>1705</v>
      </c>
      <c r="W21" s="497">
        <f t="shared" si="1"/>
        <v>0.24516129032258063</v>
      </c>
      <c r="X21" s="498">
        <v>1432</v>
      </c>
      <c r="Y21" s="533">
        <v>48</v>
      </c>
      <c r="Z21" s="500"/>
      <c r="AA21" s="501">
        <v>22</v>
      </c>
      <c r="AB21" s="502">
        <v>30</v>
      </c>
      <c r="AC21" s="503">
        <v>438</v>
      </c>
      <c r="AD21" s="504">
        <v>0</v>
      </c>
      <c r="AE21" s="505">
        <f t="shared" si="2"/>
        <v>19.90909090909091</v>
      </c>
      <c r="AF21" s="506">
        <v>1595</v>
      </c>
      <c r="AG21" s="507">
        <f t="shared" si="3"/>
        <v>0.27460815047021941</v>
      </c>
      <c r="AH21" s="500"/>
      <c r="AI21" s="490">
        <v>34</v>
      </c>
      <c r="AJ21" s="534">
        <v>30</v>
      </c>
      <c r="AK21" s="496">
        <v>652</v>
      </c>
      <c r="AL21" s="496">
        <v>12</v>
      </c>
      <c r="AM21" s="509">
        <f t="shared" si="4"/>
        <v>19.529411764705884</v>
      </c>
      <c r="AN21" s="510">
        <v>930</v>
      </c>
      <c r="AO21" s="507">
        <f t="shared" si="5"/>
        <v>0.71397849462365592</v>
      </c>
      <c r="AP21" s="511"/>
      <c r="AQ21" s="512">
        <v>43</v>
      </c>
      <c r="AR21" s="512">
        <v>25</v>
      </c>
      <c r="AS21" s="513">
        <v>772</v>
      </c>
      <c r="AT21" s="513">
        <v>0</v>
      </c>
      <c r="AU21" s="514">
        <v>17.953488372093023</v>
      </c>
      <c r="AV21" s="515">
        <v>1100</v>
      </c>
      <c r="AW21" s="516">
        <f t="shared" si="7"/>
        <v>0.70181818181818179</v>
      </c>
      <c r="AX21" s="524" t="s">
        <v>80</v>
      </c>
    </row>
    <row r="22" spans="1:50" s="194" customFormat="1" ht="30" x14ac:dyDescent="0.25">
      <c r="A22" s="524" t="s">
        <v>83</v>
      </c>
      <c r="B22" s="193" t="str">
        <f>VLOOKUP(Table119[[#This Row],[Course]],'TSD-Data'!$A$1:$G$95,7,FALSE)</f>
        <v>N4</v>
      </c>
      <c r="C22" s="357" t="s">
        <v>30</v>
      </c>
      <c r="D22" s="487" t="str">
        <f>VLOOKUP(Table119[[#This Row],[Course]],'TSD-Data'!$A$1:$G$90,2,FALSE)</f>
        <v>A-493-2300</v>
      </c>
      <c r="E22" s="193" t="str">
        <f>VLOOKUP(Table119[[#This Row],[Course]],'TSD-Data'!$A$1:$G$90,3,FALSE)</f>
        <v>993F</v>
      </c>
      <c r="F22" s="193">
        <v>658</v>
      </c>
      <c r="G22" s="193">
        <f>VLOOKUP(Table119[[#This Row],[Course]],'TSD-Data'!$A$1:$G$90,4,FALSE)</f>
        <v>30</v>
      </c>
      <c r="H22" s="243">
        <f>Table119[[#This Row],[FY26 FLT Quota Need]]/Table119[[#This Row],[FY26 Quota Per course]]</f>
        <v>21.933333333333334</v>
      </c>
      <c r="I22" s="237">
        <f>ROUNDUP(Table119[[#This Row],[FY26 Courses Needed]],0)</f>
        <v>22</v>
      </c>
      <c r="J22" s="340">
        <f>COUNTIF(Table2[Course Title],Table119[[#This Row],[Course]])</f>
        <v>0</v>
      </c>
      <c r="K22" s="289">
        <f>VLOOKUP(Table119[[#This Row],[Course]],'TSD-Data'!$A$1:$G$90,6,FALSE)</f>
        <v>16</v>
      </c>
      <c r="L22" s="289">
        <f>Table119[[#This Row],[FY26 NSETC Course '# projections]]*Table119[[#This Row],[FY26 Hours Per Course]]</f>
        <v>0</v>
      </c>
      <c r="M22" s="523">
        <f>Table119[[#This Row],[FY26 NSETC Course '# projections]]-Table119[[#This Row],[FY26 Courses Needed Round UP]]</f>
        <v>-22</v>
      </c>
      <c r="N22" s="290">
        <f t="shared" si="0"/>
        <v>0</v>
      </c>
      <c r="O22" s="238"/>
      <c r="P22" s="490">
        <v>8</v>
      </c>
      <c r="Q22" s="490">
        <v>30</v>
      </c>
      <c r="R22" s="496">
        <v>121</v>
      </c>
      <c r="S22" s="526">
        <v>0</v>
      </c>
      <c r="T22" s="496">
        <v>26</v>
      </c>
      <c r="U22" s="495">
        <f>(Table119[[#This Row],[FY25 Grads]]+Table119[[#This Row],[FY25 Fails]])/Table119[[#This Row],[FY25 Total Courses]]</f>
        <v>15.125</v>
      </c>
      <c r="V22" s="496">
        <v>614</v>
      </c>
      <c r="W22" s="497">
        <f t="shared" si="1"/>
        <v>0.19706840390879479</v>
      </c>
      <c r="X22" s="498">
        <v>954</v>
      </c>
      <c r="Y22" s="533">
        <v>32</v>
      </c>
      <c r="Z22" s="500"/>
      <c r="AA22" s="501">
        <v>6</v>
      </c>
      <c r="AB22" s="502">
        <v>30</v>
      </c>
      <c r="AC22" s="503">
        <v>123</v>
      </c>
      <c r="AD22" s="504">
        <v>0</v>
      </c>
      <c r="AE22" s="505">
        <f t="shared" si="2"/>
        <v>20.5</v>
      </c>
      <c r="AF22" s="538">
        <v>958</v>
      </c>
      <c r="AG22" s="507">
        <f t="shared" si="3"/>
        <v>0.12839248434237996</v>
      </c>
      <c r="AH22" s="500"/>
      <c r="AI22" s="490">
        <v>12</v>
      </c>
      <c r="AJ22" s="534">
        <v>30</v>
      </c>
      <c r="AK22" s="496">
        <v>178</v>
      </c>
      <c r="AL22" s="496">
        <v>0</v>
      </c>
      <c r="AM22" s="509">
        <f t="shared" si="4"/>
        <v>14.833333333333334</v>
      </c>
      <c r="AN22" s="527">
        <v>630</v>
      </c>
      <c r="AO22" s="507">
        <f t="shared" si="5"/>
        <v>0.28253968253968254</v>
      </c>
      <c r="AP22" s="511"/>
      <c r="AQ22" s="512">
        <v>20</v>
      </c>
      <c r="AR22" s="512">
        <v>30</v>
      </c>
      <c r="AS22" s="513">
        <v>311</v>
      </c>
      <c r="AT22" s="513">
        <v>0</v>
      </c>
      <c r="AU22" s="514">
        <v>15.55</v>
      </c>
      <c r="AV22" s="515">
        <v>510</v>
      </c>
      <c r="AW22" s="516">
        <f t="shared" si="7"/>
        <v>0.6098039215686275</v>
      </c>
      <c r="AX22" s="524" t="s">
        <v>83</v>
      </c>
    </row>
    <row r="23" spans="1:50" s="194" customFormat="1" ht="45" x14ac:dyDescent="0.25">
      <c r="A23" s="524" t="s">
        <v>86</v>
      </c>
      <c r="B23" s="193" t="str">
        <f>VLOOKUP(Table119[[#This Row],[Course]],'TSD-Data'!$A$1:$G$95,7,FALSE)</f>
        <v>N4</v>
      </c>
      <c r="C23" s="357" t="s">
        <v>30</v>
      </c>
      <c r="D23" s="487" t="str">
        <f>VLOOKUP(Table119[[#This Row],[Course]],'TSD-Data'!$A$1:$G$90,2,FALSE)</f>
        <v>A-493-2301</v>
      </c>
      <c r="E23" s="193" t="str">
        <f>VLOOKUP(Table119[[#This Row],[Course]],'TSD-Data'!$A$1:$G$90,3,FALSE)</f>
        <v>05ZD</v>
      </c>
      <c r="F23" s="193">
        <v>744</v>
      </c>
      <c r="G23" s="193">
        <f>VLOOKUP(Table119[[#This Row],[Course]],'TSD-Data'!$A$1:$G$90,4,FALSE)</f>
        <v>30</v>
      </c>
      <c r="H23" s="243">
        <f>Table119[[#This Row],[FY26 FLT Quota Need]]/Table119[[#This Row],[FY26 Quota Per course]]</f>
        <v>24.8</v>
      </c>
      <c r="I23" s="237">
        <f>ROUNDUP(Table119[[#This Row],[FY26 Courses Needed]],0)</f>
        <v>25</v>
      </c>
      <c r="J23" s="340">
        <f>COUNTIF(Table2[Course Title],Table119[[#This Row],[Course]])</f>
        <v>0</v>
      </c>
      <c r="K23" s="289">
        <f>VLOOKUP(Table119[[#This Row],[Course]],'TSD-Data'!$A$1:$G$90,6,FALSE)</f>
        <v>8</v>
      </c>
      <c r="L23" s="289">
        <f>Table119[[#This Row],[FY26 NSETC Course '# projections]]*Table119[[#This Row],[FY26 Hours Per Course]]</f>
        <v>0</v>
      </c>
      <c r="M23" s="523">
        <f>Table119[[#This Row],[FY26 NSETC Course '# projections]]-Table119[[#This Row],[FY26 Courses Needed Round UP]]</f>
        <v>-25</v>
      </c>
      <c r="N23" s="290">
        <f t="shared" si="0"/>
        <v>0</v>
      </c>
      <c r="O23" s="238"/>
      <c r="P23" s="490">
        <v>12</v>
      </c>
      <c r="Q23" s="490">
        <v>30</v>
      </c>
      <c r="R23" s="496">
        <v>126</v>
      </c>
      <c r="S23" s="526">
        <v>0</v>
      </c>
      <c r="T23" s="496">
        <v>57</v>
      </c>
      <c r="U23" s="495">
        <f>(Table119[[#This Row],[FY25 Grads]]+Table119[[#This Row],[FY25 Fails]])/Table119[[#This Row],[FY25 Total Courses]]</f>
        <v>10.5</v>
      </c>
      <c r="V23" s="496">
        <v>824</v>
      </c>
      <c r="W23" s="497">
        <f t="shared" si="1"/>
        <v>0.15291262135922329</v>
      </c>
      <c r="X23" s="498">
        <v>816</v>
      </c>
      <c r="Y23" s="533">
        <v>28</v>
      </c>
      <c r="Z23" s="500"/>
      <c r="AA23" s="501">
        <v>14</v>
      </c>
      <c r="AB23" s="502">
        <v>30</v>
      </c>
      <c r="AC23" s="503">
        <v>187</v>
      </c>
      <c r="AD23" s="504">
        <v>0</v>
      </c>
      <c r="AE23" s="505">
        <f t="shared" si="2"/>
        <v>13.357142857142858</v>
      </c>
      <c r="AF23" s="538">
        <v>810</v>
      </c>
      <c r="AG23" s="507">
        <f t="shared" si="3"/>
        <v>0.23086419753086421</v>
      </c>
      <c r="AH23" s="500"/>
      <c r="AI23" s="490">
        <v>8</v>
      </c>
      <c r="AJ23" s="534">
        <v>30</v>
      </c>
      <c r="AK23" s="496">
        <v>100</v>
      </c>
      <c r="AL23" s="496">
        <v>0</v>
      </c>
      <c r="AM23" s="509">
        <f t="shared" si="4"/>
        <v>12.5</v>
      </c>
      <c r="AN23" s="527">
        <v>210</v>
      </c>
      <c r="AO23" s="507">
        <f t="shared" si="5"/>
        <v>0.47619047619047616</v>
      </c>
      <c r="AP23" s="511"/>
      <c r="AQ23" s="512">
        <v>9</v>
      </c>
      <c r="AR23" s="512">
        <v>30</v>
      </c>
      <c r="AS23" s="513">
        <v>132</v>
      </c>
      <c r="AT23" s="513">
        <v>0</v>
      </c>
      <c r="AU23" s="514">
        <v>14.666666666666666</v>
      </c>
      <c r="AV23" s="515">
        <v>90</v>
      </c>
      <c r="AW23" s="516">
        <f t="shared" si="7"/>
        <v>1.4666666666666666</v>
      </c>
      <c r="AX23" s="524" t="s">
        <v>86</v>
      </c>
    </row>
    <row r="24" spans="1:50" s="194" customFormat="1" ht="30" x14ac:dyDescent="0.25">
      <c r="A24" s="524" t="s">
        <v>89</v>
      </c>
      <c r="B24" s="193" t="str">
        <f>VLOOKUP(Table119[[#This Row],[Course]],'TSD-Data'!$A$1:$G$95,7,FALSE)</f>
        <v>N4</v>
      </c>
      <c r="C24" s="357" t="s">
        <v>30</v>
      </c>
      <c r="D24" s="487" t="str">
        <f>VLOOKUP(Table119[[#This Row],[Course]],'TSD-Data'!$A$1:$G$90,2,FALSE)</f>
        <v>A-493-0216</v>
      </c>
      <c r="E24" s="193" t="str">
        <f>VLOOKUP(Table119[[#This Row],[Course]],'TSD-Data'!$A$1:$G$90,3,FALSE)</f>
        <v>12X8</v>
      </c>
      <c r="F24" s="193">
        <v>612</v>
      </c>
      <c r="G24" s="193">
        <f>VLOOKUP(Table119[[#This Row],[Course]],'TSD-Data'!$A$1:$G$90,4,FALSE)</f>
        <v>30</v>
      </c>
      <c r="H24" s="243">
        <f>Table119[[#This Row],[FY26 FLT Quota Need]]/Table119[[#This Row],[FY26 Quota Per course]]</f>
        <v>20.399999999999999</v>
      </c>
      <c r="I24" s="237">
        <f>ROUNDUP(Table119[[#This Row],[FY26 Courses Needed]],0)</f>
        <v>21</v>
      </c>
      <c r="J24" s="340">
        <f>COUNTIF(Table2[Course Title],Table119[[#This Row],[Course]])</f>
        <v>0</v>
      </c>
      <c r="K24" s="289">
        <f>VLOOKUP(Table119[[#This Row],[Course]],'TSD-Data'!$A$1:$G$90,6,FALSE)</f>
        <v>8</v>
      </c>
      <c r="L24" s="289">
        <f>Table119[[#This Row],[FY26 NSETC Course '# projections]]*Table119[[#This Row],[FY26 Hours Per Course]]</f>
        <v>0</v>
      </c>
      <c r="M24" s="523">
        <f>Table119[[#This Row],[FY26 NSETC Course '# projections]]-Table119[[#This Row],[FY26 Courses Needed Round UP]]</f>
        <v>-21</v>
      </c>
      <c r="N24" s="290">
        <f t="shared" si="0"/>
        <v>0</v>
      </c>
      <c r="O24" s="238"/>
      <c r="P24" s="490">
        <v>7</v>
      </c>
      <c r="Q24" s="490">
        <v>30</v>
      </c>
      <c r="R24" s="496">
        <v>105</v>
      </c>
      <c r="S24" s="526">
        <v>0</v>
      </c>
      <c r="T24" s="496">
        <v>30</v>
      </c>
      <c r="U24" s="495">
        <f>(Table119[[#This Row],[FY25 Grads]]+Table119[[#This Row],[FY25 Fails]])/Table119[[#This Row],[FY25 Total Courses]]</f>
        <v>15</v>
      </c>
      <c r="V24" s="496">
        <v>436</v>
      </c>
      <c r="W24" s="497">
        <f t="shared" si="1"/>
        <v>0.24082568807339449</v>
      </c>
      <c r="X24" s="498">
        <v>1073</v>
      </c>
      <c r="Y24" s="533">
        <v>36</v>
      </c>
      <c r="Z24" s="500"/>
      <c r="AA24" s="501">
        <v>6</v>
      </c>
      <c r="AB24" s="502">
        <v>30</v>
      </c>
      <c r="AC24" s="503">
        <v>132</v>
      </c>
      <c r="AD24" s="504">
        <v>0</v>
      </c>
      <c r="AE24" s="505">
        <f t="shared" si="2"/>
        <v>22</v>
      </c>
      <c r="AF24" s="538">
        <v>1090</v>
      </c>
      <c r="AG24" s="507">
        <f t="shared" si="3"/>
        <v>0.12110091743119267</v>
      </c>
      <c r="AH24" s="500"/>
      <c r="AI24" s="490">
        <v>9</v>
      </c>
      <c r="AJ24" s="534">
        <v>30</v>
      </c>
      <c r="AK24" s="496">
        <v>146</v>
      </c>
      <c r="AL24" s="496">
        <v>0</v>
      </c>
      <c r="AM24" s="509">
        <f t="shared" si="4"/>
        <v>16.222222222222221</v>
      </c>
      <c r="AN24" s="527">
        <v>300</v>
      </c>
      <c r="AO24" s="507">
        <f t="shared" si="5"/>
        <v>0.48666666666666669</v>
      </c>
      <c r="AP24" s="511"/>
      <c r="AQ24" s="512">
        <v>9</v>
      </c>
      <c r="AR24" s="512">
        <v>30</v>
      </c>
      <c r="AS24" s="513">
        <v>192</v>
      </c>
      <c r="AT24" s="513">
        <v>0</v>
      </c>
      <c r="AU24" s="514">
        <v>21.333333333333332</v>
      </c>
      <c r="AV24" s="515">
        <v>270</v>
      </c>
      <c r="AW24" s="516">
        <f t="shared" si="7"/>
        <v>0.71111111111111114</v>
      </c>
      <c r="AX24" s="524" t="s">
        <v>89</v>
      </c>
    </row>
    <row r="25" spans="1:50" s="194" customFormat="1" x14ac:dyDescent="0.25">
      <c r="A25" s="535" t="s">
        <v>92</v>
      </c>
      <c r="B25" s="193" t="str">
        <f>VLOOKUP(Table119[[#This Row],[Course]],'TSD-Data'!$A$1:$G$95,7,FALSE)</f>
        <v>N3</v>
      </c>
      <c r="C25" s="357" t="s">
        <v>30</v>
      </c>
      <c r="D25" s="487" t="str">
        <f>VLOOKUP(Table119[[#This Row],[Course]],'TSD-Data'!$A$1:$G$90,2,FALSE)</f>
        <v>A-493-0092</v>
      </c>
      <c r="E25" s="193">
        <f>VLOOKUP(Table119[[#This Row],[Course]],'TSD-Data'!$A$1:$G$90,3,FALSE)</f>
        <v>5891</v>
      </c>
      <c r="F25" s="518">
        <v>1044</v>
      </c>
      <c r="G25" s="193">
        <f>VLOOKUP(Table119[[#This Row],[Course]],'TSD-Data'!$A$1:$G$90,4,FALSE)</f>
        <v>25</v>
      </c>
      <c r="H25" s="243">
        <f>Table119[[#This Row],[FY26 FLT Quota Need]]/Table119[[#This Row],[FY26 Quota Per course]]</f>
        <v>41.76</v>
      </c>
      <c r="I25" s="237">
        <f>ROUNDUP(Table119[[#This Row],[FY26 Courses Needed]],0)</f>
        <v>42</v>
      </c>
      <c r="J25" s="340">
        <f>COUNTIF(Table2[Course Title],Table119[[#This Row],[Course]])</f>
        <v>7</v>
      </c>
      <c r="K25" s="289">
        <f>VLOOKUP(Table119[[#This Row],[Course]],'TSD-Data'!$A$1:$G$90,6,FALSE)</f>
        <v>24</v>
      </c>
      <c r="L25" s="489">
        <f>Table119[[#This Row],[FY26 NSETC Course '# projections]]*Table119[[#This Row],[FY26 Hours Per Course]]</f>
        <v>168</v>
      </c>
      <c r="M25" s="523">
        <f>Table119[[#This Row],[FY26 NSETC Course '# projections]]-Table119[[#This Row],[FY26 Courses Needed Round UP]]</f>
        <v>-35</v>
      </c>
      <c r="N25" s="290">
        <f t="shared" si="0"/>
        <v>0.16762452107279693</v>
      </c>
      <c r="O25" s="238"/>
      <c r="P25" s="490">
        <v>9</v>
      </c>
      <c r="Q25" s="491">
        <v>25</v>
      </c>
      <c r="R25" s="538">
        <v>61</v>
      </c>
      <c r="S25" s="526">
        <v>0</v>
      </c>
      <c r="T25" s="494">
        <v>10</v>
      </c>
      <c r="U25" s="495">
        <f>(Table119[[#This Row],[FY25 Grads]]+Table119[[#This Row],[FY25 Fails]])/Table119[[#This Row],[FY25 Total Courses]]</f>
        <v>6.7777777777777777</v>
      </c>
      <c r="V25" s="496">
        <v>813</v>
      </c>
      <c r="W25" s="497">
        <f t="shared" si="1"/>
        <v>7.5030750307503072E-2</v>
      </c>
      <c r="X25" s="498">
        <v>797</v>
      </c>
      <c r="Y25" s="499">
        <v>32</v>
      </c>
      <c r="Z25" s="500"/>
      <c r="AA25" s="512">
        <v>7</v>
      </c>
      <c r="AB25" s="502">
        <v>25</v>
      </c>
      <c r="AC25" s="519">
        <v>77</v>
      </c>
      <c r="AD25" s="520">
        <v>0</v>
      </c>
      <c r="AE25" s="505">
        <f t="shared" si="2"/>
        <v>11</v>
      </c>
      <c r="AF25" s="538">
        <v>930</v>
      </c>
      <c r="AG25" s="507">
        <f t="shared" si="3"/>
        <v>8.2795698924731181E-2</v>
      </c>
      <c r="AH25" s="500"/>
      <c r="AI25" s="491">
        <v>8</v>
      </c>
      <c r="AJ25" s="508">
        <v>25</v>
      </c>
      <c r="AK25" s="494">
        <v>91</v>
      </c>
      <c r="AL25" s="494">
        <v>0</v>
      </c>
      <c r="AM25" s="509">
        <f t="shared" si="4"/>
        <v>11.375</v>
      </c>
      <c r="AN25" s="539">
        <v>385</v>
      </c>
      <c r="AO25" s="507">
        <f t="shared" si="5"/>
        <v>0.23636363636363636</v>
      </c>
      <c r="AP25" s="511"/>
      <c r="AQ25" s="512">
        <v>7</v>
      </c>
      <c r="AR25" s="512">
        <v>25</v>
      </c>
      <c r="AS25" s="513">
        <v>105</v>
      </c>
      <c r="AT25" s="513">
        <v>0</v>
      </c>
      <c r="AU25" s="522">
        <f>(Table119[[#This Row],[FY22 Grads]]+Table119[[#This Row],[FY22 Fails]])/Table119[[#This Row],[FY22 Total Courses]]</f>
        <v>15</v>
      </c>
      <c r="AV25" s="515">
        <v>276</v>
      </c>
      <c r="AW25" s="507">
        <f t="shared" si="7"/>
        <v>0.38043478260869568</v>
      </c>
      <c r="AX25" s="535" t="s">
        <v>92</v>
      </c>
    </row>
    <row r="26" spans="1:50" s="194" customFormat="1" ht="45" x14ac:dyDescent="0.25">
      <c r="A26" s="535" t="s">
        <v>94</v>
      </c>
      <c r="B26" s="193" t="str">
        <f>VLOOKUP(Table119[[#This Row],[Course]],'TSD-Data'!$A$1:$G$95,7,FALSE)</f>
        <v>N3</v>
      </c>
      <c r="C26" s="193" t="s">
        <v>25</v>
      </c>
      <c r="D26" s="487" t="str">
        <f>VLOOKUP(Table119[[#This Row],[Course]],'TSD-Data'!$A$1:$G$90,2,FALSE)</f>
        <v>A-493-0331</v>
      </c>
      <c r="E26" s="193" t="str">
        <f>VLOOKUP(Table119[[#This Row],[Course]],'TSD-Data'!$A$1:$G$90,3,FALSE)</f>
        <v>10UG</v>
      </c>
      <c r="F26" s="193">
        <v>1113</v>
      </c>
      <c r="G26" s="193">
        <f>VLOOKUP(Table119[[#This Row],[Course]],'TSD-Data'!$A$1:$G$90,4,FALSE)</f>
        <v>45</v>
      </c>
      <c r="H26" s="243">
        <f>Table119[[#This Row],[FY26 FLT Quota Need]]/Table119[[#This Row],[FY26 Quota Per course]]</f>
        <v>24.733333333333334</v>
      </c>
      <c r="I26" s="237">
        <f>ROUNDUP(Table119[[#This Row],[FY26 Courses Needed]],0)</f>
        <v>25</v>
      </c>
      <c r="J26" s="340">
        <f>COUNTIF(Table2[Course Title],Table119[[#This Row],[Course]])</f>
        <v>21</v>
      </c>
      <c r="K26" s="289">
        <f>VLOOKUP(Table119[[#This Row],[Course]],'TSD-Data'!$A$1:$G$90,6,FALSE)</f>
        <v>24</v>
      </c>
      <c r="L26" s="489">
        <f>Table119[[#This Row],[FY26 NSETC Course '# projections]]*Table119[[#This Row],[FY26 Hours Per Course]]</f>
        <v>504</v>
      </c>
      <c r="M26" s="523">
        <f>Table119[[#This Row],[FY26 NSETC Course '# projections]]-Table119[[#This Row],[FY26 Courses Needed Round UP]]</f>
        <v>-4</v>
      </c>
      <c r="N26" s="290">
        <f t="shared" si="0"/>
        <v>0.84905660377358494</v>
      </c>
      <c r="O26" s="238"/>
      <c r="P26" s="490">
        <v>19</v>
      </c>
      <c r="Q26" s="491">
        <v>40</v>
      </c>
      <c r="R26" s="538">
        <v>746</v>
      </c>
      <c r="S26" s="526">
        <v>14</v>
      </c>
      <c r="T26" s="494">
        <v>146</v>
      </c>
      <c r="U26" s="495">
        <f>(Table119[[#This Row],[FY25 Grads]]+Table119[[#This Row],[FY25 Fails]])/Table119[[#This Row],[FY25 Total Courses]]</f>
        <v>40</v>
      </c>
      <c r="V26" s="496">
        <v>1075</v>
      </c>
      <c r="W26" s="497">
        <f t="shared" si="1"/>
        <v>0.7069767441860465</v>
      </c>
      <c r="X26" s="498">
        <v>727</v>
      </c>
      <c r="Y26" s="499">
        <v>19</v>
      </c>
      <c r="Z26" s="500"/>
      <c r="AA26" s="512">
        <v>15</v>
      </c>
      <c r="AB26" s="502">
        <v>40</v>
      </c>
      <c r="AC26" s="525">
        <v>504</v>
      </c>
      <c r="AD26" s="520">
        <v>12</v>
      </c>
      <c r="AE26" s="505">
        <f t="shared" si="2"/>
        <v>34.4</v>
      </c>
      <c r="AF26" s="538">
        <v>893</v>
      </c>
      <c r="AG26" s="507">
        <f t="shared" si="3"/>
        <v>0.57782754759238519</v>
      </c>
      <c r="AH26" s="500"/>
      <c r="AI26" s="491">
        <v>12</v>
      </c>
      <c r="AJ26" s="508">
        <v>40</v>
      </c>
      <c r="AK26" s="494">
        <v>436</v>
      </c>
      <c r="AL26" s="494">
        <v>5</v>
      </c>
      <c r="AM26" s="509">
        <f t="shared" si="4"/>
        <v>36.75</v>
      </c>
      <c r="AN26" s="539">
        <v>289</v>
      </c>
      <c r="AO26" s="536">
        <f t="shared" si="5"/>
        <v>1.5259515570934257</v>
      </c>
      <c r="AP26" s="511"/>
      <c r="AQ26" s="512">
        <v>14</v>
      </c>
      <c r="AR26" s="512">
        <v>40</v>
      </c>
      <c r="AS26" s="513">
        <v>514</v>
      </c>
      <c r="AT26" s="513">
        <v>10</v>
      </c>
      <c r="AU26" s="522">
        <f>(Table119[[#This Row],[FY22 Grads]]+Table119[[#This Row],[FY22 Fails]])/Table119[[#This Row],[FY22 Total Courses]]</f>
        <v>37.428571428571431</v>
      </c>
      <c r="AV26" s="515">
        <v>253</v>
      </c>
      <c r="AW26" s="497">
        <f t="shared" si="7"/>
        <v>2.0711462450592886</v>
      </c>
      <c r="AX26" s="535" t="s">
        <v>94</v>
      </c>
    </row>
    <row r="27" spans="1:50" s="194" customFormat="1" ht="60" x14ac:dyDescent="0.25">
      <c r="A27" s="535" t="s">
        <v>97</v>
      </c>
      <c r="B27" s="193" t="str">
        <f>VLOOKUP(Table119[[#This Row],[Course]],'TSD-Data'!$A$1:$G$95,7,FALSE)</f>
        <v>N3</v>
      </c>
      <c r="C27" s="193" t="s">
        <v>25</v>
      </c>
      <c r="D27" s="487" t="str">
        <f>VLOOKUP(Table119[[#This Row],[Course]],'TSD-Data'!$A$1:$G$90,2,FALSE)</f>
        <v>A-493-0335</v>
      </c>
      <c r="E27" s="193" t="str">
        <f>VLOOKUP(Table119[[#This Row],[Course]],'TSD-Data'!$A$1:$G$90,3,FALSE)</f>
        <v>09ND</v>
      </c>
      <c r="F27" s="193">
        <v>674</v>
      </c>
      <c r="G27" s="193">
        <f>VLOOKUP(Table119[[#This Row],[Course]],'TSD-Data'!$A$1:$G$90,4,FALSE)</f>
        <v>45</v>
      </c>
      <c r="H27" s="243">
        <f>Table119[[#This Row],[FY26 FLT Quota Need]]/Table119[[#This Row],[FY26 Quota Per course]]</f>
        <v>14.977777777777778</v>
      </c>
      <c r="I27" s="237">
        <f>ROUNDUP(Table119[[#This Row],[FY26 Courses Needed]],0)</f>
        <v>15</v>
      </c>
      <c r="J27" s="340">
        <f>COUNTIF(Table2[Course Title],Table119[[#This Row],[Course]])</f>
        <v>9</v>
      </c>
      <c r="K27" s="289">
        <f>VLOOKUP(Table119[[#This Row],[Course]],'TSD-Data'!$A$1:$G$90,6,FALSE)</f>
        <v>32</v>
      </c>
      <c r="L27" s="489">
        <f>Table119[[#This Row],[FY26 NSETC Course '# projections]]*Table119[[#This Row],[FY26 Hours Per Course]]</f>
        <v>288</v>
      </c>
      <c r="M27" s="523">
        <f>Table119[[#This Row],[FY26 NSETC Course '# projections]]-Table119[[#This Row],[FY26 Courses Needed Round UP]]</f>
        <v>-6</v>
      </c>
      <c r="N27" s="290">
        <f t="shared" si="0"/>
        <v>0.60089020771513357</v>
      </c>
      <c r="O27" s="238"/>
      <c r="P27" s="490">
        <v>14</v>
      </c>
      <c r="Q27" s="491">
        <v>30</v>
      </c>
      <c r="R27" s="538">
        <v>224</v>
      </c>
      <c r="S27" s="526">
        <v>6</v>
      </c>
      <c r="T27" s="494">
        <v>46</v>
      </c>
      <c r="U27" s="495">
        <f>(Table119[[#This Row],[FY25 Grads]]+Table119[[#This Row],[FY25 Fails]])/Table119[[#This Row],[FY25 Total Courses]]</f>
        <v>16.428571428571427</v>
      </c>
      <c r="V27" s="496">
        <v>553</v>
      </c>
      <c r="W27" s="497">
        <f t="shared" si="1"/>
        <v>0.41591320072332733</v>
      </c>
      <c r="X27" s="498">
        <v>510</v>
      </c>
      <c r="Y27" s="499">
        <v>17</v>
      </c>
      <c r="Z27" s="500"/>
      <c r="AA27" s="512">
        <v>10</v>
      </c>
      <c r="AB27" s="502">
        <v>30</v>
      </c>
      <c r="AC27" s="525">
        <v>225</v>
      </c>
      <c r="AD27" s="520">
        <v>9</v>
      </c>
      <c r="AE27" s="505">
        <f t="shared" si="2"/>
        <v>23.4</v>
      </c>
      <c r="AF27" s="538">
        <v>619</v>
      </c>
      <c r="AG27" s="507">
        <f t="shared" si="3"/>
        <v>0.37802907915993539</v>
      </c>
      <c r="AH27" s="500"/>
      <c r="AI27" s="491">
        <v>11</v>
      </c>
      <c r="AJ27" s="508">
        <v>30</v>
      </c>
      <c r="AK27" s="494">
        <v>250</v>
      </c>
      <c r="AL27" s="494">
        <v>10</v>
      </c>
      <c r="AM27" s="509">
        <f t="shared" si="4"/>
        <v>23.636363636363637</v>
      </c>
      <c r="AN27" s="539">
        <f>347+96</f>
        <v>443</v>
      </c>
      <c r="AO27" s="507">
        <f t="shared" si="5"/>
        <v>0.58690744920993232</v>
      </c>
      <c r="AP27" s="511"/>
      <c r="AQ27" s="512">
        <v>8</v>
      </c>
      <c r="AR27" s="512">
        <v>30</v>
      </c>
      <c r="AS27" s="513">
        <v>150</v>
      </c>
      <c r="AT27" s="513">
        <v>3</v>
      </c>
      <c r="AU27" s="522">
        <f>(Table119[[#This Row],[FY22 Grads]]+Table119[[#This Row],[FY22 Fails]])/Table119[[#This Row],[FY22 Total Courses]]</f>
        <v>19.125</v>
      </c>
      <c r="AV27" s="515">
        <v>132</v>
      </c>
      <c r="AW27" s="507">
        <f t="shared" si="7"/>
        <v>1.1590909090909092</v>
      </c>
      <c r="AX27" s="535" t="s">
        <v>97</v>
      </c>
    </row>
    <row r="28" spans="1:50" s="194" customFormat="1" ht="60" x14ac:dyDescent="0.25">
      <c r="A28" s="535" t="s">
        <v>100</v>
      </c>
      <c r="B28" s="193" t="str">
        <f>VLOOKUP(Table119[[#This Row],[Course]],'TSD-Data'!$A$1:$G$95,7,FALSE)</f>
        <v>N5</v>
      </c>
      <c r="C28" s="193" t="s">
        <v>25</v>
      </c>
      <c r="D28" s="487" t="str">
        <f>VLOOKUP(Table119[[#This Row],[Course]],'TSD-Data'!$A$1:$G$90,2,FALSE)</f>
        <v>A-493-0550</v>
      </c>
      <c r="E28" s="193" t="str">
        <f>VLOOKUP(Table119[[#This Row],[Course]],'TSD-Data'!$A$1:$G$90,3,FALSE)</f>
        <v>09K5</v>
      </c>
      <c r="F28" s="193">
        <v>1112</v>
      </c>
      <c r="G28" s="193">
        <f>VLOOKUP(Table119[[#This Row],[Course]],'TSD-Data'!$A$1:$G$90,4,FALSE)</f>
        <v>45</v>
      </c>
      <c r="H28" s="243">
        <f>Table119[[#This Row],[FY26 FLT Quota Need]]/Table119[[#This Row],[FY26 Quota Per course]]</f>
        <v>24.711111111111112</v>
      </c>
      <c r="I28" s="237">
        <f>ROUNDUP(Table119[[#This Row],[FY26 Courses Needed]],0)</f>
        <v>25</v>
      </c>
      <c r="J28" s="340">
        <f>COUNTIF(Table2[Course Title],Table119[[#This Row],[Course]])</f>
        <v>23</v>
      </c>
      <c r="K28" s="289">
        <f>VLOOKUP(Table119[[#This Row],[Course]],'TSD-Data'!$A$1:$G$90,6,FALSE)</f>
        <v>32</v>
      </c>
      <c r="L28" s="489">
        <f>Table119[[#This Row],[FY26 NSETC Course '# projections]]*Table119[[#This Row],[FY26 Hours Per Course]]</f>
        <v>736</v>
      </c>
      <c r="M28" s="489">
        <f>Table119[[#This Row],[FY26 NSETC Course '# projections]]-Table119[[#This Row],[FY26 Courses Needed Round UP]]</f>
        <v>-2</v>
      </c>
      <c r="N28" s="290">
        <f t="shared" si="0"/>
        <v>0.93075539568345322</v>
      </c>
      <c r="O28" s="238"/>
      <c r="P28" s="490">
        <v>27</v>
      </c>
      <c r="Q28" s="491">
        <v>45</v>
      </c>
      <c r="R28" s="538">
        <v>962</v>
      </c>
      <c r="S28" s="526">
        <v>11</v>
      </c>
      <c r="T28" s="494">
        <v>173</v>
      </c>
      <c r="U28" s="495">
        <f>(Table119[[#This Row],[FY25 Grads]]+Table119[[#This Row],[FY25 Fails]])/Table119[[#This Row],[FY25 Total Courses]]</f>
        <v>36.037037037037038</v>
      </c>
      <c r="V28" s="496">
        <v>1606</v>
      </c>
      <c r="W28" s="497">
        <f t="shared" si="1"/>
        <v>0.60585305105853049</v>
      </c>
      <c r="X28" s="498">
        <v>919</v>
      </c>
      <c r="Y28" s="499">
        <v>31</v>
      </c>
      <c r="Z28" s="500"/>
      <c r="AA28" s="512">
        <v>21</v>
      </c>
      <c r="AB28" s="502">
        <v>45</v>
      </c>
      <c r="AC28" s="540">
        <v>740</v>
      </c>
      <c r="AD28" s="527">
        <v>9</v>
      </c>
      <c r="AE28" s="505">
        <f t="shared" si="2"/>
        <v>35.666666666666664</v>
      </c>
      <c r="AF28" s="538">
        <v>990</v>
      </c>
      <c r="AG28" s="507">
        <f t="shared" si="3"/>
        <v>0.75656565656565655</v>
      </c>
      <c r="AH28" s="500"/>
      <c r="AI28" s="491">
        <v>18</v>
      </c>
      <c r="AJ28" s="541">
        <v>30</v>
      </c>
      <c r="AK28" s="494">
        <v>492</v>
      </c>
      <c r="AL28" s="494">
        <v>14</v>
      </c>
      <c r="AM28" s="509">
        <f t="shared" si="4"/>
        <v>28.111111111111111</v>
      </c>
      <c r="AN28" s="539">
        <f>294+163</f>
        <v>457</v>
      </c>
      <c r="AO28" s="536">
        <f t="shared" si="5"/>
        <v>1.1072210065645514</v>
      </c>
      <c r="AP28" s="511"/>
      <c r="AQ28" s="512">
        <v>12</v>
      </c>
      <c r="AR28" s="512">
        <v>30</v>
      </c>
      <c r="AS28" s="513">
        <v>338</v>
      </c>
      <c r="AT28" s="513">
        <v>4</v>
      </c>
      <c r="AU28" s="522">
        <f>(Table119[[#This Row],[FY22 Grads]]+Table119[[#This Row],[FY22 Fails]])/Table119[[#This Row],[FY22 Total Courses]]</f>
        <v>28.5</v>
      </c>
      <c r="AV28" s="515">
        <v>384</v>
      </c>
      <c r="AW28" s="507">
        <f t="shared" si="7"/>
        <v>0.890625</v>
      </c>
      <c r="AX28" s="535" t="s">
        <v>100</v>
      </c>
    </row>
    <row r="29" spans="1:50" s="194" customFormat="1" ht="45" x14ac:dyDescent="0.25">
      <c r="A29" s="524" t="s">
        <v>103</v>
      </c>
      <c r="B29" s="193" t="str">
        <f>VLOOKUP(Table119[[#This Row],[Course]],'TSD-Data'!$A$1:$G$95,7,FALSE)</f>
        <v>N5</v>
      </c>
      <c r="C29" s="193" t="s">
        <v>25</v>
      </c>
      <c r="D29" s="487" t="str">
        <f>VLOOKUP(Table119[[#This Row],[Course]],'TSD-Data'!$A$1:$G$90,2,FALSE)</f>
        <v>A-493-0073</v>
      </c>
      <c r="E29" s="193" t="str">
        <f>VLOOKUP(Table119[[#This Row],[Course]],'TSD-Data'!$A$1:$G$90,3,FALSE)</f>
        <v>714S</v>
      </c>
      <c r="F29" s="518">
        <v>698</v>
      </c>
      <c r="G29" s="193">
        <f>VLOOKUP(Table119[[#This Row],[Course]],'TSD-Data'!$A$1:$G$90,4,FALSE)</f>
        <v>30</v>
      </c>
      <c r="H29" s="243">
        <f>Table119[[#This Row],[FY26 FLT Quota Need]]/Table119[[#This Row],[FY26 Quota Per course]]</f>
        <v>23.266666666666666</v>
      </c>
      <c r="I29" s="237">
        <f>ROUNDUP(Table119[[#This Row],[FY26 Courses Needed]],0)</f>
        <v>24</v>
      </c>
      <c r="J29" s="340">
        <f>COUNTIF(Table2[Course Title],Table119[[#This Row],[Course]])</f>
        <v>0</v>
      </c>
      <c r="K29" s="289">
        <f>VLOOKUP(Table119[[#This Row],[Course]],'TSD-Data'!$A$1:$G$90,6,FALSE)</f>
        <v>32</v>
      </c>
      <c r="L29" s="489">
        <f>Table119[[#This Row],[FY26 NSETC Course '# projections]]*Table119[[#This Row],[FY26 Hours Per Course]]</f>
        <v>0</v>
      </c>
      <c r="M29" s="523">
        <f>Table119[[#This Row],[FY26 NSETC Course '# projections]]-Table119[[#This Row],[FY26 Courses Needed Round UP]]</f>
        <v>-24</v>
      </c>
      <c r="N29" s="290">
        <f t="shared" si="0"/>
        <v>0</v>
      </c>
      <c r="O29" s="238"/>
      <c r="P29" s="490">
        <v>10</v>
      </c>
      <c r="Q29" s="491">
        <v>30</v>
      </c>
      <c r="R29" s="538">
        <v>135</v>
      </c>
      <c r="S29" s="526">
        <v>1</v>
      </c>
      <c r="T29" s="494">
        <v>28</v>
      </c>
      <c r="U29" s="495">
        <f>(Table119[[#This Row],[FY25 Grads]]+Table119[[#This Row],[FY25 Fails]])/Table119[[#This Row],[FY25 Total Courses]]</f>
        <v>13.6</v>
      </c>
      <c r="V29" s="496">
        <v>614</v>
      </c>
      <c r="W29" s="497">
        <f t="shared" si="1"/>
        <v>0.22149837133550487</v>
      </c>
      <c r="X29" s="498">
        <v>536</v>
      </c>
      <c r="Y29" s="499">
        <v>18</v>
      </c>
      <c r="Z29" s="500"/>
      <c r="AA29" s="512">
        <v>10</v>
      </c>
      <c r="AB29" s="502">
        <v>30</v>
      </c>
      <c r="AC29" s="542">
        <v>165</v>
      </c>
      <c r="AD29" s="527">
        <v>0</v>
      </c>
      <c r="AE29" s="505">
        <f t="shared" si="2"/>
        <v>16.5</v>
      </c>
      <c r="AF29" s="506">
        <v>572</v>
      </c>
      <c r="AG29" s="507">
        <f t="shared" si="3"/>
        <v>0.28846153846153844</v>
      </c>
      <c r="AH29" s="500"/>
      <c r="AI29" s="491">
        <v>7</v>
      </c>
      <c r="AJ29" s="541">
        <v>30</v>
      </c>
      <c r="AK29" s="494">
        <v>175</v>
      </c>
      <c r="AL29" s="494">
        <v>2</v>
      </c>
      <c r="AM29" s="509">
        <f t="shared" si="4"/>
        <v>25.285714285714285</v>
      </c>
      <c r="AN29" s="539">
        <v>480</v>
      </c>
      <c r="AO29" s="507">
        <f t="shared" si="5"/>
        <v>0.36875000000000002</v>
      </c>
      <c r="AP29" s="511"/>
      <c r="AQ29" s="512">
        <v>2</v>
      </c>
      <c r="AR29" s="512">
        <v>30</v>
      </c>
      <c r="AS29" s="513">
        <v>56</v>
      </c>
      <c r="AT29" s="513">
        <v>0</v>
      </c>
      <c r="AU29" s="522">
        <f>(Table119[[#This Row],[FY22 Grads]]+Table119[[#This Row],[FY22 Fails]])/Table119[[#This Row],[FY22 Total Courses]]</f>
        <v>28</v>
      </c>
      <c r="AV29" s="515">
        <v>421</v>
      </c>
      <c r="AW29" s="507">
        <f t="shared" si="7"/>
        <v>0.1330166270783848</v>
      </c>
      <c r="AX29" s="524" t="s">
        <v>103</v>
      </c>
    </row>
    <row r="30" spans="1:50" s="194" customFormat="1" ht="30" x14ac:dyDescent="0.25">
      <c r="A30" s="535" t="s">
        <v>106</v>
      </c>
      <c r="B30" s="193" t="str">
        <f>VLOOKUP(Table119[[#This Row],[Course]],'TSD-Data'!$A$1:$G$95,7,FALSE)</f>
        <v>N5</v>
      </c>
      <c r="C30" s="193" t="s">
        <v>25</v>
      </c>
      <c r="D30" s="487" t="str">
        <f>VLOOKUP(Table119[[#This Row],[Course]],'TSD-Data'!$A$1:$G$90,2,FALSE)</f>
        <v>A-493-0078</v>
      </c>
      <c r="E30" s="193">
        <f>VLOOKUP(Table119[[#This Row],[Course]],'TSD-Data'!$A$1:$G$90,3,FALSE)</f>
        <v>1228</v>
      </c>
      <c r="F30" s="193">
        <v>1260</v>
      </c>
      <c r="G30" s="193">
        <f>VLOOKUP(Table119[[#This Row],[Course]],'TSD-Data'!$A$1:$G$90,4,FALSE)</f>
        <v>45</v>
      </c>
      <c r="H30" s="243">
        <f>Table119[[#This Row],[FY26 FLT Quota Need]]/Table119[[#This Row],[FY26 Quota Per course]]</f>
        <v>28</v>
      </c>
      <c r="I30" s="237">
        <f>ROUNDUP(Table119[[#This Row],[FY26 Courses Needed]],0)</f>
        <v>28</v>
      </c>
      <c r="J30" s="340">
        <f>COUNTIF(Table2[Course Title],Table119[[#This Row],[Course]])</f>
        <v>19</v>
      </c>
      <c r="K30" s="289">
        <f>VLOOKUP(Table119[[#This Row],[Course]],'TSD-Data'!$A$1:$G$90,6,FALSE)</f>
        <v>32</v>
      </c>
      <c r="L30" s="489">
        <f>Table119[[#This Row],[FY26 NSETC Course '# projections]]*Table119[[#This Row],[FY26 Hours Per Course]]</f>
        <v>608</v>
      </c>
      <c r="M30" s="523">
        <f>Table119[[#This Row],[FY26 NSETC Course '# projections]]-Table119[[#This Row],[FY26 Courses Needed Round UP]]</f>
        <v>-9</v>
      </c>
      <c r="N30" s="290">
        <f t="shared" si="0"/>
        <v>0.6785714285714286</v>
      </c>
      <c r="O30" s="239"/>
      <c r="P30" s="490">
        <v>23</v>
      </c>
      <c r="Q30" s="491">
        <v>45</v>
      </c>
      <c r="R30" s="492">
        <v>722</v>
      </c>
      <c r="S30" s="526">
        <v>4</v>
      </c>
      <c r="T30" s="543">
        <v>113</v>
      </c>
      <c r="U30" s="544">
        <f>(Table119[[#This Row],[FY25 Grads]]+Table119[[#This Row],[FY25 Fails]])/Table119[[#This Row],[FY25 Total Courses]]</f>
        <v>31.565217391304348</v>
      </c>
      <c r="V30" s="545">
        <v>1162</v>
      </c>
      <c r="W30" s="497">
        <f t="shared" si="1"/>
        <v>0.6247848537005164</v>
      </c>
      <c r="X30" s="546">
        <v>1051</v>
      </c>
      <c r="Y30" s="547">
        <v>36</v>
      </c>
      <c r="Z30" s="500"/>
      <c r="AA30" s="512">
        <v>23</v>
      </c>
      <c r="AB30" s="548">
        <v>45</v>
      </c>
      <c r="AC30" s="542">
        <v>721</v>
      </c>
      <c r="AD30" s="527">
        <v>6</v>
      </c>
      <c r="AE30" s="505">
        <f t="shared" si="2"/>
        <v>31.608695652173914</v>
      </c>
      <c r="AF30" s="538">
        <v>1033</v>
      </c>
      <c r="AG30" s="507">
        <f t="shared" si="3"/>
        <v>0.70377541142303968</v>
      </c>
      <c r="AH30" s="500"/>
      <c r="AI30" s="491">
        <v>20</v>
      </c>
      <c r="AJ30" s="541">
        <v>30</v>
      </c>
      <c r="AK30" s="494">
        <v>558</v>
      </c>
      <c r="AL30" s="494">
        <v>10</v>
      </c>
      <c r="AM30" s="509">
        <f t="shared" si="4"/>
        <v>28.4</v>
      </c>
      <c r="AN30" s="539">
        <v>607</v>
      </c>
      <c r="AO30" s="507">
        <f t="shared" si="5"/>
        <v>0.93574958813838549</v>
      </c>
      <c r="AP30" s="511"/>
      <c r="AQ30" s="549">
        <v>14</v>
      </c>
      <c r="AR30" s="549">
        <v>30</v>
      </c>
      <c r="AS30" s="550">
        <v>307</v>
      </c>
      <c r="AT30" s="550">
        <v>0</v>
      </c>
      <c r="AU30" s="551">
        <f>(Table119[[#This Row],[FY22 Grads]]+Table119[[#This Row],[FY22 Fails]])/Table119[[#This Row],[FY22 Total Courses]]</f>
        <v>21.928571428571427</v>
      </c>
      <c r="AV30" s="552">
        <v>610</v>
      </c>
      <c r="AW30" s="507">
        <f t="shared" si="7"/>
        <v>0.50327868852459012</v>
      </c>
      <c r="AX30" s="535" t="s">
        <v>106</v>
      </c>
    </row>
    <row r="31" spans="1:50" s="194" customFormat="1" ht="25.5" x14ac:dyDescent="0.25">
      <c r="A31" s="419" t="s">
        <v>389</v>
      </c>
      <c r="B31" s="193" t="str">
        <f>VLOOKUP(Table119[[#This Row],[Course]],'TSD-Data'!$A$1:$G$95,7,FALSE)</f>
        <v>N5</v>
      </c>
      <c r="C31" s="357" t="s">
        <v>30</v>
      </c>
      <c r="D31" s="488" t="str">
        <f>VLOOKUP(Table119[[#This Row],[Course]],'TSD-Data'!$A$1:$G$90,2,FALSE)</f>
        <v>A-493-0078</v>
      </c>
      <c r="E31" s="340" t="str">
        <f>VLOOKUP(Table119[[#This Row],[Course]],'TSD-Data'!$A$1:$G$90,3,FALSE)</f>
        <v>32FJ</v>
      </c>
      <c r="F31" s="340">
        <v>0</v>
      </c>
      <c r="G31" s="193">
        <f>VLOOKUP(Table119[[#This Row],[Course]],'TSD-Data'!$A$1:$G$90,4,FALSE)</f>
        <v>30</v>
      </c>
      <c r="H31" s="243">
        <f>Table119[[#This Row],[FY26 FLT Quota Need]]/Table119[[#This Row],[FY26 Quota Per course]]</f>
        <v>0</v>
      </c>
      <c r="I31" s="237">
        <f>ROUNDUP(Table119[[#This Row],[FY26 Courses Needed]],0)</f>
        <v>0</v>
      </c>
      <c r="J31" s="340">
        <f>COUNTIF(Table2[Course Title],Table119[[#This Row],[Course]])</f>
        <v>3</v>
      </c>
      <c r="K31" s="289">
        <f>VLOOKUP(Table119[[#This Row],[Course]],'TSD-Data'!$A$1:$G$90,6,FALSE)</f>
        <v>32</v>
      </c>
      <c r="L31" s="553">
        <f>Table119[[#This Row],[FY26 NSETC Course '# projections]]*Table119[[#This Row],[FY26 Hours Per Course]]</f>
        <v>96</v>
      </c>
      <c r="M31" s="553">
        <f>Table119[[#This Row],[FY26 NSETC Course '# projections]]-Table119[[#This Row],[FY26 Courses Needed Round UP]]</f>
        <v>3</v>
      </c>
      <c r="N31" s="366" t="str">
        <f>IFERROR(J31*G31/F31, "N/A")</f>
        <v>N/A</v>
      </c>
      <c r="O31" s="238"/>
      <c r="P31" s="554"/>
      <c r="Q31" s="555"/>
      <c r="R31" s="556"/>
      <c r="S31" s="557"/>
      <c r="T31" s="555"/>
      <c r="U31" s="558"/>
      <c r="V31" s="554"/>
      <c r="W31" s="559"/>
      <c r="X31" s="560"/>
      <c r="Y31" s="561"/>
      <c r="Z31" s="500"/>
      <c r="AA31" s="562"/>
      <c r="AB31" s="563"/>
      <c r="AC31" s="564"/>
      <c r="AD31" s="565"/>
      <c r="AE31" s="566"/>
      <c r="AF31" s="567"/>
      <c r="AG31" s="568"/>
      <c r="AH31" s="500"/>
      <c r="AI31" s="569"/>
      <c r="AJ31" s="570"/>
      <c r="AK31" s="571"/>
      <c r="AL31" s="571"/>
      <c r="AM31" s="572"/>
      <c r="AN31" s="573"/>
      <c r="AO31" s="574"/>
      <c r="AP31" s="511"/>
      <c r="AQ31" s="575"/>
      <c r="AR31" s="576"/>
      <c r="AS31" s="576"/>
      <c r="AT31" s="576"/>
      <c r="AU31" s="577"/>
      <c r="AV31" s="578"/>
      <c r="AW31" s="574"/>
      <c r="AX31" s="419" t="s">
        <v>389</v>
      </c>
    </row>
    <row r="32" spans="1:50" s="194" customFormat="1" ht="26.25" x14ac:dyDescent="0.25">
      <c r="A32" s="356" t="s">
        <v>108</v>
      </c>
      <c r="B32" s="193" t="str">
        <f>VLOOKUP(Table119[[#This Row],[Course]],'TSD-Data'!$A$1:$G$95,7,FALSE)</f>
        <v>N3</v>
      </c>
      <c r="C32" s="193" t="s">
        <v>25</v>
      </c>
      <c r="D32" s="487" t="str">
        <f>VLOOKUP(Table119[[#This Row],[Course]],'TSD-Data'!$A$1:$G$90,2,FALSE)</f>
        <v>A-493-0085</v>
      </c>
      <c r="E32" s="193">
        <f>VLOOKUP(Table119[[#This Row],[Course]],'TSD-Data'!$A$1:$G$90,3,FALSE)</f>
        <v>3555</v>
      </c>
      <c r="F32" s="193">
        <v>835</v>
      </c>
      <c r="G32" s="193">
        <f>VLOOKUP(Table119[[#This Row],[Course]],'TSD-Data'!$A$1:$G$90,4,FALSE)</f>
        <v>45</v>
      </c>
      <c r="H32" s="243">
        <f>Table119[[#This Row],[FY26 FLT Quota Need]]/Table119[[#This Row],[FY26 Quota Per course]]</f>
        <v>18.555555555555557</v>
      </c>
      <c r="I32" s="237">
        <f>ROUNDUP(Table119[[#This Row],[FY26 Courses Needed]],0)</f>
        <v>19</v>
      </c>
      <c r="J32" s="340">
        <f>COUNTIF(Table2[Course Title],Table119[[#This Row],[Course]])</f>
        <v>9</v>
      </c>
      <c r="K32" s="289">
        <f>VLOOKUP(Table119[[#This Row],[Course]],'TSD-Data'!$A$1:$G$90,6,FALSE)</f>
        <v>32</v>
      </c>
      <c r="L32" s="489">
        <f>Table119[[#This Row],[FY26 NSETC Course '# projections]]*Table119[[#This Row],[FY26 Hours Per Course]]</f>
        <v>288</v>
      </c>
      <c r="M32" s="523">
        <f>Table119[[#This Row],[FY26 NSETC Course '# projections]]-Table119[[#This Row],[FY26 Courses Needed Round UP]]</f>
        <v>-10</v>
      </c>
      <c r="N32" s="290">
        <f t="shared" si="0"/>
        <v>0.48502994011976047</v>
      </c>
      <c r="O32" s="238"/>
      <c r="P32" s="490">
        <v>14</v>
      </c>
      <c r="Q32" s="491">
        <v>45</v>
      </c>
      <c r="R32" s="538">
        <v>215</v>
      </c>
      <c r="S32" s="526">
        <v>5</v>
      </c>
      <c r="T32" s="494">
        <v>44</v>
      </c>
      <c r="U32" s="495">
        <f>(Table119[[#This Row],[FY25 Grads]]+Table119[[#This Row],[FY25 Fails]])/Table119[[#This Row],[FY25 Total Courses]]</f>
        <v>15.714285714285714</v>
      </c>
      <c r="V32" s="496">
        <v>685</v>
      </c>
      <c r="W32" s="497">
        <f t="shared" si="1"/>
        <v>0.32116788321167883</v>
      </c>
      <c r="X32" s="579">
        <v>657</v>
      </c>
      <c r="Y32" s="580">
        <v>22</v>
      </c>
      <c r="Z32" s="581"/>
      <c r="AA32" s="582">
        <v>10</v>
      </c>
      <c r="AB32" s="502">
        <v>30</v>
      </c>
      <c r="AC32" s="542">
        <v>248</v>
      </c>
      <c r="AD32" s="527">
        <v>11</v>
      </c>
      <c r="AE32" s="505">
        <f t="shared" si="2"/>
        <v>25.9</v>
      </c>
      <c r="AF32" s="506">
        <v>605</v>
      </c>
      <c r="AG32" s="507">
        <f t="shared" si="3"/>
        <v>0.42809917355371901</v>
      </c>
      <c r="AH32" s="583"/>
      <c r="AI32" s="584">
        <v>7</v>
      </c>
      <c r="AJ32" s="541">
        <v>30</v>
      </c>
      <c r="AK32" s="494">
        <v>163</v>
      </c>
      <c r="AL32" s="494">
        <v>6</v>
      </c>
      <c r="AM32" s="509">
        <f t="shared" si="4"/>
        <v>24.142857142857142</v>
      </c>
      <c r="AN32" s="539">
        <v>168</v>
      </c>
      <c r="AO32" s="536">
        <f t="shared" si="5"/>
        <v>1.0059523809523809</v>
      </c>
      <c r="AP32" s="585"/>
      <c r="AQ32" s="582">
        <v>4</v>
      </c>
      <c r="AR32" s="512">
        <v>30</v>
      </c>
      <c r="AS32" s="513">
        <v>113</v>
      </c>
      <c r="AT32" s="513">
        <v>0</v>
      </c>
      <c r="AU32" s="522">
        <f>(Table119[[#This Row],[FY22 Grads]]+Table119[[#This Row],[FY22 Fails]])/Table119[[#This Row],[FY22 Total Courses]]</f>
        <v>28.25</v>
      </c>
      <c r="AV32" s="515">
        <v>191</v>
      </c>
      <c r="AW32" s="507">
        <f t="shared" si="7"/>
        <v>0.59162303664921467</v>
      </c>
      <c r="AX32" s="356" t="s">
        <v>108</v>
      </c>
    </row>
    <row r="33" spans="1:50" ht="38.25" x14ac:dyDescent="0.25">
      <c r="A33" s="356" t="s">
        <v>221</v>
      </c>
      <c r="B33" s="193" t="str">
        <f>VLOOKUP(Table119[[#This Row],[Course]],'TSD-Data'!$A$1:$G$95,7,FALSE)</f>
        <v>N3</v>
      </c>
      <c r="C33" s="193" t="s">
        <v>25</v>
      </c>
      <c r="D33" s="487" t="str">
        <f>VLOOKUP(Table119[[#This Row],[Course]],'TSD-Data'!$A$1:$G$90,2,FALSE)</f>
        <v>TBD</v>
      </c>
      <c r="E33" s="193" t="str">
        <f>VLOOKUP(Table119[[#This Row],[Course]],'TSD-Data'!$A$1:$G$90,3,FALSE)</f>
        <v>TBD</v>
      </c>
      <c r="F33" s="518">
        <v>547</v>
      </c>
      <c r="G33" s="193" t="str">
        <f>VLOOKUP(Table119[[#This Row],[Course]],'TSD-Data'!$A$1:$G$90,4,FALSE)</f>
        <v>TBD</v>
      </c>
      <c r="H33" s="243" t="s">
        <v>461</v>
      </c>
      <c r="I33" s="243" t="s">
        <v>461</v>
      </c>
      <c r="J33" s="340">
        <f>COUNTIF(Table2[Course Title],Table119[[#This Row],[Course]])</f>
        <v>0</v>
      </c>
      <c r="K33" s="289" t="str">
        <f>VLOOKUP(Table119[[#This Row],[Course]],'TSD-Data'!$A$1:$G$90,6,FALSE)</f>
        <v>TBD</v>
      </c>
      <c r="L33" s="243" t="s">
        <v>461</v>
      </c>
      <c r="M33" s="243" t="s">
        <v>461</v>
      </c>
      <c r="N33" s="290" t="str">
        <f t="shared" si="0"/>
        <v>N/A</v>
      </c>
      <c r="O33" s="238"/>
      <c r="P33" s="554"/>
      <c r="Q33" s="555"/>
      <c r="R33" s="555"/>
      <c r="S33" s="557"/>
      <c r="T33" s="555"/>
      <c r="U33" s="558"/>
      <c r="V33" s="554"/>
      <c r="W33" s="559"/>
      <c r="X33" s="579"/>
      <c r="Y33" s="580"/>
      <c r="Z33" s="581"/>
      <c r="AA33" s="586"/>
      <c r="AB33" s="586"/>
      <c r="AC33" s="586"/>
      <c r="AD33" s="586"/>
      <c r="AE33" s="586"/>
      <c r="AF33" s="586"/>
      <c r="AG33" s="586"/>
      <c r="AH33" s="583"/>
      <c r="AI33" s="586"/>
      <c r="AJ33" s="586"/>
      <c r="AK33" s="586"/>
      <c r="AL33" s="586"/>
      <c r="AM33" s="586"/>
      <c r="AN33" s="586"/>
      <c r="AO33" s="586"/>
      <c r="AP33" s="585"/>
      <c r="AQ33" s="586"/>
      <c r="AR33" s="586"/>
      <c r="AS33" s="586"/>
      <c r="AT33" s="586"/>
      <c r="AU33" s="586"/>
      <c r="AV33" s="586"/>
      <c r="AW33" s="586"/>
      <c r="AX33" s="356" t="s">
        <v>221</v>
      </c>
    </row>
    <row r="34" spans="1:50" ht="60" x14ac:dyDescent="0.25">
      <c r="A34" s="524" t="s">
        <v>110</v>
      </c>
      <c r="B34" s="193" t="str">
        <f>VLOOKUP(Table119[[#This Row],[Course]],'TSD-Data'!$A$1:$G$95,7,FALSE)</f>
        <v>N4</v>
      </c>
      <c r="C34" s="357" t="s">
        <v>30</v>
      </c>
      <c r="D34" s="487" t="str">
        <f>VLOOKUP(Table119[[#This Row],[Course]],'TSD-Data'!$A$1:$G$90,2,FALSE)</f>
        <v>A-493-2501</v>
      </c>
      <c r="E34" s="193" t="str">
        <f>VLOOKUP(Table119[[#This Row],[Course]],'TSD-Data'!$A$1:$G$90,3,FALSE)</f>
        <v>05ZE</v>
      </c>
      <c r="F34" s="193">
        <v>1085</v>
      </c>
      <c r="G34" s="193">
        <f>VLOOKUP(Table119[[#This Row],[Course]],'TSD-Data'!$A$1:$G$90,4,FALSE)</f>
        <v>30</v>
      </c>
      <c r="H34" s="243">
        <f>Table119[[#This Row],[FY26 FLT Quota Need]]/Table119[[#This Row],[FY26 Quota Per course]]</f>
        <v>36.166666666666664</v>
      </c>
      <c r="I34" s="237">
        <f>ROUNDUP(Table119[[#This Row],[FY26 Courses Needed]],0)</f>
        <v>37</v>
      </c>
      <c r="J34" s="340">
        <f>COUNTIF(Table2[Course Title],Table119[[#This Row],[Course]])</f>
        <v>31</v>
      </c>
      <c r="K34" s="289">
        <f>VLOOKUP(Table119[[#This Row],[Course]],'TSD-Data'!$A$1:$G$90,6,FALSE)</f>
        <v>8</v>
      </c>
      <c r="L34" s="289">
        <f>Table119[[#This Row],[FY26 NSETC Course '# projections]]*Table119[[#This Row],[FY26 Hours Per Course]]</f>
        <v>248</v>
      </c>
      <c r="M34" s="523">
        <f>Table119[[#This Row],[FY26 NSETC Course '# projections]]-Table119[[#This Row],[FY26 Courses Needed Round UP]]</f>
        <v>-6</v>
      </c>
      <c r="N34" s="290">
        <f t="shared" si="0"/>
        <v>0.8571428571428571</v>
      </c>
      <c r="O34" s="238"/>
      <c r="P34" s="490">
        <v>20</v>
      </c>
      <c r="Q34" s="490">
        <v>30</v>
      </c>
      <c r="R34" s="496">
        <v>318</v>
      </c>
      <c r="S34" s="526">
        <v>0</v>
      </c>
      <c r="T34" s="496">
        <v>58</v>
      </c>
      <c r="U34" s="495">
        <f>(Table119[[#This Row],[FY25 Grads]]+Table119[[#This Row],[FY25 Fails]])/Table119[[#This Row],[FY25 Total Courses]]</f>
        <v>15.9</v>
      </c>
      <c r="V34" s="496">
        <v>987</v>
      </c>
      <c r="W34" s="497">
        <f t="shared" si="1"/>
        <v>0.32218844984802431</v>
      </c>
      <c r="X34" s="579">
        <v>1323</v>
      </c>
      <c r="Y34" s="579">
        <v>45</v>
      </c>
      <c r="Z34" s="581"/>
      <c r="AA34" s="587">
        <v>21</v>
      </c>
      <c r="AB34" s="588">
        <v>25</v>
      </c>
      <c r="AC34" s="589">
        <v>406</v>
      </c>
      <c r="AD34" s="589">
        <v>0</v>
      </c>
      <c r="AE34" s="505">
        <f>AVERAGE(AC34+AD34)/AA34</f>
        <v>19.333333333333332</v>
      </c>
      <c r="AF34" s="506">
        <v>1440</v>
      </c>
      <c r="AG34" s="507">
        <f>SUM(AC34+AD34)/AF34</f>
        <v>0.28194444444444444</v>
      </c>
      <c r="AH34" s="583"/>
      <c r="AI34" s="590">
        <v>21</v>
      </c>
      <c r="AJ34" s="490">
        <v>25</v>
      </c>
      <c r="AK34" s="496">
        <v>269</v>
      </c>
      <c r="AL34" s="496">
        <v>0</v>
      </c>
      <c r="AM34" s="509">
        <f>AVERAGE(AK34+AL34)/AI34</f>
        <v>12.80952380952381</v>
      </c>
      <c r="AN34" s="527">
        <v>575</v>
      </c>
      <c r="AO34" s="507">
        <f>SUM(AK34+AL34)/AN34</f>
        <v>0.46782608695652173</v>
      </c>
      <c r="AP34" s="585"/>
      <c r="AQ34" s="582">
        <v>20</v>
      </c>
      <c r="AR34" s="512">
        <v>25</v>
      </c>
      <c r="AS34" s="513">
        <v>303</v>
      </c>
      <c r="AT34" s="513">
        <v>0</v>
      </c>
      <c r="AU34" s="514">
        <v>15.15</v>
      </c>
      <c r="AV34" s="515">
        <v>275</v>
      </c>
      <c r="AW34" s="516">
        <f>SUM(AS34+AT34)/AV34</f>
        <v>1.1018181818181818</v>
      </c>
      <c r="AX34" s="524" t="s">
        <v>110</v>
      </c>
    </row>
    <row r="35" spans="1:50" ht="75" x14ac:dyDescent="0.25">
      <c r="A35" s="535" t="s">
        <v>113</v>
      </c>
      <c r="B35" s="193" t="str">
        <f>VLOOKUP(Table119[[#This Row],[Course]],'TSD-Data'!$A$1:$G$95,7,FALSE)</f>
        <v>N8</v>
      </c>
      <c r="C35" s="193" t="s">
        <v>25</v>
      </c>
      <c r="D35" s="487" t="str">
        <f>VLOOKUP(Table119[[#This Row],[Course]],'TSD-Data'!$A$1:$G$90,2,FALSE)</f>
        <v>A-570-0100</v>
      </c>
      <c r="E35" s="193" t="str">
        <f>VLOOKUP(Table119[[#This Row],[Course]],'TSD-Data'!$A$1:$G$90,3,FALSE)</f>
        <v>18B7</v>
      </c>
      <c r="F35" s="193">
        <v>804</v>
      </c>
      <c r="G35" s="193">
        <f>VLOOKUP(Table119[[#This Row],[Course]],'TSD-Data'!$A$1:$G$90,4,FALSE)</f>
        <v>45</v>
      </c>
      <c r="H35" s="243">
        <f>Table119[[#This Row],[FY26 FLT Quota Need]]/Table119[[#This Row],[FY26 Quota Per course]]</f>
        <v>17.866666666666667</v>
      </c>
      <c r="I35" s="237">
        <f>ROUNDUP(Table119[[#This Row],[FY26 Courses Needed]],0)</f>
        <v>18</v>
      </c>
      <c r="J35" s="340">
        <f>COUNTIF(Table2[Course Title],Table119[[#This Row],[Course]])</f>
        <v>17</v>
      </c>
      <c r="K35" s="289">
        <f>VLOOKUP(Table119[[#This Row],[Course]],'TSD-Data'!$A$1:$G$90,6,FALSE)</f>
        <v>16</v>
      </c>
      <c r="L35" s="489">
        <f>Table119[[#This Row],[FY26 NSETC Course '# projections]]*Table119[[#This Row],[FY26 Hours Per Course]]</f>
        <v>272</v>
      </c>
      <c r="M35" s="523">
        <f>Table119[[#This Row],[FY26 NSETC Course '# projections]]-Table119[[#This Row],[FY26 Courses Needed Round UP]]</f>
        <v>-1</v>
      </c>
      <c r="N35" s="290">
        <f t="shared" ref="N35:N60" si="8">IFERROR(J35*G35/F35, "N/A")</f>
        <v>0.95149253731343286</v>
      </c>
      <c r="O35" s="238"/>
      <c r="P35" s="490">
        <v>18</v>
      </c>
      <c r="Q35" s="491">
        <v>45</v>
      </c>
      <c r="R35" s="538">
        <v>300</v>
      </c>
      <c r="S35" s="526">
        <v>39</v>
      </c>
      <c r="T35" s="494">
        <v>81</v>
      </c>
      <c r="U35" s="495">
        <f>(Table119[[#This Row],[FY25 Grads]]+Table119[[#This Row],[FY25 Fails]])/Table119[[#This Row],[FY25 Total Courses]]</f>
        <v>18.833333333333332</v>
      </c>
      <c r="V35" s="496">
        <v>808</v>
      </c>
      <c r="W35" s="497">
        <f t="shared" si="1"/>
        <v>0.41955445544554454</v>
      </c>
      <c r="X35" s="579">
        <v>659</v>
      </c>
      <c r="Y35" s="580">
        <v>22</v>
      </c>
      <c r="Z35" s="581"/>
      <c r="AA35" s="582">
        <v>15</v>
      </c>
      <c r="AB35" s="588">
        <v>30</v>
      </c>
      <c r="AC35" s="591">
        <v>309</v>
      </c>
      <c r="AD35" s="527">
        <v>29</v>
      </c>
      <c r="AE35" s="505">
        <f>AVERAGE(AC35+AD35)/AA35</f>
        <v>22.533333333333335</v>
      </c>
      <c r="AF35" s="506">
        <v>595</v>
      </c>
      <c r="AG35" s="507">
        <f>SUM(AC35+AD35)/AF35</f>
        <v>0.56806722689075628</v>
      </c>
      <c r="AH35" s="583"/>
      <c r="AI35" s="584">
        <v>8</v>
      </c>
      <c r="AJ35" s="541">
        <v>30</v>
      </c>
      <c r="AK35" s="494">
        <v>173</v>
      </c>
      <c r="AL35" s="494">
        <v>24</v>
      </c>
      <c r="AM35" s="509">
        <f>AVERAGE(AK35+AL35)/AI35</f>
        <v>24.625</v>
      </c>
      <c r="AN35" s="539">
        <v>220</v>
      </c>
      <c r="AO35" s="507">
        <f>SUM(AK35+AL35)/AN35</f>
        <v>0.8954545454545455</v>
      </c>
      <c r="AP35" s="585"/>
      <c r="AQ35" s="582">
        <v>10</v>
      </c>
      <c r="AR35" s="512">
        <v>30</v>
      </c>
      <c r="AS35" s="513">
        <v>244</v>
      </c>
      <c r="AT35" s="513">
        <v>22</v>
      </c>
      <c r="AU35" s="522">
        <f>(Table119[[#This Row],[FY22 Grads]]+Table119[[#This Row],[FY22 Fails]])/Table119[[#This Row],[FY22 Total Courses]]</f>
        <v>26.6</v>
      </c>
      <c r="AV35" s="515">
        <v>305</v>
      </c>
      <c r="AW35" s="592">
        <f>SUM(AS35+AT35)/AV35</f>
        <v>0.87213114754098364</v>
      </c>
      <c r="AX35" s="535" t="s">
        <v>113</v>
      </c>
    </row>
    <row r="36" spans="1:50" ht="25.5" x14ac:dyDescent="0.25">
      <c r="A36" s="356" t="s">
        <v>116</v>
      </c>
      <c r="B36" s="193" t="str">
        <f>VLOOKUP(Table119[[#This Row],[Course]],'TSD-Data'!$A$1:$G$95,7,FALSE)</f>
        <v>N3</v>
      </c>
      <c r="C36" s="357" t="s">
        <v>30</v>
      </c>
      <c r="D36" s="487" t="str">
        <f>VLOOKUP(Table119[[#This Row],[Course]],'TSD-Data'!$A$1:$G$90,2,FALSE)</f>
        <v>A-493-0072</v>
      </c>
      <c r="E36" s="193" t="str">
        <f>VLOOKUP(Table119[[#This Row],[Course]],'TSD-Data'!$A$1:$G$90,3,FALSE)</f>
        <v>713U</v>
      </c>
      <c r="F36" s="518">
        <v>1671</v>
      </c>
      <c r="G36" s="193">
        <f>VLOOKUP(Table119[[#This Row],[Course]],'TSD-Data'!$A$1:$G$90,4,FALSE)</f>
        <v>30</v>
      </c>
      <c r="H36" s="243">
        <f>Table119[[#This Row],[FY26 FLT Quota Need]]/Table119[[#This Row],[FY26 Quota Per course]]</f>
        <v>55.7</v>
      </c>
      <c r="I36" s="237">
        <f>ROUNDUP(Table119[[#This Row],[FY26 Courses Needed]],0)</f>
        <v>56</v>
      </c>
      <c r="J36" s="340">
        <f>COUNTIF(Table2[Course Title],Table119[[#This Row],[Course]])</f>
        <v>25</v>
      </c>
      <c r="K36" s="289">
        <f>VLOOKUP(Table119[[#This Row],[Course]],'TSD-Data'!$A$1:$G$90,6,FALSE)</f>
        <v>40</v>
      </c>
      <c r="L36" s="489">
        <f>Table119[[#This Row],[FY26 NSETC Course '# projections]]*Table119[[#This Row],[FY26 Hours Per Course]]</f>
        <v>1000</v>
      </c>
      <c r="M36" s="523">
        <f>Table119[[#This Row],[FY26 NSETC Course '# projections]]-Table119[[#This Row],[FY26 Courses Needed Round UP]]</f>
        <v>-31</v>
      </c>
      <c r="N36" s="290">
        <f t="shared" si="8"/>
        <v>0.44883303411131059</v>
      </c>
      <c r="O36" s="238"/>
      <c r="P36" s="490">
        <v>25</v>
      </c>
      <c r="Q36" s="491">
        <v>30</v>
      </c>
      <c r="R36" s="538">
        <v>530</v>
      </c>
      <c r="S36" s="526">
        <v>5</v>
      </c>
      <c r="T36" s="494">
        <v>97</v>
      </c>
      <c r="U36" s="495">
        <f>(Table119[[#This Row],[FY25 Grads]]+Table119[[#This Row],[FY25 Fails]])/Table119[[#This Row],[FY25 Total Courses]]</f>
        <v>21.4</v>
      </c>
      <c r="V36" s="496">
        <v>1437</v>
      </c>
      <c r="W36" s="497">
        <f t="shared" si="1"/>
        <v>0.37230340988169797</v>
      </c>
      <c r="X36" s="579">
        <v>1043</v>
      </c>
      <c r="Y36" s="580">
        <v>35</v>
      </c>
      <c r="Z36" s="581"/>
      <c r="AA36" s="582">
        <v>25</v>
      </c>
      <c r="AB36" s="588">
        <v>30</v>
      </c>
      <c r="AC36" s="591">
        <v>553</v>
      </c>
      <c r="AD36" s="527">
        <v>1</v>
      </c>
      <c r="AE36" s="505">
        <f>AVERAGE(AC36+AD36)/AA36</f>
        <v>22.16</v>
      </c>
      <c r="AF36" s="506">
        <v>1181</v>
      </c>
      <c r="AG36" s="507">
        <f>SUM(AC36+AD36)/AF36</f>
        <v>0.4690939881456393</v>
      </c>
      <c r="AH36" s="583"/>
      <c r="AI36" s="584">
        <v>24</v>
      </c>
      <c r="AJ36" s="541">
        <v>30</v>
      </c>
      <c r="AK36" s="494">
        <v>596</v>
      </c>
      <c r="AL36" s="494">
        <v>0</v>
      </c>
      <c r="AM36" s="509">
        <f>AVERAGE(AK36+AL36)/AI36</f>
        <v>24.833333333333332</v>
      </c>
      <c r="AN36" s="539">
        <v>683</v>
      </c>
      <c r="AO36" s="507">
        <f>SUM(AK36+AL36)/AN36</f>
        <v>0.87262079062957543</v>
      </c>
      <c r="AP36" s="585"/>
      <c r="AQ36" s="582">
        <v>22</v>
      </c>
      <c r="AR36" s="512">
        <v>30</v>
      </c>
      <c r="AS36" s="513">
        <v>535</v>
      </c>
      <c r="AT36" s="513">
        <v>1</v>
      </c>
      <c r="AU36" s="522">
        <f>(Table119[[#This Row],[FY22 Grads]]+Table119[[#This Row],[FY22 Fails]])/Table119[[#This Row],[FY22 Total Courses]]</f>
        <v>24.363636363636363</v>
      </c>
      <c r="AV36" s="515">
        <v>663</v>
      </c>
      <c r="AW36" s="507">
        <f>SUM(AS36+AT36)/AV36</f>
        <v>0.80844645550527905</v>
      </c>
      <c r="AX36" s="356" t="s">
        <v>116</v>
      </c>
    </row>
    <row r="37" spans="1:50" ht="26.25" x14ac:dyDescent="0.25">
      <c r="A37" s="356" t="s">
        <v>391</v>
      </c>
      <c r="B37" s="193" t="str">
        <f>VLOOKUP(Table119[[#This Row],[Course]],'TSD-Data'!$A$1:$G$95,7,FALSE)</f>
        <v>N8</v>
      </c>
      <c r="C37" s="193" t="s">
        <v>25</v>
      </c>
      <c r="D37" s="487" t="str">
        <f>VLOOKUP(Table119[[#This Row],[Course]],'TSD-Data'!$A$1:$G$90,2,FALSE)</f>
        <v>A-493-3005</v>
      </c>
      <c r="E37" s="193" t="str">
        <f>VLOOKUP(Table119[[#This Row],[Course]],'TSD-Data'!$A$1:$G$90,3,FALSE)</f>
        <v>31V7</v>
      </c>
      <c r="F37" s="340">
        <v>0</v>
      </c>
      <c r="G37" s="193">
        <f>VLOOKUP(Table119[[#This Row],[Course]],'TSD-Data'!$A$1:$G$90,4,FALSE)</f>
        <v>1000</v>
      </c>
      <c r="H37" s="243">
        <f>Table119[[#This Row],[FY26 FLT Quota Need]]/Table119[[#This Row],[FY26 Quota Per course]]</f>
        <v>0</v>
      </c>
      <c r="I37" s="237">
        <f>ROUNDUP(Table119[[#This Row],[FY26 Courses Needed]],0)</f>
        <v>0</v>
      </c>
      <c r="J37" s="340">
        <f>COUNTIF(Table2[Course Title],Table119[[#This Row],[Course]])</f>
        <v>6</v>
      </c>
      <c r="K37" s="289">
        <f>VLOOKUP(Table119[[#This Row],[Course]],'TSD-Data'!$A$1:$G$90,6,FALSE)</f>
        <v>2</v>
      </c>
      <c r="L37" s="553">
        <f>Table119[[#This Row],[FY26 NSETC Course '# projections]]*Table119[[#This Row],[FY26 Hours Per Course]]</f>
        <v>12</v>
      </c>
      <c r="M37" s="553">
        <f>Table119[[#This Row],[FY26 NSETC Course '# projections]]-Table119[[#This Row],[FY26 Courses Needed Round UP]]</f>
        <v>6</v>
      </c>
      <c r="N37" s="290" t="str">
        <f t="shared" si="8"/>
        <v>N/A</v>
      </c>
      <c r="O37" s="238"/>
      <c r="P37" s="490">
        <v>3</v>
      </c>
      <c r="Q37" s="593">
        <v>100</v>
      </c>
      <c r="R37" s="538">
        <v>208</v>
      </c>
      <c r="S37" s="526">
        <v>0</v>
      </c>
      <c r="T37" s="494">
        <v>117</v>
      </c>
      <c r="U37" s="495">
        <f>(Table119[[#This Row],[FY25 Grads]]+Table119[[#This Row],[FY25 Fails]])/Table119[[#This Row],[FY25 Total Courses]]</f>
        <v>69.333333333333329</v>
      </c>
      <c r="V37" s="496">
        <v>0</v>
      </c>
      <c r="W37" s="497" t="str">
        <f t="shared" si="1"/>
        <v>N/A</v>
      </c>
      <c r="X37" s="560"/>
      <c r="Y37" s="580"/>
      <c r="Z37" s="581"/>
      <c r="AA37" s="594"/>
      <c r="AB37" s="586"/>
      <c r="AC37" s="595"/>
      <c r="AD37" s="596"/>
      <c r="AE37" s="597"/>
      <c r="AF37" s="598"/>
      <c r="AG37" s="599"/>
      <c r="AH37" s="600"/>
      <c r="AI37" s="601"/>
      <c r="AJ37" s="602"/>
      <c r="AK37" s="603"/>
      <c r="AL37" s="603"/>
      <c r="AM37" s="597"/>
      <c r="AN37" s="604"/>
      <c r="AO37" s="599"/>
      <c r="AP37" s="585"/>
      <c r="AQ37" s="594"/>
      <c r="AR37" s="596"/>
      <c r="AS37" s="596"/>
      <c r="AT37" s="596"/>
      <c r="AU37" s="605"/>
      <c r="AV37" s="606"/>
      <c r="AW37" s="599"/>
      <c r="AX37" s="356" t="s">
        <v>391</v>
      </c>
    </row>
    <row r="38" spans="1:50" ht="38.25" x14ac:dyDescent="0.25">
      <c r="A38" s="356" t="s">
        <v>392</v>
      </c>
      <c r="B38" s="193" t="str">
        <f>VLOOKUP(Table119[[#This Row],[Course]],'TSD-Data'!$A$1:$G$95,7,FALSE)</f>
        <v>N8</v>
      </c>
      <c r="C38" s="193" t="s">
        <v>25</v>
      </c>
      <c r="D38" s="487" t="str">
        <f>VLOOKUP(Table119[[#This Row],[Course]],'TSD-Data'!$A$1:$G$90,2,FALSE)</f>
        <v>A-493-3004</v>
      </c>
      <c r="E38" s="193" t="str">
        <f>VLOOKUP(Table119[[#This Row],[Course]],'TSD-Data'!$A$1:$G$90,3,FALSE)</f>
        <v>31V6</v>
      </c>
      <c r="F38" s="340">
        <v>0</v>
      </c>
      <c r="G38" s="193">
        <f>VLOOKUP(Table119[[#This Row],[Course]],'TSD-Data'!$A$1:$G$90,4,FALSE)</f>
        <v>1000</v>
      </c>
      <c r="H38" s="243">
        <f>Table119[[#This Row],[FY26 FLT Quota Need]]/Table119[[#This Row],[FY26 Quota Per course]]</f>
        <v>0</v>
      </c>
      <c r="I38" s="237">
        <f>ROUNDUP(Table119[[#This Row],[FY26 Courses Needed]],0)</f>
        <v>0</v>
      </c>
      <c r="J38" s="340">
        <f>COUNTIF(Table2[Course Title],Table119[[#This Row],[Course]])</f>
        <v>6</v>
      </c>
      <c r="K38" s="289">
        <f>VLOOKUP(Table119[[#This Row],[Course]],'TSD-Data'!$A$1:$G$90,6,FALSE)</f>
        <v>1.5</v>
      </c>
      <c r="L38" s="553">
        <f>Table119[[#This Row],[FY26 NSETC Course '# projections]]*Table119[[#This Row],[FY26 Hours Per Course]]</f>
        <v>9</v>
      </c>
      <c r="M38" s="553">
        <f>Table119[[#This Row],[FY26 NSETC Course '# projections]]-Table119[[#This Row],[FY26 Courses Needed Round UP]]</f>
        <v>6</v>
      </c>
      <c r="N38" s="290" t="str">
        <f t="shared" si="8"/>
        <v>N/A</v>
      </c>
      <c r="O38" s="238"/>
      <c r="P38" s="490">
        <v>4</v>
      </c>
      <c r="Q38" s="593">
        <v>100</v>
      </c>
      <c r="R38" s="538">
        <v>258</v>
      </c>
      <c r="S38" s="526">
        <v>0</v>
      </c>
      <c r="T38" s="494">
        <v>135</v>
      </c>
      <c r="U38" s="495">
        <f>(Table119[[#This Row],[FY25 Grads]]+Table119[[#This Row],[FY25 Fails]])/Table119[[#This Row],[FY25 Total Courses]]</f>
        <v>64.5</v>
      </c>
      <c r="V38" s="496">
        <v>0</v>
      </c>
      <c r="W38" s="497" t="str">
        <f t="shared" si="1"/>
        <v>N/A</v>
      </c>
      <c r="X38" s="560"/>
      <c r="Y38" s="580"/>
      <c r="Z38" s="581"/>
      <c r="AA38" s="594"/>
      <c r="AB38" s="586"/>
      <c r="AC38" s="595"/>
      <c r="AD38" s="596"/>
      <c r="AE38" s="597"/>
      <c r="AF38" s="598"/>
      <c r="AG38" s="599"/>
      <c r="AH38" s="600"/>
      <c r="AI38" s="601"/>
      <c r="AJ38" s="602"/>
      <c r="AK38" s="603"/>
      <c r="AL38" s="603"/>
      <c r="AM38" s="597"/>
      <c r="AN38" s="604"/>
      <c r="AO38" s="599"/>
      <c r="AP38" s="585"/>
      <c r="AQ38" s="594"/>
      <c r="AR38" s="596"/>
      <c r="AS38" s="596"/>
      <c r="AT38" s="596"/>
      <c r="AU38" s="605"/>
      <c r="AV38" s="606"/>
      <c r="AW38" s="599"/>
      <c r="AX38" s="356" t="s">
        <v>392</v>
      </c>
    </row>
    <row r="39" spans="1:50" ht="38.25" x14ac:dyDescent="0.25">
      <c r="A39" s="356" t="s">
        <v>393</v>
      </c>
      <c r="B39" s="193" t="str">
        <f>VLOOKUP(Table119[[#This Row],[Course]],'TSD-Data'!$A$1:$G$95,7,FALSE)</f>
        <v>N8</v>
      </c>
      <c r="C39" s="193" t="s">
        <v>25</v>
      </c>
      <c r="D39" s="487" t="str">
        <f>VLOOKUP(Table119[[#This Row],[Course]],'TSD-Data'!$A$1:$G$90,2,FALSE)</f>
        <v>A-493-3011</v>
      </c>
      <c r="E39" s="193" t="str">
        <f>VLOOKUP(Table119[[#This Row],[Course]],'TSD-Data'!$A$1:$G$90,3,FALSE)</f>
        <v>31VD</v>
      </c>
      <c r="F39" s="340">
        <v>0</v>
      </c>
      <c r="G39" s="193">
        <f>VLOOKUP(Table119[[#This Row],[Course]],'TSD-Data'!$A$1:$G$90,4,FALSE)</f>
        <v>1000</v>
      </c>
      <c r="H39" s="243">
        <f>Table119[[#This Row],[FY26 FLT Quota Need]]/Table119[[#This Row],[FY26 Quota Per course]]</f>
        <v>0</v>
      </c>
      <c r="I39" s="237">
        <f>ROUNDUP(Table119[[#This Row],[FY26 Courses Needed]],0)</f>
        <v>0</v>
      </c>
      <c r="J39" s="340">
        <f>COUNTIF(Table2[Course Title],Table119[[#This Row],[Course]])</f>
        <v>6</v>
      </c>
      <c r="K39" s="289">
        <f>VLOOKUP(Table119[[#This Row],[Course]],'TSD-Data'!$A$1:$G$90,6,FALSE)</f>
        <v>2.5</v>
      </c>
      <c r="L39" s="553">
        <f>Table119[[#This Row],[FY26 NSETC Course '# projections]]*Table119[[#This Row],[FY26 Hours Per Course]]</f>
        <v>15</v>
      </c>
      <c r="M39" s="553">
        <f>Table119[[#This Row],[FY26 NSETC Course '# projections]]-Table119[[#This Row],[FY26 Courses Needed Round UP]]</f>
        <v>6</v>
      </c>
      <c r="N39" s="290" t="str">
        <f t="shared" si="8"/>
        <v>N/A</v>
      </c>
      <c r="O39" s="238"/>
      <c r="P39" s="490">
        <v>4</v>
      </c>
      <c r="Q39" s="593">
        <v>100</v>
      </c>
      <c r="R39" s="538">
        <v>270</v>
      </c>
      <c r="S39" s="526">
        <v>0</v>
      </c>
      <c r="T39" s="494">
        <v>146</v>
      </c>
      <c r="U39" s="495">
        <f>(Table119[[#This Row],[FY25 Grads]]+Table119[[#This Row],[FY25 Fails]])/Table119[[#This Row],[FY25 Total Courses]]</f>
        <v>67.5</v>
      </c>
      <c r="V39" s="496">
        <v>0</v>
      </c>
      <c r="W39" s="497" t="str">
        <f t="shared" si="1"/>
        <v>N/A</v>
      </c>
      <c r="X39" s="560"/>
      <c r="Y39" s="580"/>
      <c r="Z39" s="581"/>
      <c r="AA39" s="594"/>
      <c r="AB39" s="586"/>
      <c r="AC39" s="595"/>
      <c r="AD39" s="596"/>
      <c r="AE39" s="597"/>
      <c r="AF39" s="598"/>
      <c r="AG39" s="599"/>
      <c r="AH39" s="600"/>
      <c r="AI39" s="601"/>
      <c r="AJ39" s="602"/>
      <c r="AK39" s="603"/>
      <c r="AL39" s="603"/>
      <c r="AM39" s="597"/>
      <c r="AN39" s="604"/>
      <c r="AO39" s="599"/>
      <c r="AP39" s="585"/>
      <c r="AQ39" s="594"/>
      <c r="AR39" s="596"/>
      <c r="AS39" s="596"/>
      <c r="AT39" s="596"/>
      <c r="AU39" s="605"/>
      <c r="AV39" s="606"/>
      <c r="AW39" s="599"/>
      <c r="AX39" s="356" t="s">
        <v>393</v>
      </c>
    </row>
    <row r="40" spans="1:50" ht="38.25" x14ac:dyDescent="0.25">
      <c r="A40" s="356" t="s">
        <v>394</v>
      </c>
      <c r="B40" s="193" t="str">
        <f>VLOOKUP(Table119[[#This Row],[Course]],'TSD-Data'!$A$1:$G$95,7,FALSE)</f>
        <v>N8</v>
      </c>
      <c r="C40" s="193" t="s">
        <v>25</v>
      </c>
      <c r="D40" s="487" t="str">
        <f>VLOOKUP(Table119[[#This Row],[Course]],'TSD-Data'!$A$1:$G$90,2,FALSE)</f>
        <v>A-493-3010</v>
      </c>
      <c r="E40" s="193" t="str">
        <f>VLOOKUP(Table119[[#This Row],[Course]],'TSD-Data'!$A$1:$G$90,3,FALSE)</f>
        <v>31VC</v>
      </c>
      <c r="F40" s="340">
        <v>0</v>
      </c>
      <c r="G40" s="193">
        <f>VLOOKUP(Table119[[#This Row],[Course]],'TSD-Data'!$A$1:$G$90,4,FALSE)</f>
        <v>1000</v>
      </c>
      <c r="H40" s="243">
        <f>Table119[[#This Row],[FY26 FLT Quota Need]]/Table119[[#This Row],[FY26 Quota Per course]]</f>
        <v>0</v>
      </c>
      <c r="I40" s="237">
        <f>ROUNDUP(Table119[[#This Row],[FY26 Courses Needed]],0)</f>
        <v>0</v>
      </c>
      <c r="J40" s="340">
        <f>COUNTIF(Table2[Course Title],Table119[[#This Row],[Course]])</f>
        <v>6</v>
      </c>
      <c r="K40" s="289">
        <f>VLOOKUP(Table119[[#This Row],[Course]],'TSD-Data'!$A$1:$G$90,6,FALSE)</f>
        <v>3.5</v>
      </c>
      <c r="L40" s="553">
        <f>Table119[[#This Row],[FY26 NSETC Course '# projections]]*Table119[[#This Row],[FY26 Hours Per Course]]</f>
        <v>21</v>
      </c>
      <c r="M40" s="553">
        <f>Table119[[#This Row],[FY26 NSETC Course '# projections]]-Table119[[#This Row],[FY26 Courses Needed Round UP]]</f>
        <v>6</v>
      </c>
      <c r="N40" s="290" t="str">
        <f t="shared" si="8"/>
        <v>N/A</v>
      </c>
      <c r="O40" s="238"/>
      <c r="P40" s="490">
        <v>5</v>
      </c>
      <c r="Q40" s="593">
        <v>100</v>
      </c>
      <c r="R40" s="538">
        <v>368</v>
      </c>
      <c r="S40" s="526">
        <v>0</v>
      </c>
      <c r="T40" s="494">
        <v>134</v>
      </c>
      <c r="U40" s="495">
        <f>(Table119[[#This Row],[FY25 Grads]]+Table119[[#This Row],[FY25 Fails]])/Table119[[#This Row],[FY25 Total Courses]]</f>
        <v>73.599999999999994</v>
      </c>
      <c r="V40" s="496">
        <v>0</v>
      </c>
      <c r="W40" s="497" t="str">
        <f t="shared" si="1"/>
        <v>N/A</v>
      </c>
      <c r="X40" s="560"/>
      <c r="Y40" s="580"/>
      <c r="Z40" s="581"/>
      <c r="AA40" s="594"/>
      <c r="AB40" s="586"/>
      <c r="AC40" s="595"/>
      <c r="AD40" s="596"/>
      <c r="AE40" s="597"/>
      <c r="AF40" s="598"/>
      <c r="AG40" s="599"/>
      <c r="AH40" s="600"/>
      <c r="AI40" s="601"/>
      <c r="AJ40" s="602"/>
      <c r="AK40" s="603"/>
      <c r="AL40" s="603"/>
      <c r="AM40" s="597"/>
      <c r="AN40" s="604"/>
      <c r="AO40" s="599"/>
      <c r="AP40" s="585"/>
      <c r="AQ40" s="594"/>
      <c r="AR40" s="596"/>
      <c r="AS40" s="596"/>
      <c r="AT40" s="596"/>
      <c r="AU40" s="605"/>
      <c r="AV40" s="606"/>
      <c r="AW40" s="599"/>
      <c r="AX40" s="356" t="s">
        <v>394</v>
      </c>
    </row>
    <row r="41" spans="1:50" ht="38.25" x14ac:dyDescent="0.25">
      <c r="A41" s="356" t="s">
        <v>395</v>
      </c>
      <c r="B41" s="193" t="str">
        <f>VLOOKUP(Table119[[#This Row],[Course]],'TSD-Data'!$A$1:$G$95,7,FALSE)</f>
        <v>N8</v>
      </c>
      <c r="C41" s="193" t="s">
        <v>25</v>
      </c>
      <c r="D41" s="487" t="str">
        <f>VLOOKUP(Table119[[#This Row],[Course]],'TSD-Data'!$A$1:$G$90,2,FALSE)</f>
        <v>A-493-3002</v>
      </c>
      <c r="E41" s="193" t="str">
        <f>VLOOKUP(Table119[[#This Row],[Course]],'TSD-Data'!$A$1:$G$90,3,FALSE)</f>
        <v>31V4</v>
      </c>
      <c r="F41" s="340">
        <v>0</v>
      </c>
      <c r="G41" s="193">
        <f>VLOOKUP(Table119[[#This Row],[Course]],'TSD-Data'!$A$1:$G$90,4,FALSE)</f>
        <v>1000</v>
      </c>
      <c r="H41" s="243">
        <f>Table119[[#This Row],[FY26 FLT Quota Need]]/Table119[[#This Row],[FY26 Quota Per course]]</f>
        <v>0</v>
      </c>
      <c r="I41" s="237">
        <f>ROUNDUP(Table119[[#This Row],[FY26 Courses Needed]],0)</f>
        <v>0</v>
      </c>
      <c r="J41" s="340">
        <f>COUNTIF(Table2[Course Title],Table119[[#This Row],[Course]])</f>
        <v>6</v>
      </c>
      <c r="K41" s="289">
        <f>VLOOKUP(Table119[[#This Row],[Course]],'TSD-Data'!$A$1:$G$90,6,FALSE)</f>
        <v>4</v>
      </c>
      <c r="L41" s="553">
        <f>Table119[[#This Row],[FY26 NSETC Course '# projections]]*Table119[[#This Row],[FY26 Hours Per Course]]</f>
        <v>24</v>
      </c>
      <c r="M41" s="553">
        <f>Table119[[#This Row],[FY26 NSETC Course '# projections]]-Table119[[#This Row],[FY26 Courses Needed Round UP]]</f>
        <v>6</v>
      </c>
      <c r="N41" s="290" t="str">
        <f t="shared" si="8"/>
        <v>N/A</v>
      </c>
      <c r="O41" s="238"/>
      <c r="P41" s="490">
        <v>4</v>
      </c>
      <c r="Q41" s="593">
        <v>100</v>
      </c>
      <c r="R41" s="538">
        <v>307</v>
      </c>
      <c r="S41" s="526">
        <v>0</v>
      </c>
      <c r="T41" s="494">
        <v>103</v>
      </c>
      <c r="U41" s="495">
        <f>(Table119[[#This Row],[FY25 Grads]]+Table119[[#This Row],[FY25 Fails]])/Table119[[#This Row],[FY25 Total Courses]]</f>
        <v>76.75</v>
      </c>
      <c r="V41" s="496">
        <v>0</v>
      </c>
      <c r="W41" s="497" t="str">
        <f t="shared" si="1"/>
        <v>N/A</v>
      </c>
      <c r="X41" s="560"/>
      <c r="Y41" s="580"/>
      <c r="Z41" s="581"/>
      <c r="AA41" s="594"/>
      <c r="AB41" s="586"/>
      <c r="AC41" s="595"/>
      <c r="AD41" s="596"/>
      <c r="AE41" s="597"/>
      <c r="AF41" s="598"/>
      <c r="AG41" s="599"/>
      <c r="AH41" s="600"/>
      <c r="AI41" s="601"/>
      <c r="AJ41" s="602"/>
      <c r="AK41" s="603"/>
      <c r="AL41" s="603"/>
      <c r="AM41" s="597"/>
      <c r="AN41" s="604"/>
      <c r="AO41" s="599"/>
      <c r="AP41" s="585"/>
      <c r="AQ41" s="594"/>
      <c r="AR41" s="596"/>
      <c r="AS41" s="596"/>
      <c r="AT41" s="596"/>
      <c r="AU41" s="605"/>
      <c r="AV41" s="606"/>
      <c r="AW41" s="599"/>
      <c r="AX41" s="356" t="s">
        <v>395</v>
      </c>
    </row>
    <row r="42" spans="1:50" ht="51" x14ac:dyDescent="0.25">
      <c r="A42" s="356" t="s">
        <v>401</v>
      </c>
      <c r="B42" s="193" t="str">
        <f>VLOOKUP(Table119[[#This Row],[Course]],'TSD-Data'!$A$1:$G$95,7,FALSE)</f>
        <v>N8</v>
      </c>
      <c r="C42" s="193" t="s">
        <v>25</v>
      </c>
      <c r="D42" s="487" t="str">
        <f>VLOOKUP(Table119[[#This Row],[Course]],'TSD-Data'!$A$1:$G$90,2,FALSE)</f>
        <v>A-493-3003</v>
      </c>
      <c r="E42" s="193" t="str">
        <f>VLOOKUP(Table119[[#This Row],[Course]],'TSD-Data'!$A$1:$G$90,3,FALSE)</f>
        <v>31V5</v>
      </c>
      <c r="F42" s="340">
        <v>0</v>
      </c>
      <c r="G42" s="193">
        <f>VLOOKUP(Table119[[#This Row],[Course]],'TSD-Data'!$A$1:$G$90,4,FALSE)</f>
        <v>1000</v>
      </c>
      <c r="H42" s="243">
        <f>Table119[[#This Row],[FY26 FLT Quota Need]]/Table119[[#This Row],[FY26 Quota Per course]]</f>
        <v>0</v>
      </c>
      <c r="I42" s="237">
        <f>ROUNDUP(Table119[[#This Row],[FY26 Courses Needed]],0)</f>
        <v>0</v>
      </c>
      <c r="J42" s="340">
        <f>COUNTIF(Table2[Course Title],Table119[[#This Row],[Course]])</f>
        <v>6</v>
      </c>
      <c r="K42" s="289">
        <f>VLOOKUP(Table119[[#This Row],[Course]],'TSD-Data'!$A$1:$G$90,6,FALSE)</f>
        <v>0.75</v>
      </c>
      <c r="L42" s="553">
        <f>Table119[[#This Row],[FY26 NSETC Course '# projections]]*Table119[[#This Row],[FY26 Hours Per Course]]</f>
        <v>4.5</v>
      </c>
      <c r="M42" s="553">
        <f>Table119[[#This Row],[FY26 NSETC Course '# projections]]-Table119[[#This Row],[FY26 Courses Needed Round UP]]</f>
        <v>6</v>
      </c>
      <c r="N42" s="290" t="str">
        <f t="shared" si="8"/>
        <v>N/A</v>
      </c>
      <c r="O42" s="238"/>
      <c r="P42" s="490">
        <v>4</v>
      </c>
      <c r="Q42" s="593">
        <v>100</v>
      </c>
      <c r="R42" s="538">
        <v>216</v>
      </c>
      <c r="S42" s="526">
        <v>0</v>
      </c>
      <c r="T42" s="494">
        <v>103</v>
      </c>
      <c r="U42" s="495">
        <f>(Table119[[#This Row],[FY25 Grads]]+Table119[[#This Row],[FY25 Fails]])/Table119[[#This Row],[FY25 Total Courses]]</f>
        <v>54</v>
      </c>
      <c r="V42" s="496">
        <v>0</v>
      </c>
      <c r="W42" s="497" t="str">
        <f t="shared" si="1"/>
        <v>N/A</v>
      </c>
      <c r="X42" s="560"/>
      <c r="Y42" s="580"/>
      <c r="Z42" s="581"/>
      <c r="AA42" s="594"/>
      <c r="AB42" s="586"/>
      <c r="AC42" s="595"/>
      <c r="AD42" s="596"/>
      <c r="AE42" s="597"/>
      <c r="AF42" s="598"/>
      <c r="AG42" s="599"/>
      <c r="AH42" s="600"/>
      <c r="AI42" s="601"/>
      <c r="AJ42" s="602"/>
      <c r="AK42" s="603"/>
      <c r="AL42" s="603"/>
      <c r="AM42" s="597"/>
      <c r="AN42" s="604"/>
      <c r="AO42" s="599"/>
      <c r="AP42" s="585"/>
      <c r="AQ42" s="594"/>
      <c r="AR42" s="596"/>
      <c r="AS42" s="596"/>
      <c r="AT42" s="596"/>
      <c r="AU42" s="605"/>
      <c r="AV42" s="606"/>
      <c r="AW42" s="599"/>
      <c r="AX42" s="356" t="s">
        <v>401</v>
      </c>
    </row>
    <row r="43" spans="1:50" ht="51" x14ac:dyDescent="0.25">
      <c r="A43" s="356" t="s">
        <v>402</v>
      </c>
      <c r="B43" s="193" t="str">
        <f>VLOOKUP(Table119[[#This Row],[Course]],'TSD-Data'!$A$1:$G$95,7,FALSE)</f>
        <v>N8</v>
      </c>
      <c r="C43" s="193" t="s">
        <v>25</v>
      </c>
      <c r="D43" s="487" t="str">
        <f>VLOOKUP(Table119[[#This Row],[Course]],'TSD-Data'!$A$1:$G$90,2,FALSE)</f>
        <v>A-493-3008</v>
      </c>
      <c r="E43" s="193" t="str">
        <f>VLOOKUP(Table119[[#This Row],[Course]],'TSD-Data'!$A$1:$G$90,3,FALSE)</f>
        <v>31VA</v>
      </c>
      <c r="F43" s="340">
        <v>0</v>
      </c>
      <c r="G43" s="193">
        <f>VLOOKUP(Table119[[#This Row],[Course]],'TSD-Data'!$A$1:$G$90,4,FALSE)</f>
        <v>1000</v>
      </c>
      <c r="H43" s="243">
        <f>Table119[[#This Row],[FY26 FLT Quota Need]]/Table119[[#This Row],[FY26 Quota Per course]]</f>
        <v>0</v>
      </c>
      <c r="I43" s="237">
        <f>ROUNDUP(Table119[[#This Row],[FY26 Courses Needed]],0)</f>
        <v>0</v>
      </c>
      <c r="J43" s="340">
        <f>COUNTIF(Table2[Course Title],Table119[[#This Row],[Course]])</f>
        <v>6</v>
      </c>
      <c r="K43" s="289">
        <f>VLOOKUP(Table119[[#This Row],[Course]],'TSD-Data'!$A$1:$G$90,6,FALSE)</f>
        <v>1</v>
      </c>
      <c r="L43" s="553">
        <f>Table119[[#This Row],[FY26 NSETC Course '# projections]]*Table119[[#This Row],[FY26 Hours Per Course]]</f>
        <v>6</v>
      </c>
      <c r="M43" s="553">
        <f>Table119[[#This Row],[FY26 NSETC Course '# projections]]-Table119[[#This Row],[FY26 Courses Needed Round UP]]</f>
        <v>6</v>
      </c>
      <c r="N43" s="290" t="str">
        <f t="shared" si="8"/>
        <v>N/A</v>
      </c>
      <c r="O43" s="238"/>
      <c r="P43" s="490">
        <v>4</v>
      </c>
      <c r="Q43" s="593">
        <v>100</v>
      </c>
      <c r="R43" s="538">
        <v>222</v>
      </c>
      <c r="S43" s="526">
        <v>0</v>
      </c>
      <c r="T43" s="494">
        <v>150</v>
      </c>
      <c r="U43" s="495">
        <f>(Table119[[#This Row],[FY25 Grads]]+Table119[[#This Row],[FY25 Fails]])/Table119[[#This Row],[FY25 Total Courses]]</f>
        <v>55.5</v>
      </c>
      <c r="V43" s="496">
        <v>0</v>
      </c>
      <c r="W43" s="497" t="str">
        <f t="shared" si="1"/>
        <v>N/A</v>
      </c>
      <c r="X43" s="560"/>
      <c r="Y43" s="580"/>
      <c r="Z43" s="581"/>
      <c r="AA43" s="594"/>
      <c r="AB43" s="586"/>
      <c r="AC43" s="595"/>
      <c r="AD43" s="596"/>
      <c r="AE43" s="597"/>
      <c r="AF43" s="598"/>
      <c r="AG43" s="599"/>
      <c r="AH43" s="600"/>
      <c r="AI43" s="601"/>
      <c r="AJ43" s="602"/>
      <c r="AK43" s="603"/>
      <c r="AL43" s="603"/>
      <c r="AM43" s="597"/>
      <c r="AN43" s="604"/>
      <c r="AO43" s="599"/>
      <c r="AP43" s="585"/>
      <c r="AQ43" s="594"/>
      <c r="AR43" s="596"/>
      <c r="AS43" s="596"/>
      <c r="AT43" s="596"/>
      <c r="AU43" s="605"/>
      <c r="AV43" s="606"/>
      <c r="AW43" s="599"/>
      <c r="AX43" s="356" t="s">
        <v>402</v>
      </c>
    </row>
    <row r="44" spans="1:50" ht="38.25" x14ac:dyDescent="0.25">
      <c r="A44" s="356" t="s">
        <v>403</v>
      </c>
      <c r="B44" s="193" t="str">
        <f>VLOOKUP(Table119[[#This Row],[Course]],'TSD-Data'!$A$1:$G$95,7,FALSE)</f>
        <v>N8</v>
      </c>
      <c r="C44" s="193" t="s">
        <v>25</v>
      </c>
      <c r="D44" s="487" t="str">
        <f>VLOOKUP(Table119[[#This Row],[Course]],'TSD-Data'!$A$1:$G$90,2,FALSE)</f>
        <v>A-493-3001</v>
      </c>
      <c r="E44" s="193" t="str">
        <f>VLOOKUP(Table119[[#This Row],[Course]],'TSD-Data'!$A$1:$G$90,3,FALSE)</f>
        <v>31V3</v>
      </c>
      <c r="F44" s="340">
        <v>0</v>
      </c>
      <c r="G44" s="193">
        <f>VLOOKUP(Table119[[#This Row],[Course]],'TSD-Data'!$A$1:$G$90,4,FALSE)</f>
        <v>1000</v>
      </c>
      <c r="H44" s="243">
        <f>Table119[[#This Row],[FY26 FLT Quota Need]]/Table119[[#This Row],[FY26 Quota Per course]]</f>
        <v>0</v>
      </c>
      <c r="I44" s="237">
        <f>ROUNDUP(Table119[[#This Row],[FY26 Courses Needed]],0)</f>
        <v>0</v>
      </c>
      <c r="J44" s="340">
        <f>COUNTIF(Table2[Course Title],Table119[[#This Row],[Course]])</f>
        <v>6</v>
      </c>
      <c r="K44" s="289">
        <f>VLOOKUP(Table119[[#This Row],[Course]],'TSD-Data'!$A$1:$G$90,6,FALSE)</f>
        <v>2</v>
      </c>
      <c r="L44" s="553">
        <f>Table119[[#This Row],[FY26 NSETC Course '# projections]]*Table119[[#This Row],[FY26 Hours Per Course]]</f>
        <v>12</v>
      </c>
      <c r="M44" s="553">
        <f>Table119[[#This Row],[FY26 NSETC Course '# projections]]-Table119[[#This Row],[FY26 Courses Needed Round UP]]</f>
        <v>6</v>
      </c>
      <c r="N44" s="290" t="str">
        <f t="shared" si="8"/>
        <v>N/A</v>
      </c>
      <c r="O44" s="238"/>
      <c r="P44" s="490">
        <v>3</v>
      </c>
      <c r="Q44" s="593">
        <v>100</v>
      </c>
      <c r="R44" s="538">
        <v>204</v>
      </c>
      <c r="S44" s="526">
        <v>0</v>
      </c>
      <c r="T44" s="494">
        <v>110</v>
      </c>
      <c r="U44" s="495">
        <f>(Table119[[#This Row],[FY25 Grads]]+Table119[[#This Row],[FY25 Fails]])/Table119[[#This Row],[FY25 Total Courses]]</f>
        <v>68</v>
      </c>
      <c r="V44" s="496">
        <v>0</v>
      </c>
      <c r="W44" s="497" t="str">
        <f t="shared" si="1"/>
        <v>N/A</v>
      </c>
      <c r="X44" s="560"/>
      <c r="Y44" s="580"/>
      <c r="Z44" s="581"/>
      <c r="AA44" s="594"/>
      <c r="AB44" s="586"/>
      <c r="AC44" s="595"/>
      <c r="AD44" s="596"/>
      <c r="AE44" s="597"/>
      <c r="AF44" s="598"/>
      <c r="AG44" s="599"/>
      <c r="AH44" s="600"/>
      <c r="AI44" s="601"/>
      <c r="AJ44" s="602"/>
      <c r="AK44" s="603"/>
      <c r="AL44" s="603"/>
      <c r="AM44" s="597"/>
      <c r="AN44" s="604"/>
      <c r="AO44" s="599"/>
      <c r="AP44" s="585"/>
      <c r="AQ44" s="594"/>
      <c r="AR44" s="596"/>
      <c r="AS44" s="596"/>
      <c r="AT44" s="596"/>
      <c r="AU44" s="605"/>
      <c r="AV44" s="606"/>
      <c r="AW44" s="599"/>
      <c r="AX44" s="356" t="s">
        <v>403</v>
      </c>
    </row>
    <row r="45" spans="1:50" ht="38.25" x14ac:dyDescent="0.25">
      <c r="A45" s="356" t="s">
        <v>404</v>
      </c>
      <c r="B45" s="193" t="str">
        <f>VLOOKUP(Table119[[#This Row],[Course]],'TSD-Data'!$A$1:$G$95,7,FALSE)</f>
        <v>N8</v>
      </c>
      <c r="C45" s="193" t="s">
        <v>25</v>
      </c>
      <c r="D45" s="488" t="str">
        <f>VLOOKUP(Table119[[#This Row],[Course]],'TSD-Data'!$A$1:$G$90,2,FALSE)</f>
        <v>A-493-3006</v>
      </c>
      <c r="E45" s="193" t="str">
        <f>VLOOKUP(Table119[[#This Row],[Course]],'TSD-Data'!$A$1:$G$90,3,FALSE)</f>
        <v>31V8</v>
      </c>
      <c r="F45" s="340">
        <v>0</v>
      </c>
      <c r="G45" s="193">
        <f>VLOOKUP(Table119[[#This Row],[Course]],'TSD-Data'!$A$1:$G$90,4,FALSE)</f>
        <v>1000</v>
      </c>
      <c r="H45" s="243">
        <f>Table119[[#This Row],[FY26 FLT Quota Need]]/Table119[[#This Row],[FY26 Quota Per course]]</f>
        <v>0</v>
      </c>
      <c r="I45" s="237">
        <f>ROUNDUP(Table119[[#This Row],[FY26 Courses Needed]],0)</f>
        <v>0</v>
      </c>
      <c r="J45" s="340">
        <f>COUNTIF(Table2[Course Title],Table119[[#This Row],[Course]])</f>
        <v>6</v>
      </c>
      <c r="K45" s="289">
        <f>VLOOKUP(Table119[[#This Row],[Course]],'TSD-Data'!$A$1:$G$90,6,FALSE)</f>
        <v>0.75</v>
      </c>
      <c r="L45" s="553">
        <f>Table119[[#This Row],[FY26 NSETC Course '# projections]]*Table119[[#This Row],[FY26 Hours Per Course]]</f>
        <v>4.5</v>
      </c>
      <c r="M45" s="553">
        <f>Table119[[#This Row],[FY26 NSETC Course '# projections]]-Table119[[#This Row],[FY26 Courses Needed Round UP]]</f>
        <v>6</v>
      </c>
      <c r="N45" s="290" t="str">
        <f t="shared" si="8"/>
        <v>N/A</v>
      </c>
      <c r="O45" s="238"/>
      <c r="P45" s="490">
        <v>3</v>
      </c>
      <c r="Q45" s="593">
        <v>100</v>
      </c>
      <c r="R45" s="538">
        <v>169</v>
      </c>
      <c r="S45" s="526">
        <v>0</v>
      </c>
      <c r="T45" s="494">
        <v>102</v>
      </c>
      <c r="U45" s="495">
        <f>(Table119[[#This Row],[FY25 Grads]]+Table119[[#This Row],[FY25 Fails]])/Table119[[#This Row],[FY25 Total Courses]]</f>
        <v>56.333333333333336</v>
      </c>
      <c r="V45" s="496">
        <v>0</v>
      </c>
      <c r="W45" s="497" t="str">
        <f t="shared" si="1"/>
        <v>N/A</v>
      </c>
      <c r="X45" s="560"/>
      <c r="Y45" s="580"/>
      <c r="Z45" s="581"/>
      <c r="AA45" s="594"/>
      <c r="AB45" s="586"/>
      <c r="AC45" s="595"/>
      <c r="AD45" s="596"/>
      <c r="AE45" s="597"/>
      <c r="AF45" s="598"/>
      <c r="AG45" s="599"/>
      <c r="AH45" s="600"/>
      <c r="AI45" s="601"/>
      <c r="AJ45" s="602"/>
      <c r="AK45" s="603"/>
      <c r="AL45" s="603"/>
      <c r="AM45" s="597"/>
      <c r="AN45" s="604"/>
      <c r="AO45" s="599"/>
      <c r="AP45" s="585"/>
      <c r="AQ45" s="594"/>
      <c r="AR45" s="596"/>
      <c r="AS45" s="596"/>
      <c r="AT45" s="596"/>
      <c r="AU45" s="605"/>
      <c r="AV45" s="606"/>
      <c r="AW45" s="599"/>
      <c r="AX45" s="356" t="s">
        <v>404</v>
      </c>
    </row>
    <row r="46" spans="1:50" ht="26.25" x14ac:dyDescent="0.25">
      <c r="A46" s="356" t="s">
        <v>406</v>
      </c>
      <c r="B46" s="193" t="str">
        <f>VLOOKUP(Table119[[#This Row],[Course]],'TSD-Data'!$A$1:$G$95,7,FALSE)</f>
        <v>N8</v>
      </c>
      <c r="C46" s="193" t="s">
        <v>25</v>
      </c>
      <c r="D46" s="488" t="str">
        <f>VLOOKUP(Table119[[#This Row],[Course]],'TSD-Data'!$A$1:$G$90,2,FALSE)</f>
        <v>A-493-3009</v>
      </c>
      <c r="E46" s="193" t="str">
        <f>VLOOKUP(Table119[[#This Row],[Course]],'TSD-Data'!$A$1:$G$90,3,FALSE)</f>
        <v>31VB</v>
      </c>
      <c r="F46" s="340">
        <v>0</v>
      </c>
      <c r="G46" s="193">
        <f>VLOOKUP(Table119[[#This Row],[Course]],'TSD-Data'!$A$1:$G$90,4,FALSE)</f>
        <v>1000</v>
      </c>
      <c r="H46" s="243">
        <f>Table119[[#This Row],[FY26 FLT Quota Need]]/Table119[[#This Row],[FY26 Quota Per course]]</f>
        <v>0</v>
      </c>
      <c r="I46" s="237">
        <f>ROUNDUP(Table119[[#This Row],[FY26 Courses Needed]],0)</f>
        <v>0</v>
      </c>
      <c r="J46" s="340">
        <f>COUNTIF(Table2[Course Title],Table119[[#This Row],[Course]])</f>
        <v>6</v>
      </c>
      <c r="K46" s="289">
        <f>VLOOKUP(Table119[[#This Row],[Course]],'TSD-Data'!$A$1:$G$90,6,FALSE)</f>
        <v>1</v>
      </c>
      <c r="L46" s="553">
        <f>Table119[[#This Row],[FY26 NSETC Course '# projections]]*Table119[[#This Row],[FY26 Hours Per Course]]</f>
        <v>6</v>
      </c>
      <c r="M46" s="553">
        <f>Table119[[#This Row],[FY26 NSETC Course '# projections]]-Table119[[#This Row],[FY26 Courses Needed Round UP]]</f>
        <v>6</v>
      </c>
      <c r="N46" s="290" t="str">
        <f t="shared" si="8"/>
        <v>N/A</v>
      </c>
      <c r="O46" s="238"/>
      <c r="P46" s="490">
        <v>4</v>
      </c>
      <c r="Q46" s="593">
        <v>100</v>
      </c>
      <c r="R46" s="538">
        <v>228</v>
      </c>
      <c r="S46" s="526">
        <v>0</v>
      </c>
      <c r="T46" s="494">
        <v>181</v>
      </c>
      <c r="U46" s="495">
        <f>(Table119[[#This Row],[FY25 Grads]]+Table119[[#This Row],[FY25 Fails]])/Table119[[#This Row],[FY25 Total Courses]]</f>
        <v>57</v>
      </c>
      <c r="V46" s="496">
        <v>0</v>
      </c>
      <c r="W46" s="497" t="str">
        <f t="shared" si="1"/>
        <v>N/A</v>
      </c>
      <c r="X46" s="560"/>
      <c r="Y46" s="580"/>
      <c r="Z46" s="581"/>
      <c r="AA46" s="594"/>
      <c r="AB46" s="586"/>
      <c r="AC46" s="595"/>
      <c r="AD46" s="596"/>
      <c r="AE46" s="597"/>
      <c r="AF46" s="598"/>
      <c r="AG46" s="599"/>
      <c r="AH46" s="600"/>
      <c r="AI46" s="601"/>
      <c r="AJ46" s="602"/>
      <c r="AK46" s="603"/>
      <c r="AL46" s="603"/>
      <c r="AM46" s="597"/>
      <c r="AN46" s="604"/>
      <c r="AO46" s="599"/>
      <c r="AP46" s="585"/>
      <c r="AQ46" s="594"/>
      <c r="AR46" s="596"/>
      <c r="AS46" s="596"/>
      <c r="AT46" s="596"/>
      <c r="AU46" s="605"/>
      <c r="AV46" s="606"/>
      <c r="AW46" s="599"/>
      <c r="AX46" s="356" t="s">
        <v>406</v>
      </c>
    </row>
    <row r="47" spans="1:50" ht="38.25" x14ac:dyDescent="0.25">
      <c r="A47" s="356" t="s">
        <v>407</v>
      </c>
      <c r="B47" s="193" t="str">
        <f>VLOOKUP(Table119[[#This Row],[Course]],'TSD-Data'!$A$1:$G$95,7,FALSE)</f>
        <v>N8</v>
      </c>
      <c r="C47" s="193" t="s">
        <v>25</v>
      </c>
      <c r="D47" s="488" t="str">
        <f>VLOOKUP(Table119[[#This Row],[Course]],'TSD-Data'!$A$1:$G$90,2,FALSE)</f>
        <v>A-493-3007</v>
      </c>
      <c r="E47" s="193" t="str">
        <f>VLOOKUP(Table119[[#This Row],[Course]],'TSD-Data'!$A$1:$G$90,3,FALSE)</f>
        <v>31V9</v>
      </c>
      <c r="F47" s="340">
        <v>0</v>
      </c>
      <c r="G47" s="193">
        <f>VLOOKUP(Table119[[#This Row],[Course]],'TSD-Data'!$A$1:$G$90,4,FALSE)</f>
        <v>1000</v>
      </c>
      <c r="H47" s="243">
        <f>Table119[[#This Row],[FY26 FLT Quota Need]]/Table119[[#This Row],[FY26 Quota Per course]]</f>
        <v>0</v>
      </c>
      <c r="I47" s="237">
        <f>ROUNDUP(Table119[[#This Row],[FY26 Courses Needed]],0)</f>
        <v>0</v>
      </c>
      <c r="J47" s="340">
        <f>COUNTIF(Table2[Course Title],Table119[[#This Row],[Course]])</f>
        <v>6</v>
      </c>
      <c r="K47" s="289">
        <f>VLOOKUP(Table119[[#This Row],[Course]],'TSD-Data'!$A$1:$G$90,6,FALSE)</f>
        <v>0.75</v>
      </c>
      <c r="L47" s="553">
        <f>Table119[[#This Row],[FY26 NSETC Course '# projections]]*Table119[[#This Row],[FY26 Hours Per Course]]</f>
        <v>4.5</v>
      </c>
      <c r="M47" s="553">
        <f>Table119[[#This Row],[FY26 NSETC Course '# projections]]-Table119[[#This Row],[FY26 Courses Needed Round UP]]</f>
        <v>6</v>
      </c>
      <c r="N47" s="290" t="str">
        <f t="shared" si="8"/>
        <v>N/A</v>
      </c>
      <c r="O47" s="238"/>
      <c r="P47" s="490">
        <v>3</v>
      </c>
      <c r="Q47" s="593">
        <v>100</v>
      </c>
      <c r="R47" s="538">
        <v>185</v>
      </c>
      <c r="S47" s="526">
        <v>0</v>
      </c>
      <c r="T47" s="494">
        <v>137</v>
      </c>
      <c r="U47" s="495">
        <f>(Table119[[#This Row],[FY25 Grads]]+Table119[[#This Row],[FY25 Fails]])/Table119[[#This Row],[FY25 Total Courses]]</f>
        <v>61.666666666666664</v>
      </c>
      <c r="V47" s="496">
        <v>0</v>
      </c>
      <c r="W47" s="497" t="str">
        <f t="shared" si="1"/>
        <v>N/A</v>
      </c>
      <c r="X47" s="560"/>
      <c r="Y47" s="580"/>
      <c r="Z47" s="581"/>
      <c r="AA47" s="594"/>
      <c r="AB47" s="586"/>
      <c r="AC47" s="595"/>
      <c r="AD47" s="596"/>
      <c r="AE47" s="597"/>
      <c r="AF47" s="598"/>
      <c r="AG47" s="599"/>
      <c r="AH47" s="600"/>
      <c r="AI47" s="601"/>
      <c r="AJ47" s="602"/>
      <c r="AK47" s="603"/>
      <c r="AL47" s="603"/>
      <c r="AM47" s="597"/>
      <c r="AN47" s="604"/>
      <c r="AO47" s="599"/>
      <c r="AP47" s="585"/>
      <c r="AQ47" s="594"/>
      <c r="AR47" s="596"/>
      <c r="AS47" s="596"/>
      <c r="AT47" s="596"/>
      <c r="AU47" s="605"/>
      <c r="AV47" s="606"/>
      <c r="AW47" s="599"/>
      <c r="AX47" s="356" t="s">
        <v>407</v>
      </c>
    </row>
    <row r="48" spans="1:50" ht="43.5" x14ac:dyDescent="0.25">
      <c r="A48" s="607" t="s">
        <v>390</v>
      </c>
      <c r="B48" s="608" t="str">
        <f>VLOOKUP(Table119[[#This Row],[Course]],'TSD-Data'!$A$1:$G$95,7,FALSE)</f>
        <v>N8</v>
      </c>
      <c r="C48" s="193" t="s">
        <v>25</v>
      </c>
      <c r="D48" s="488" t="str">
        <f>VLOOKUP(Table119[[#This Row],[Course]],'TSD-Data'!$A$1:$G$90,2,FALSE)</f>
        <v>A-493-3018</v>
      </c>
      <c r="E48" s="340" t="str">
        <f>VLOOKUP(Table119[[#This Row],[Course]],'TSD-Data'!$A$1:$G$90,3,FALSE)</f>
        <v>31YM</v>
      </c>
      <c r="F48" s="340">
        <v>0</v>
      </c>
      <c r="G48" s="193">
        <f>VLOOKUP(Table119[[#This Row],[Course]],'TSD-Data'!$A$1:$G$90,4,FALSE)</f>
        <v>1000</v>
      </c>
      <c r="H48" s="243">
        <f>Table119[[#This Row],[FY26 FLT Quota Need]]/Table119[[#This Row],[FY26 Quota Per course]]</f>
        <v>0</v>
      </c>
      <c r="I48" s="237">
        <f>ROUNDUP(Table119[[#This Row],[FY26 Courses Needed]],0)</f>
        <v>0</v>
      </c>
      <c r="J48" s="340">
        <f>COUNTIF(Table2[Course Title],Table119[[#This Row],[Course]])</f>
        <v>6</v>
      </c>
      <c r="K48" s="289">
        <f>VLOOKUP(Table119[[#This Row],[Course]],'TSD-Data'!$A$1:$G$90,6,FALSE)</f>
        <v>2.5</v>
      </c>
      <c r="L48" s="553">
        <f>Table119[[#This Row],[FY26 NSETC Course '# projections]]*Table119[[#This Row],[FY26 Hours Per Course]]</f>
        <v>15</v>
      </c>
      <c r="M48" s="553">
        <f>Table119[[#This Row],[FY26 NSETC Course '# projections]]-Table119[[#This Row],[FY26 Courses Needed Round UP]]</f>
        <v>6</v>
      </c>
      <c r="N48" s="366" t="str">
        <f t="shared" ref="N48:N54" si="9">IFERROR(J48*G48/F48, "N/A")</f>
        <v>N/A</v>
      </c>
      <c r="O48" s="238"/>
      <c r="P48" s="609"/>
      <c r="Q48" s="571"/>
      <c r="R48" s="610"/>
      <c r="S48" s="611"/>
      <c r="T48" s="569"/>
      <c r="U48" s="577"/>
      <c r="V48" s="609"/>
      <c r="W48" s="612"/>
      <c r="X48" s="560"/>
      <c r="Y48" s="580"/>
      <c r="Z48" s="581"/>
      <c r="AA48" s="594"/>
      <c r="AB48" s="586"/>
      <c r="AC48" s="595"/>
      <c r="AD48" s="596"/>
      <c r="AE48" s="597"/>
      <c r="AF48" s="598"/>
      <c r="AG48" s="599"/>
      <c r="AH48" s="583"/>
      <c r="AI48" s="601"/>
      <c r="AJ48" s="602"/>
      <c r="AK48" s="603"/>
      <c r="AL48" s="603"/>
      <c r="AM48" s="597"/>
      <c r="AN48" s="604"/>
      <c r="AO48" s="599"/>
      <c r="AP48" s="585"/>
      <c r="AQ48" s="594"/>
      <c r="AR48" s="596"/>
      <c r="AS48" s="596"/>
      <c r="AT48" s="596"/>
      <c r="AU48" s="605"/>
      <c r="AV48" s="606"/>
      <c r="AW48" s="599"/>
      <c r="AX48" s="607" t="s">
        <v>390</v>
      </c>
    </row>
    <row r="49" spans="1:50" ht="43.5" x14ac:dyDescent="0.25">
      <c r="A49" s="607" t="s">
        <v>396</v>
      </c>
      <c r="B49" s="608" t="str">
        <f>VLOOKUP(Table119[[#This Row],[Course]],'TSD-Data'!$A$1:$G$95,7,FALSE)</f>
        <v>N8</v>
      </c>
      <c r="C49" s="193" t="s">
        <v>25</v>
      </c>
      <c r="D49" s="488" t="str">
        <f>VLOOKUP(Table119[[#This Row],[Course]],'TSD-Data'!$A$1:$G$90,2,FALSE)</f>
        <v>A-493-3017</v>
      </c>
      <c r="E49" s="340" t="str">
        <f>VLOOKUP(Table119[[#This Row],[Course]],'TSD-Data'!$A$1:$G$90,3,FALSE)</f>
        <v>31YL</v>
      </c>
      <c r="F49" s="340">
        <v>0</v>
      </c>
      <c r="G49" s="193">
        <f>VLOOKUP(Table119[[#This Row],[Course]],'TSD-Data'!$A$1:$G$90,4,FALSE)</f>
        <v>1000</v>
      </c>
      <c r="H49" s="243">
        <f>Table119[[#This Row],[FY26 FLT Quota Need]]/Table119[[#This Row],[FY26 Quota Per course]]</f>
        <v>0</v>
      </c>
      <c r="I49" s="237">
        <f>ROUNDUP(Table119[[#This Row],[FY26 Courses Needed]],0)</f>
        <v>0</v>
      </c>
      <c r="J49" s="340">
        <f>COUNTIF(Table2[Course Title],Table119[[#This Row],[Course]])</f>
        <v>6</v>
      </c>
      <c r="K49" s="289">
        <f>VLOOKUP(Table119[[#This Row],[Course]],'TSD-Data'!$A$1:$G$90,6,FALSE)</f>
        <v>2.5</v>
      </c>
      <c r="L49" s="553">
        <f>Table119[[#This Row],[FY26 NSETC Course '# projections]]*Table119[[#This Row],[FY26 Hours Per Course]]</f>
        <v>15</v>
      </c>
      <c r="M49" s="553">
        <f>Table119[[#This Row],[FY26 NSETC Course '# projections]]-Table119[[#This Row],[FY26 Courses Needed Round UP]]</f>
        <v>6</v>
      </c>
      <c r="N49" s="366" t="str">
        <f t="shared" si="9"/>
        <v>N/A</v>
      </c>
      <c r="O49" s="238"/>
      <c r="P49" s="609"/>
      <c r="Q49" s="571"/>
      <c r="R49" s="610"/>
      <c r="S49" s="611"/>
      <c r="T49" s="569"/>
      <c r="U49" s="577"/>
      <c r="V49" s="609"/>
      <c r="W49" s="612"/>
      <c r="X49" s="560"/>
      <c r="Y49" s="580"/>
      <c r="Z49" s="581"/>
      <c r="AA49" s="594"/>
      <c r="AB49" s="586"/>
      <c r="AC49" s="595"/>
      <c r="AD49" s="596"/>
      <c r="AE49" s="597"/>
      <c r="AF49" s="598"/>
      <c r="AG49" s="599"/>
      <c r="AH49" s="583"/>
      <c r="AI49" s="601"/>
      <c r="AJ49" s="602"/>
      <c r="AK49" s="603"/>
      <c r="AL49" s="603"/>
      <c r="AM49" s="597"/>
      <c r="AN49" s="604"/>
      <c r="AO49" s="599"/>
      <c r="AP49" s="585"/>
      <c r="AQ49" s="594"/>
      <c r="AR49" s="596"/>
      <c r="AS49" s="596"/>
      <c r="AT49" s="596"/>
      <c r="AU49" s="605"/>
      <c r="AV49" s="606"/>
      <c r="AW49" s="599"/>
      <c r="AX49" s="607" t="s">
        <v>396</v>
      </c>
    </row>
    <row r="50" spans="1:50" ht="57.75" x14ac:dyDescent="0.25">
      <c r="A50" s="607" t="s">
        <v>397</v>
      </c>
      <c r="B50" s="608" t="str">
        <f>VLOOKUP(Table119[[#This Row],[Course]],'TSD-Data'!$A$1:$G$95,7,FALSE)</f>
        <v>N8</v>
      </c>
      <c r="C50" s="193" t="s">
        <v>25</v>
      </c>
      <c r="D50" s="488" t="str">
        <f>VLOOKUP(Table119[[#This Row],[Course]],'TSD-Data'!$A$1:$G$90,2,FALSE)</f>
        <v>A-493-3013</v>
      </c>
      <c r="E50" s="340" t="str">
        <f>VLOOKUP(Table119[[#This Row],[Course]],'TSD-Data'!$A$1:$G$90,3,FALSE)</f>
        <v>31YG</v>
      </c>
      <c r="F50" s="340">
        <v>0</v>
      </c>
      <c r="G50" s="193">
        <f>VLOOKUP(Table119[[#This Row],[Course]],'TSD-Data'!$A$1:$G$90,4,FALSE)</f>
        <v>1000</v>
      </c>
      <c r="H50" s="243">
        <f>Table119[[#This Row],[FY26 FLT Quota Need]]/Table119[[#This Row],[FY26 Quota Per course]]</f>
        <v>0</v>
      </c>
      <c r="I50" s="237">
        <f>ROUNDUP(Table119[[#This Row],[FY26 Courses Needed]],0)</f>
        <v>0</v>
      </c>
      <c r="J50" s="340">
        <f>COUNTIF(Table2[Course Title],Table119[[#This Row],[Course]])</f>
        <v>6</v>
      </c>
      <c r="K50" s="289">
        <f>VLOOKUP(Table119[[#This Row],[Course]],'TSD-Data'!$A$1:$G$90,6,FALSE)</f>
        <v>1</v>
      </c>
      <c r="L50" s="553">
        <f>Table119[[#This Row],[FY26 NSETC Course '# projections]]*Table119[[#This Row],[FY26 Hours Per Course]]</f>
        <v>6</v>
      </c>
      <c r="M50" s="553">
        <f>Table119[[#This Row],[FY26 NSETC Course '# projections]]-Table119[[#This Row],[FY26 Courses Needed Round UP]]</f>
        <v>6</v>
      </c>
      <c r="N50" s="366" t="str">
        <f t="shared" si="9"/>
        <v>N/A</v>
      </c>
      <c r="O50" s="238"/>
      <c r="P50" s="609"/>
      <c r="Q50" s="571"/>
      <c r="R50" s="610"/>
      <c r="S50" s="611"/>
      <c r="T50" s="569"/>
      <c r="U50" s="577"/>
      <c r="V50" s="609"/>
      <c r="W50" s="612"/>
      <c r="X50" s="560"/>
      <c r="Y50" s="580"/>
      <c r="Z50" s="581"/>
      <c r="AA50" s="594"/>
      <c r="AB50" s="586"/>
      <c r="AC50" s="595"/>
      <c r="AD50" s="596"/>
      <c r="AE50" s="597"/>
      <c r="AF50" s="598"/>
      <c r="AG50" s="599"/>
      <c r="AH50" s="583"/>
      <c r="AI50" s="601"/>
      <c r="AJ50" s="602"/>
      <c r="AK50" s="603"/>
      <c r="AL50" s="603"/>
      <c r="AM50" s="597"/>
      <c r="AN50" s="604"/>
      <c r="AO50" s="599"/>
      <c r="AP50" s="585"/>
      <c r="AQ50" s="594"/>
      <c r="AR50" s="596"/>
      <c r="AS50" s="596"/>
      <c r="AT50" s="596"/>
      <c r="AU50" s="605"/>
      <c r="AV50" s="606"/>
      <c r="AW50" s="599"/>
      <c r="AX50" s="607" t="s">
        <v>397</v>
      </c>
    </row>
    <row r="51" spans="1:50" ht="57.75" x14ac:dyDescent="0.25">
      <c r="A51" s="607" t="s">
        <v>398</v>
      </c>
      <c r="B51" s="608" t="str">
        <f>VLOOKUP(Table119[[#This Row],[Course]],'TSD-Data'!$A$1:$G$95,7,FALSE)</f>
        <v>N8</v>
      </c>
      <c r="C51" s="193" t="s">
        <v>25</v>
      </c>
      <c r="D51" s="488" t="str">
        <f>VLOOKUP(Table119[[#This Row],[Course]],'TSD-Data'!$A$1:$G$90,2,FALSE)</f>
        <v>A-493-3014</v>
      </c>
      <c r="E51" s="340" t="str">
        <f>VLOOKUP(Table119[[#This Row],[Course]],'TSD-Data'!$A$1:$G$90,3,FALSE)</f>
        <v>31Yh</v>
      </c>
      <c r="F51" s="340">
        <v>0</v>
      </c>
      <c r="G51" s="193">
        <f>VLOOKUP(Table119[[#This Row],[Course]],'TSD-Data'!$A$1:$G$90,4,FALSE)</f>
        <v>1000</v>
      </c>
      <c r="H51" s="243">
        <f>Table119[[#This Row],[FY26 FLT Quota Need]]/Table119[[#This Row],[FY26 Quota Per course]]</f>
        <v>0</v>
      </c>
      <c r="I51" s="237">
        <f>ROUNDUP(Table119[[#This Row],[FY26 Courses Needed]],0)</f>
        <v>0</v>
      </c>
      <c r="J51" s="340">
        <f>COUNTIF(Table2[Course Title],Table119[[#This Row],[Course]])</f>
        <v>6</v>
      </c>
      <c r="K51" s="289">
        <f>VLOOKUP(Table119[[#This Row],[Course]],'TSD-Data'!$A$1:$G$90,6,FALSE)</f>
        <v>0.75</v>
      </c>
      <c r="L51" s="553">
        <f>Table119[[#This Row],[FY26 NSETC Course '# projections]]*Table119[[#This Row],[FY26 Hours Per Course]]</f>
        <v>4.5</v>
      </c>
      <c r="M51" s="553">
        <f>Table119[[#This Row],[FY26 NSETC Course '# projections]]-Table119[[#This Row],[FY26 Courses Needed Round UP]]</f>
        <v>6</v>
      </c>
      <c r="N51" s="366" t="str">
        <f t="shared" si="9"/>
        <v>N/A</v>
      </c>
      <c r="O51" s="238"/>
      <c r="P51" s="609"/>
      <c r="Q51" s="571"/>
      <c r="R51" s="610"/>
      <c r="S51" s="611"/>
      <c r="T51" s="569"/>
      <c r="U51" s="577"/>
      <c r="V51" s="609"/>
      <c r="W51" s="612"/>
      <c r="X51" s="560"/>
      <c r="Y51" s="580"/>
      <c r="Z51" s="581"/>
      <c r="AA51" s="594"/>
      <c r="AB51" s="586"/>
      <c r="AC51" s="595"/>
      <c r="AD51" s="596"/>
      <c r="AE51" s="597"/>
      <c r="AF51" s="598"/>
      <c r="AG51" s="599"/>
      <c r="AH51" s="583"/>
      <c r="AI51" s="601"/>
      <c r="AJ51" s="602"/>
      <c r="AK51" s="603"/>
      <c r="AL51" s="603"/>
      <c r="AM51" s="597"/>
      <c r="AN51" s="604"/>
      <c r="AO51" s="599"/>
      <c r="AP51" s="585"/>
      <c r="AQ51" s="594"/>
      <c r="AR51" s="596"/>
      <c r="AS51" s="596"/>
      <c r="AT51" s="596"/>
      <c r="AU51" s="605"/>
      <c r="AV51" s="606"/>
      <c r="AW51" s="599"/>
      <c r="AX51" s="607" t="s">
        <v>398</v>
      </c>
    </row>
    <row r="52" spans="1:50" ht="43.5" x14ac:dyDescent="0.25">
      <c r="A52" s="607" t="s">
        <v>399</v>
      </c>
      <c r="B52" s="608" t="str">
        <f>VLOOKUP(Table119[[#This Row],[Course]],'TSD-Data'!$A$1:$G$95,7,FALSE)</f>
        <v>N8</v>
      </c>
      <c r="C52" s="193" t="s">
        <v>25</v>
      </c>
      <c r="D52" s="488" t="str">
        <f>VLOOKUP(Table119[[#This Row],[Course]],'TSD-Data'!$A$1:$G$90,2,FALSE)</f>
        <v>A-493-3015</v>
      </c>
      <c r="E52" s="340" t="str">
        <f>VLOOKUP(Table119[[#This Row],[Course]],'TSD-Data'!$A$1:$G$90,3,FALSE)</f>
        <v>31YJ</v>
      </c>
      <c r="F52" s="340">
        <v>0</v>
      </c>
      <c r="G52" s="193">
        <f>VLOOKUP(Table119[[#This Row],[Course]],'TSD-Data'!$A$1:$G$90,4,FALSE)</f>
        <v>1000</v>
      </c>
      <c r="H52" s="243">
        <f>Table119[[#This Row],[FY26 FLT Quota Need]]/Table119[[#This Row],[FY26 Quota Per course]]</f>
        <v>0</v>
      </c>
      <c r="I52" s="237">
        <f>ROUNDUP(Table119[[#This Row],[FY26 Courses Needed]],0)</f>
        <v>0</v>
      </c>
      <c r="J52" s="340">
        <f>COUNTIF(Table2[Course Title],Table119[[#This Row],[Course]])</f>
        <v>6</v>
      </c>
      <c r="K52" s="289">
        <f>VLOOKUP(Table119[[#This Row],[Course]],'TSD-Data'!$A$1:$G$90,6,FALSE)</f>
        <v>1</v>
      </c>
      <c r="L52" s="553">
        <f>Table119[[#This Row],[FY26 NSETC Course '# projections]]*Table119[[#This Row],[FY26 Hours Per Course]]</f>
        <v>6</v>
      </c>
      <c r="M52" s="553">
        <f>Table119[[#This Row],[FY26 NSETC Course '# projections]]-Table119[[#This Row],[FY26 Courses Needed Round UP]]</f>
        <v>6</v>
      </c>
      <c r="N52" s="366" t="str">
        <f t="shared" si="9"/>
        <v>N/A</v>
      </c>
      <c r="O52" s="238"/>
      <c r="P52" s="609"/>
      <c r="Q52" s="571"/>
      <c r="R52" s="610"/>
      <c r="S52" s="611"/>
      <c r="T52" s="569"/>
      <c r="U52" s="577"/>
      <c r="V52" s="609"/>
      <c r="W52" s="612"/>
      <c r="X52" s="560"/>
      <c r="Y52" s="580"/>
      <c r="Z52" s="581"/>
      <c r="AA52" s="594"/>
      <c r="AB52" s="586"/>
      <c r="AC52" s="595"/>
      <c r="AD52" s="596"/>
      <c r="AE52" s="597"/>
      <c r="AF52" s="598"/>
      <c r="AG52" s="599"/>
      <c r="AH52" s="583"/>
      <c r="AI52" s="601"/>
      <c r="AJ52" s="602"/>
      <c r="AK52" s="603"/>
      <c r="AL52" s="603"/>
      <c r="AM52" s="597"/>
      <c r="AN52" s="604"/>
      <c r="AO52" s="599"/>
      <c r="AP52" s="585"/>
      <c r="AQ52" s="594"/>
      <c r="AR52" s="596"/>
      <c r="AS52" s="596"/>
      <c r="AT52" s="596"/>
      <c r="AU52" s="605"/>
      <c r="AV52" s="606"/>
      <c r="AW52" s="599"/>
      <c r="AX52" s="607" t="s">
        <v>399</v>
      </c>
    </row>
    <row r="53" spans="1:50" ht="43.5" x14ac:dyDescent="0.25">
      <c r="A53" s="607" t="s">
        <v>400</v>
      </c>
      <c r="B53" s="608" t="str">
        <f>VLOOKUP(Table119[[#This Row],[Course]],'TSD-Data'!$A$1:$G$95,7,FALSE)</f>
        <v>N8</v>
      </c>
      <c r="C53" s="193" t="s">
        <v>25</v>
      </c>
      <c r="D53" s="488" t="str">
        <f>VLOOKUP(Table119[[#This Row],[Course]],'TSD-Data'!$A$1:$G$90,2,FALSE)</f>
        <v>A-493-3016</v>
      </c>
      <c r="E53" s="340" t="str">
        <f>VLOOKUP(Table119[[#This Row],[Course]],'TSD-Data'!$A$1:$G$90,3,FALSE)</f>
        <v>31Yk</v>
      </c>
      <c r="F53" s="340">
        <v>0</v>
      </c>
      <c r="G53" s="193">
        <f>VLOOKUP(Table119[[#This Row],[Course]],'TSD-Data'!$A$1:$G$90,4,FALSE)</f>
        <v>1000</v>
      </c>
      <c r="H53" s="243">
        <f>Table119[[#This Row],[FY26 FLT Quota Need]]/Table119[[#This Row],[FY26 Quota Per course]]</f>
        <v>0</v>
      </c>
      <c r="I53" s="237">
        <f>ROUNDUP(Table119[[#This Row],[FY26 Courses Needed]],0)</f>
        <v>0</v>
      </c>
      <c r="J53" s="340">
        <f>COUNTIF(Table2[Course Title],Table119[[#This Row],[Course]])</f>
        <v>6</v>
      </c>
      <c r="K53" s="289">
        <f>VLOOKUP(Table119[[#This Row],[Course]],'TSD-Data'!$A$1:$G$90,6,FALSE)</f>
        <v>1</v>
      </c>
      <c r="L53" s="553">
        <f>Table119[[#This Row],[FY26 NSETC Course '# projections]]*Table119[[#This Row],[FY26 Hours Per Course]]</f>
        <v>6</v>
      </c>
      <c r="M53" s="553">
        <f>Table119[[#This Row],[FY26 NSETC Course '# projections]]-Table119[[#This Row],[FY26 Courses Needed Round UP]]</f>
        <v>6</v>
      </c>
      <c r="N53" s="366" t="str">
        <f t="shared" si="9"/>
        <v>N/A</v>
      </c>
      <c r="O53" s="238"/>
      <c r="P53" s="609"/>
      <c r="Q53" s="571"/>
      <c r="R53" s="610"/>
      <c r="S53" s="611"/>
      <c r="T53" s="569"/>
      <c r="U53" s="577"/>
      <c r="V53" s="609"/>
      <c r="W53" s="612"/>
      <c r="X53" s="560"/>
      <c r="Y53" s="580"/>
      <c r="Z53" s="581"/>
      <c r="AA53" s="594"/>
      <c r="AB53" s="586"/>
      <c r="AC53" s="595"/>
      <c r="AD53" s="596"/>
      <c r="AE53" s="597"/>
      <c r="AF53" s="598"/>
      <c r="AG53" s="599"/>
      <c r="AH53" s="583"/>
      <c r="AI53" s="601"/>
      <c r="AJ53" s="602"/>
      <c r="AK53" s="603"/>
      <c r="AL53" s="603"/>
      <c r="AM53" s="597"/>
      <c r="AN53" s="604"/>
      <c r="AO53" s="599"/>
      <c r="AP53" s="585"/>
      <c r="AQ53" s="594"/>
      <c r="AR53" s="596"/>
      <c r="AS53" s="596"/>
      <c r="AT53" s="596"/>
      <c r="AU53" s="605"/>
      <c r="AV53" s="606"/>
      <c r="AW53" s="599"/>
      <c r="AX53" s="607" t="s">
        <v>400</v>
      </c>
    </row>
    <row r="54" spans="1:50" ht="43.5" x14ac:dyDescent="0.25">
      <c r="A54" s="607" t="s">
        <v>405</v>
      </c>
      <c r="B54" s="608" t="str">
        <f>VLOOKUP(Table119[[#This Row],[Course]],'TSD-Data'!$A$1:$G$95,7,FALSE)</f>
        <v>N8</v>
      </c>
      <c r="C54" s="193" t="s">
        <v>25</v>
      </c>
      <c r="D54" s="488" t="str">
        <f>VLOOKUP(Table119[[#This Row],[Course]],'TSD-Data'!$A$1:$G$90,2,FALSE)</f>
        <v>A-493-3012</v>
      </c>
      <c r="E54" s="340" t="str">
        <f>VLOOKUP(Table119[[#This Row],[Course]],'TSD-Data'!$A$1:$G$90,3,FALSE)</f>
        <v>31YF</v>
      </c>
      <c r="F54" s="340">
        <v>0</v>
      </c>
      <c r="G54" s="193">
        <f>VLOOKUP(Table119[[#This Row],[Course]],'TSD-Data'!$A$1:$G$90,4,FALSE)</f>
        <v>1000</v>
      </c>
      <c r="H54" s="243">
        <f>Table119[[#This Row],[FY26 FLT Quota Need]]/Table119[[#This Row],[FY26 Quota Per course]]</f>
        <v>0</v>
      </c>
      <c r="I54" s="237">
        <f>ROUNDUP(Table119[[#This Row],[FY26 Courses Needed]],0)</f>
        <v>0</v>
      </c>
      <c r="J54" s="340">
        <f>COUNTIF(Table2[Course Title],Table119[[#This Row],[Course]])</f>
        <v>6</v>
      </c>
      <c r="K54" s="289">
        <f>VLOOKUP(Table119[[#This Row],[Course]],'TSD-Data'!$A$1:$G$90,6,FALSE)</f>
        <v>1</v>
      </c>
      <c r="L54" s="553">
        <f>Table119[[#This Row],[FY26 NSETC Course '# projections]]*Table119[[#This Row],[FY26 Hours Per Course]]</f>
        <v>6</v>
      </c>
      <c r="M54" s="553">
        <f>Table119[[#This Row],[FY26 NSETC Course '# projections]]-Table119[[#This Row],[FY26 Courses Needed Round UP]]</f>
        <v>6</v>
      </c>
      <c r="N54" s="366" t="str">
        <f t="shared" si="9"/>
        <v>N/A</v>
      </c>
      <c r="O54" s="238"/>
      <c r="P54" s="609"/>
      <c r="Q54" s="571"/>
      <c r="R54" s="610"/>
      <c r="S54" s="611"/>
      <c r="T54" s="569"/>
      <c r="U54" s="577"/>
      <c r="V54" s="609"/>
      <c r="W54" s="612"/>
      <c r="X54" s="560"/>
      <c r="Y54" s="580"/>
      <c r="Z54" s="581"/>
      <c r="AA54" s="594"/>
      <c r="AB54" s="586"/>
      <c r="AC54" s="595"/>
      <c r="AD54" s="596"/>
      <c r="AE54" s="597"/>
      <c r="AF54" s="598"/>
      <c r="AG54" s="599"/>
      <c r="AH54" s="583"/>
      <c r="AI54" s="601"/>
      <c r="AJ54" s="602"/>
      <c r="AK54" s="603"/>
      <c r="AL54" s="603"/>
      <c r="AM54" s="597"/>
      <c r="AN54" s="604"/>
      <c r="AO54" s="599"/>
      <c r="AP54" s="585"/>
      <c r="AQ54" s="594"/>
      <c r="AR54" s="596"/>
      <c r="AS54" s="596"/>
      <c r="AT54" s="596"/>
      <c r="AU54" s="605"/>
      <c r="AV54" s="606"/>
      <c r="AW54" s="599"/>
      <c r="AX54" s="607" t="s">
        <v>405</v>
      </c>
    </row>
    <row r="55" spans="1:50" ht="26.25" x14ac:dyDescent="0.25">
      <c r="A55" s="356" t="s">
        <v>408</v>
      </c>
      <c r="B55" s="193" t="str">
        <f>VLOOKUP(Table119[[#This Row],[Course]],'TSD-Data'!$A$1:$G$95,7,FALSE)</f>
        <v>N8</v>
      </c>
      <c r="C55" s="193" t="s">
        <v>25</v>
      </c>
      <c r="D55" s="487" t="str">
        <f>VLOOKUP(Table119[[#This Row],[Course]],'TSD-Data'!$A$1:$G$90,2,FALSE)</f>
        <v>A-4J-0019</v>
      </c>
      <c r="E55" s="193" t="str">
        <f>VLOOKUP(Table119[[#This Row],[Course]],'TSD-Data'!$A$1:$G$90,3,FALSE)</f>
        <v>28SL/285M</v>
      </c>
      <c r="F55" s="518">
        <v>704</v>
      </c>
      <c r="G55" s="193">
        <f>VLOOKUP(Table119[[#This Row],[Course]],'TSD-Data'!$A$1:$G$90,4,FALSE)</f>
        <v>20</v>
      </c>
      <c r="H55" s="243">
        <f>Table119[[#This Row],[FY26 FLT Quota Need]]/Table119[[#This Row],[FY26 Quota Per course]]</f>
        <v>35.200000000000003</v>
      </c>
      <c r="I55" s="237">
        <f>ROUNDUP(Table119[[#This Row],[FY26 Courses Needed]],0)</f>
        <v>36</v>
      </c>
      <c r="J55" s="340">
        <f>COUNTIF(Table2[Course Title],Table119[[#This Row],[Course]])</f>
        <v>4</v>
      </c>
      <c r="K55" s="289">
        <f>VLOOKUP(Table119[[#This Row],[Course]],'TSD-Data'!$A$1:$G$90,6,FALSE)</f>
        <v>40</v>
      </c>
      <c r="L55" s="489">
        <f>Table119[[#This Row],[FY26 NSETC Course '# projections]]*Table119[[#This Row],[FY26 Hours Per Course]]</f>
        <v>160</v>
      </c>
      <c r="M55" s="523">
        <f>Table119[[#This Row],[FY26 NSETC Course '# projections]]-Table119[[#This Row],[FY26 Courses Needed Round UP]]</f>
        <v>-32</v>
      </c>
      <c r="N55" s="290">
        <f t="shared" si="8"/>
        <v>0.11363636363636363</v>
      </c>
      <c r="O55" s="238"/>
      <c r="P55" s="490">
        <v>4</v>
      </c>
      <c r="Q55" s="491">
        <v>25</v>
      </c>
      <c r="R55" s="538">
        <v>73</v>
      </c>
      <c r="S55" s="526">
        <v>0</v>
      </c>
      <c r="T55" s="494">
        <v>3</v>
      </c>
      <c r="U55" s="495">
        <f>(Table119[[#This Row],[FY25 Grads]]+Table119[[#This Row],[FY25 Fails]])/Table119[[#This Row],[FY25 Total Courses]]</f>
        <v>18.25</v>
      </c>
      <c r="V55" s="496">
        <v>711</v>
      </c>
      <c r="W55" s="497">
        <f t="shared" si="1"/>
        <v>0.10267229254571027</v>
      </c>
      <c r="X55" s="579"/>
      <c r="Y55" s="580"/>
      <c r="Z55" s="581"/>
      <c r="AA55" s="582">
        <v>3</v>
      </c>
      <c r="AB55" s="588">
        <v>20</v>
      </c>
      <c r="AC55" s="591">
        <v>58</v>
      </c>
      <c r="AD55" s="527">
        <v>0</v>
      </c>
      <c r="AE55" s="505">
        <f>AVERAGE(AC55+AD55)/AA55</f>
        <v>19.333333333333332</v>
      </c>
      <c r="AF55" s="613"/>
      <c r="AG55" s="574"/>
      <c r="AH55" s="583"/>
      <c r="AI55" s="601"/>
      <c r="AJ55" s="602"/>
      <c r="AK55" s="603"/>
      <c r="AL55" s="603"/>
      <c r="AM55" s="597"/>
      <c r="AN55" s="604"/>
      <c r="AO55" s="599"/>
      <c r="AP55" s="585"/>
      <c r="AQ55" s="594"/>
      <c r="AR55" s="596"/>
      <c r="AS55" s="596"/>
      <c r="AT55" s="596"/>
      <c r="AU55" s="605"/>
      <c r="AV55" s="606"/>
      <c r="AW55" s="599"/>
      <c r="AX55" s="356" t="s">
        <v>408</v>
      </c>
    </row>
    <row r="56" spans="1:50" ht="30" x14ac:dyDescent="0.25">
      <c r="A56" s="535" t="s">
        <v>119</v>
      </c>
      <c r="B56" s="193" t="str">
        <f>VLOOKUP(Table119[[#This Row],[Course]],'TSD-Data'!$A$1:$G$95,7,FALSE)</f>
        <v>N8</v>
      </c>
      <c r="C56" s="193" t="s">
        <v>25</v>
      </c>
      <c r="D56" s="487" t="str">
        <f>VLOOKUP(Table119[[#This Row],[Course]],'TSD-Data'!$A$1:$G$90,2,FALSE)</f>
        <v>A-493-2098</v>
      </c>
      <c r="E56" s="193" t="str">
        <f>VLOOKUP(Table119[[#This Row],[Course]],'TSD-Data'!$A$1:$G$90,3,FALSE)</f>
        <v>09WW</v>
      </c>
      <c r="F56" s="193">
        <v>2261</v>
      </c>
      <c r="G56" s="193">
        <f>VLOOKUP(Table119[[#This Row],[Course]],'TSD-Data'!$A$1:$G$90,4,FALSE)</f>
        <v>100</v>
      </c>
      <c r="H56" s="243">
        <f>Table119[[#This Row],[FY26 FLT Quota Need]]/Table119[[#This Row],[FY26 Quota Per course]]</f>
        <v>22.61</v>
      </c>
      <c r="I56" s="237">
        <f>ROUNDUP(Table119[[#This Row],[FY26 Courses Needed]],0)</f>
        <v>23</v>
      </c>
      <c r="J56" s="340">
        <f>COUNTIF(Table2[Course Title],Table119[[#This Row],[Course]])</f>
        <v>19</v>
      </c>
      <c r="K56" s="289">
        <f>VLOOKUP(Table119[[#This Row],[Course]],'TSD-Data'!$A$1:$G$90,6,FALSE)</f>
        <v>16</v>
      </c>
      <c r="L56" s="489">
        <f>Table119[[#This Row],[FY26 NSETC Course '# projections]]*Table119[[#This Row],[FY26 Hours Per Course]]</f>
        <v>304</v>
      </c>
      <c r="M56" s="523">
        <f>Table119[[#This Row],[FY26 NSETC Course '# projections]]-Table119[[#This Row],[FY26 Courses Needed Round UP]]</f>
        <v>-4</v>
      </c>
      <c r="N56" s="290">
        <f t="shared" si="8"/>
        <v>0.84033613445378152</v>
      </c>
      <c r="O56" s="238"/>
      <c r="P56" s="490">
        <v>17</v>
      </c>
      <c r="Q56" s="491">
        <v>100</v>
      </c>
      <c r="R56" s="538">
        <v>1293</v>
      </c>
      <c r="S56" s="526">
        <v>61</v>
      </c>
      <c r="T56" s="494">
        <v>375</v>
      </c>
      <c r="U56" s="495">
        <f>(Table119[[#This Row],[FY25 Grads]]+Table119[[#This Row],[FY25 Fails]])/Table119[[#This Row],[FY25 Total Courses]]</f>
        <v>79.647058823529406</v>
      </c>
      <c r="V56" s="496">
        <v>1601</v>
      </c>
      <c r="W56" s="497">
        <f t="shared" si="1"/>
        <v>0.84572142410993134</v>
      </c>
      <c r="X56" s="579">
        <v>2718</v>
      </c>
      <c r="Y56" s="580">
        <v>28</v>
      </c>
      <c r="Z56" s="581"/>
      <c r="AA56" s="582">
        <v>17</v>
      </c>
      <c r="AB56" s="588">
        <v>100</v>
      </c>
      <c r="AC56" s="591">
        <v>1335</v>
      </c>
      <c r="AD56" s="527">
        <v>37</v>
      </c>
      <c r="AE56" s="505">
        <f>AVERAGE(AC56+AD56)/AA56</f>
        <v>80.705882352941174</v>
      </c>
      <c r="AF56" s="506">
        <v>1499</v>
      </c>
      <c r="AG56" s="507">
        <f>SUM(AC56+AD56)/AF56</f>
        <v>0.91527685123415614</v>
      </c>
      <c r="AH56" s="583"/>
      <c r="AI56" s="584">
        <v>24</v>
      </c>
      <c r="AJ56" s="541">
        <v>100</v>
      </c>
      <c r="AK56" s="494">
        <v>1538</v>
      </c>
      <c r="AL56" s="494">
        <v>88</v>
      </c>
      <c r="AM56" s="509">
        <f>AVERAGE(AK56+AL56)/AI56</f>
        <v>67.75</v>
      </c>
      <c r="AN56" s="539">
        <v>1665</v>
      </c>
      <c r="AO56" s="507">
        <f>SUM(AK56+AL56)/AN56</f>
        <v>0.97657657657657659</v>
      </c>
      <c r="AP56" s="585"/>
      <c r="AQ56" s="582">
        <v>21</v>
      </c>
      <c r="AR56" s="512">
        <v>100</v>
      </c>
      <c r="AS56" s="513">
        <v>1584</v>
      </c>
      <c r="AT56" s="513">
        <v>89</v>
      </c>
      <c r="AU56" s="522">
        <f>(Table119[[#This Row],[FY22 Grads]]+Table119[[#This Row],[FY22 Fails]])/Table119[[#This Row],[FY22 Total Courses]]</f>
        <v>79.666666666666671</v>
      </c>
      <c r="AV56" s="515">
        <v>604</v>
      </c>
      <c r="AW56" s="516">
        <f>SUM(AS56+AT56)/AV56</f>
        <v>2.7698675496688741</v>
      </c>
      <c r="AX56" s="535" t="s">
        <v>119</v>
      </c>
    </row>
    <row r="57" spans="1:50" ht="25.5" x14ac:dyDescent="0.25">
      <c r="A57" s="419" t="s">
        <v>159</v>
      </c>
      <c r="B57" s="193" t="str">
        <f>VLOOKUP(Table119[[#This Row],[Course]],'TSD-Data'!$A$1:$G$95,7,FALSE)</f>
        <v>N8</v>
      </c>
      <c r="C57" s="357" t="s">
        <v>30</v>
      </c>
      <c r="D57" s="488" t="str">
        <f>VLOOKUP(Table119[[#This Row],[Course]],'TSD-Data'!$A$1:$G$90,2,FALSE)</f>
        <v>A-493-2099</v>
      </c>
      <c r="E57" s="340" t="str">
        <f>VLOOKUP(Table119[[#This Row],[Course]],'TSD-Data'!$A$1:$G$90,3,FALSE)</f>
        <v>438G</v>
      </c>
      <c r="F57" s="486">
        <v>0</v>
      </c>
      <c r="G57" s="193">
        <f>VLOOKUP(Table119[[#This Row],[Course]],'TSD-Data'!$A$1:$G$90,4,FALSE)</f>
        <v>30</v>
      </c>
      <c r="H57" s="243">
        <f>Table119[[#This Row],[FY26 FLT Quota Need]]/Table119[[#This Row],[FY26 Quota Per course]]</f>
        <v>0</v>
      </c>
      <c r="I57" s="237">
        <f>ROUNDUP(Table119[[#This Row],[FY26 Courses Needed]],0)</f>
        <v>0</v>
      </c>
      <c r="J57" s="340">
        <f>COUNTIF(Table2[Course Title],Table119[[#This Row],[Course]])</f>
        <v>3</v>
      </c>
      <c r="K57" s="289">
        <f>VLOOKUP(Table119[[#This Row],[Course]],'TSD-Data'!$A$1:$G$90,6,FALSE)</f>
        <v>16</v>
      </c>
      <c r="L57" s="553">
        <f>Table119[[#This Row],[FY26 NSETC Course '# projections]]*Table119[[#This Row],[FY26 Hours Per Course]]</f>
        <v>48</v>
      </c>
      <c r="M57" s="553">
        <f>Table119[[#This Row],[FY26 NSETC Course '# projections]]-Table119[[#This Row],[FY26 Courses Needed Round UP]]</f>
        <v>3</v>
      </c>
      <c r="N57" s="366" t="str">
        <f>IFERROR(J57*G57/F57, "N/A")</f>
        <v>N/A</v>
      </c>
      <c r="O57" s="238"/>
      <c r="P57" s="490">
        <v>2</v>
      </c>
      <c r="Q57" s="593"/>
      <c r="R57" s="538">
        <v>46</v>
      </c>
      <c r="S57" s="526">
        <v>1</v>
      </c>
      <c r="T57" s="494">
        <v>0</v>
      </c>
      <c r="U57" s="495">
        <f>(Table119[[#This Row],[FY25 Grads]]+Table119[[#This Row],[FY25 Fails]])/Table119[[#This Row],[FY25 Total Courses]]</f>
        <v>23.5</v>
      </c>
      <c r="V57" s="496"/>
      <c r="W57" s="497" t="str">
        <f t="shared" si="1"/>
        <v>N/A</v>
      </c>
      <c r="X57" s="560"/>
      <c r="Y57" s="580"/>
      <c r="Z57" s="581"/>
      <c r="AA57" s="614"/>
      <c r="AB57" s="502"/>
      <c r="AC57" s="615"/>
      <c r="AD57" s="616"/>
      <c r="AE57" s="617"/>
      <c r="AF57" s="618"/>
      <c r="AG57" s="619" t="e">
        <f>SUM(AC57+AD57)/AF57</f>
        <v>#DIV/0!</v>
      </c>
      <c r="AH57" s="583"/>
      <c r="AI57" s="620"/>
      <c r="AJ57" s="541"/>
      <c r="AK57" s="593"/>
      <c r="AL57" s="593"/>
      <c r="AM57" s="509"/>
      <c r="AN57" s="621"/>
      <c r="AO57" s="507" t="e">
        <f>SUM(AK57+AL57)/AN57</f>
        <v>#DIV/0!</v>
      </c>
      <c r="AP57" s="585"/>
      <c r="AQ57" s="582"/>
      <c r="AR57" s="512"/>
      <c r="AS57" s="513"/>
      <c r="AT57" s="513"/>
      <c r="AU57" s="514"/>
      <c r="AV57" s="515"/>
      <c r="AW57" s="622" t="e">
        <f>SUM(AS57+AT57)/AV57</f>
        <v>#DIV/0!</v>
      </c>
      <c r="AX57" s="419" t="s">
        <v>159</v>
      </c>
    </row>
    <row r="58" spans="1:50" ht="30" x14ac:dyDescent="0.25">
      <c r="A58" s="535" t="s">
        <v>122</v>
      </c>
      <c r="B58" s="193" t="str">
        <f>VLOOKUP(Table119[[#This Row],[Course]],'TSD-Data'!$A$1:$G$95,7,FALSE)</f>
        <v>N8</v>
      </c>
      <c r="C58" s="193" t="s">
        <v>25</v>
      </c>
      <c r="D58" s="487" t="str">
        <f>VLOOKUP(Table119[[#This Row],[Course]],'TSD-Data'!$A$1:$G$90,2,FALSE)</f>
        <v>F-4J-0023</v>
      </c>
      <c r="E58" s="193" t="str">
        <f>VLOOKUP(Table119[[#This Row],[Course]],'TSD-Data'!$A$1:$G$90,3,FALSE)</f>
        <v>11A2</v>
      </c>
      <c r="F58" s="193">
        <v>120</v>
      </c>
      <c r="G58" s="193">
        <f>VLOOKUP(Table119[[#This Row],[Course]],'TSD-Data'!$A$1:$G$90,4,FALSE)</f>
        <v>45</v>
      </c>
      <c r="H58" s="243">
        <f>Table119[[#This Row],[FY26 FLT Quota Need]]/Table119[[#This Row],[FY26 Quota Per course]]</f>
        <v>2.6666666666666665</v>
      </c>
      <c r="I58" s="237">
        <f>ROUNDUP(Table119[[#This Row],[FY26 Courses Needed]],0)</f>
        <v>3</v>
      </c>
      <c r="J58" s="340">
        <f>COUNTIF(Table2[Course Title],Table119[[#This Row],[Course]])</f>
        <v>5</v>
      </c>
      <c r="K58" s="289">
        <f>VLOOKUP(Table119[[#This Row],[Course]],'TSD-Data'!$A$1:$G$90,6,FALSE)</f>
        <v>16</v>
      </c>
      <c r="L58" s="489">
        <f>Table119[[#This Row],[FY26 NSETC Course '# projections]]*Table119[[#This Row],[FY26 Hours Per Course]]</f>
        <v>80</v>
      </c>
      <c r="M58" s="489">
        <f>Table119[[#This Row],[FY26 NSETC Course '# projections]]-Table119[[#This Row],[FY26 Courses Needed Round UP]]</f>
        <v>2</v>
      </c>
      <c r="N58" s="290">
        <f t="shared" si="8"/>
        <v>1.875</v>
      </c>
      <c r="O58" s="238"/>
      <c r="P58" s="490">
        <v>3</v>
      </c>
      <c r="Q58" s="491">
        <v>25</v>
      </c>
      <c r="R58" s="538">
        <v>42</v>
      </c>
      <c r="S58" s="526">
        <v>0</v>
      </c>
      <c r="T58" s="494">
        <v>10</v>
      </c>
      <c r="U58" s="495">
        <f>(Table119[[#This Row],[FY25 Grads]]+Table119[[#This Row],[FY25 Fails]])/Table119[[#This Row],[FY25 Total Courses]]</f>
        <v>14</v>
      </c>
      <c r="V58" s="496">
        <v>92</v>
      </c>
      <c r="W58" s="497">
        <f t="shared" si="1"/>
        <v>0.45652173913043476</v>
      </c>
      <c r="X58" s="579">
        <v>61</v>
      </c>
      <c r="Y58" s="580">
        <v>3</v>
      </c>
      <c r="Z58" s="581"/>
      <c r="AA58" s="582">
        <v>4</v>
      </c>
      <c r="AB58" s="588">
        <v>25</v>
      </c>
      <c r="AC58" s="527">
        <v>39</v>
      </c>
      <c r="AD58" s="527">
        <v>1</v>
      </c>
      <c r="AE58" s="505">
        <f>AVERAGE(AC58+AD58)/AA58</f>
        <v>10</v>
      </c>
      <c r="AF58" s="506">
        <v>58</v>
      </c>
      <c r="AG58" s="507">
        <f>SUM(AC58+AD58)/AF58</f>
        <v>0.68965517241379315</v>
      </c>
      <c r="AH58" s="583"/>
      <c r="AI58" s="584">
        <v>4</v>
      </c>
      <c r="AJ58" s="541">
        <v>25</v>
      </c>
      <c r="AK58" s="494">
        <v>54</v>
      </c>
      <c r="AL58" s="494">
        <v>2</v>
      </c>
      <c r="AM58" s="509">
        <f>AVERAGE(AK58+AL58)/AI58</f>
        <v>14</v>
      </c>
      <c r="AN58" s="539">
        <v>86</v>
      </c>
      <c r="AO58" s="507">
        <f>SUM(AK58+AL58)/AN58</f>
        <v>0.65116279069767447</v>
      </c>
      <c r="AP58" s="585"/>
      <c r="AQ58" s="582">
        <v>5</v>
      </c>
      <c r="AR58" s="512">
        <v>30</v>
      </c>
      <c r="AS58" s="513">
        <v>32</v>
      </c>
      <c r="AT58" s="513">
        <v>0</v>
      </c>
      <c r="AU58" s="522">
        <f>(Table119[[#This Row],[FY22 Grads]]+Table119[[#This Row],[FY22 Fails]])/Table119[[#This Row],[FY22 Total Courses]]</f>
        <v>6.4</v>
      </c>
      <c r="AV58" s="515">
        <v>19</v>
      </c>
      <c r="AW58" s="516">
        <f>SUM(AS58+AT58)/AV58</f>
        <v>1.6842105263157894</v>
      </c>
      <c r="AX58" s="535" t="s">
        <v>122</v>
      </c>
    </row>
    <row r="59" spans="1:50" x14ac:dyDescent="0.25">
      <c r="A59" s="524" t="s">
        <v>125</v>
      </c>
      <c r="B59" s="193" t="str">
        <f>VLOOKUP(Table119[[#This Row],[Course]],'TSD-Data'!$A$1:$G$95,7,FALSE)</f>
        <v>N4</v>
      </c>
      <c r="C59" s="357" t="s">
        <v>30</v>
      </c>
      <c r="D59" s="487" t="str">
        <f>VLOOKUP(Table119[[#This Row],[Course]],'TSD-Data'!$A$1:$G$90,2,FALSE)</f>
        <v>A-493-2017</v>
      </c>
      <c r="E59" s="193" t="str">
        <f>VLOOKUP(Table119[[#This Row],[Course]],'TSD-Data'!$A$1:$G$90,3,FALSE)</f>
        <v>12x3</v>
      </c>
      <c r="F59" s="193">
        <v>610</v>
      </c>
      <c r="G59" s="193">
        <f>VLOOKUP(Table119[[#This Row],[Course]],'TSD-Data'!$A$1:$G$90,4,FALSE)</f>
        <v>25</v>
      </c>
      <c r="H59" s="243">
        <f>Table119[[#This Row],[FY26 FLT Quota Need]]/Table119[[#This Row],[FY26 Quota Per course]]</f>
        <v>24.4</v>
      </c>
      <c r="I59" s="237">
        <f>ROUNDUP(Table119[[#This Row],[FY26 Courses Needed]],0)</f>
        <v>25</v>
      </c>
      <c r="J59" s="340">
        <f>COUNTIF(Table2[Course Title],Table119[[#This Row],[Course]])</f>
        <v>9</v>
      </c>
      <c r="K59" s="289">
        <f>VLOOKUP(Table119[[#This Row],[Course]],'TSD-Data'!$A$1:$G$90,6,FALSE)</f>
        <v>40</v>
      </c>
      <c r="L59" s="289">
        <f>Table119[[#This Row],[FY26 NSETC Course '# projections]]*Table119[[#This Row],[FY26 Hours Per Course]]</f>
        <v>360</v>
      </c>
      <c r="M59" s="523">
        <f>Table119[[#This Row],[FY26 NSETC Course '# projections]]-Table119[[#This Row],[FY26 Courses Needed Round UP]]</f>
        <v>-16</v>
      </c>
      <c r="N59" s="290">
        <f t="shared" si="8"/>
        <v>0.36885245901639346</v>
      </c>
      <c r="O59" s="238"/>
      <c r="P59" s="490">
        <v>7</v>
      </c>
      <c r="Q59" s="490">
        <v>25</v>
      </c>
      <c r="R59" s="496">
        <v>120</v>
      </c>
      <c r="S59" s="526">
        <v>1</v>
      </c>
      <c r="T59" s="496">
        <v>17</v>
      </c>
      <c r="U59" s="495">
        <f>(Table119[[#This Row],[FY25 Grads]]+Table119[[#This Row],[FY25 Fails]])/Table119[[#This Row],[FY25 Total Courses]]</f>
        <v>17.285714285714285</v>
      </c>
      <c r="V59" s="496">
        <v>397</v>
      </c>
      <c r="W59" s="497">
        <f t="shared" si="1"/>
        <v>0.30478589420654911</v>
      </c>
      <c r="X59" s="579">
        <v>66</v>
      </c>
      <c r="Y59" s="579">
        <v>3</v>
      </c>
      <c r="Z59" s="581"/>
      <c r="AA59" s="587">
        <v>4</v>
      </c>
      <c r="AB59" s="588">
        <v>25</v>
      </c>
      <c r="AC59" s="589">
        <v>81</v>
      </c>
      <c r="AD59" s="589">
        <v>0</v>
      </c>
      <c r="AE59" s="505">
        <f>AVERAGE(AC59+AD59)/AA59</f>
        <v>20.25</v>
      </c>
      <c r="AF59" s="506">
        <v>126</v>
      </c>
      <c r="AG59" s="507">
        <f>SUM(AC59+AD59)/AF59</f>
        <v>0.6428571428571429</v>
      </c>
      <c r="AH59" s="583"/>
      <c r="AI59" s="590">
        <v>2</v>
      </c>
      <c r="AJ59" s="490">
        <v>25</v>
      </c>
      <c r="AK59" s="496">
        <v>38</v>
      </c>
      <c r="AL59" s="496">
        <v>0</v>
      </c>
      <c r="AM59" s="509">
        <f>AVERAGE(AK59+AL59)/AI59</f>
        <v>19</v>
      </c>
      <c r="AN59" s="527">
        <v>100</v>
      </c>
      <c r="AO59" s="507">
        <f>SUM(AK59+AL59)/AN59</f>
        <v>0.38</v>
      </c>
      <c r="AP59" s="585"/>
      <c r="AQ59" s="582">
        <v>1</v>
      </c>
      <c r="AR59" s="512">
        <v>25</v>
      </c>
      <c r="AS59" s="513">
        <v>25</v>
      </c>
      <c r="AT59" s="513">
        <v>0</v>
      </c>
      <c r="AU59" s="514">
        <v>25</v>
      </c>
      <c r="AV59" s="515">
        <v>25</v>
      </c>
      <c r="AW59" s="516">
        <f>SUM(AS59+AT59)/AV59</f>
        <v>1</v>
      </c>
      <c r="AX59" s="524" t="s">
        <v>125</v>
      </c>
    </row>
    <row r="60" spans="1:50" ht="27" thickBot="1" x14ac:dyDescent="0.3">
      <c r="A60" s="356" t="s">
        <v>586</v>
      </c>
      <c r="B60" s="193" t="str">
        <f>VLOOKUP(Table119[[#This Row],[Course]],'TSD-Data'!$A$1:$G$95,7,FALSE)</f>
        <v>N5</v>
      </c>
      <c r="C60" s="193" t="s">
        <v>25</v>
      </c>
      <c r="D60" s="487" t="str">
        <f>VLOOKUP(Table119[[#This Row],[Course]],'TSD-Data'!$A$1:$G$90,2,FALSE)</f>
        <v>TBD</v>
      </c>
      <c r="E60" s="193" t="str">
        <f>VLOOKUP(Table119[[#This Row],[Course]],'TSD-Data'!$A$1:$G$90,3,FALSE)</f>
        <v>TBD</v>
      </c>
      <c r="F60" s="518">
        <v>1304</v>
      </c>
      <c r="G60" s="193">
        <f>VLOOKUP(Table119[[#This Row],[Course]],'TSD-Data'!$A$1:$G$90,4,FALSE)</f>
        <v>45</v>
      </c>
      <c r="H60" s="243">
        <f>Table119[[#This Row],[FY26 FLT Quota Need]]/Table119[[#This Row],[FY26 Quota Per course]]</f>
        <v>28.977777777777778</v>
      </c>
      <c r="I60" s="237">
        <f>ROUNDUP(Table119[[#This Row],[FY26 Courses Needed]],0)</f>
        <v>29</v>
      </c>
      <c r="J60" s="340">
        <f>COUNTIF(Table2[Course Title],Table119[[#This Row],[Course]])</f>
        <v>0</v>
      </c>
      <c r="K60" s="289" t="str">
        <f>VLOOKUP(Table119[[#This Row],[Course]],'TSD-Data'!$A$1:$G$90,6,FALSE)</f>
        <v>TBD</v>
      </c>
      <c r="L60" s="489" t="s">
        <v>461</v>
      </c>
      <c r="M60" s="523">
        <f>Table119[[#This Row],[FY26 NSETC Course '# projections]]-Table119[[#This Row],[FY26 Courses Needed Round UP]]</f>
        <v>-29</v>
      </c>
      <c r="N60" s="290">
        <f t="shared" si="8"/>
        <v>0</v>
      </c>
      <c r="O60" s="238"/>
      <c r="P60" s="630"/>
      <c r="Q60" s="631"/>
      <c r="R60" s="632"/>
      <c r="S60" s="633"/>
      <c r="T60" s="631"/>
      <c r="U60" s="634"/>
      <c r="V60" s="630"/>
      <c r="W60" s="635"/>
      <c r="X60" s="579"/>
      <c r="Y60" s="580"/>
      <c r="Z60" s="581"/>
      <c r="AA60" s="554"/>
      <c r="AB60" s="555"/>
      <c r="AC60" s="556"/>
      <c r="AD60" s="555"/>
      <c r="AE60" s="555"/>
      <c r="AF60" s="558"/>
      <c r="AG60" s="554"/>
      <c r="AH60" s="583"/>
      <c r="AI60" s="554"/>
      <c r="AJ60" s="555"/>
      <c r="AK60" s="556"/>
      <c r="AL60" s="555"/>
      <c r="AM60" s="555"/>
      <c r="AN60" s="558"/>
      <c r="AO60" s="554"/>
      <c r="AP60" s="585"/>
      <c r="AQ60" s="554"/>
      <c r="AR60" s="555"/>
      <c r="AS60" s="556"/>
      <c r="AT60" s="555"/>
      <c r="AU60" s="555"/>
      <c r="AV60" s="558"/>
      <c r="AW60" s="554"/>
      <c r="AX60" s="356" t="s">
        <v>586</v>
      </c>
    </row>
    <row r="61" spans="1:50" ht="15.75" thickBot="1" x14ac:dyDescent="0.3">
      <c r="A61" s="354" t="s">
        <v>128</v>
      </c>
      <c r="B61" s="355"/>
      <c r="C61" s="355"/>
      <c r="D61" s="355"/>
      <c r="E61" s="355"/>
      <c r="F61" s="355">
        <f>SUBTOTAL(109,Table119[FY26 FLT Quota Need])</f>
        <v>32508</v>
      </c>
      <c r="G61" s="355"/>
      <c r="H61" s="636">
        <f>SUBTOTAL(109,Table119[FY26 Courses Needed])</f>
        <v>929.89698412698397</v>
      </c>
      <c r="I61" s="637">
        <f>SUBTOTAL(109,Table119[FY26 Courses Needed Round UP])</f>
        <v>948</v>
      </c>
      <c r="J61" s="355">
        <f>SUBTOTAL(109,Table119[FY26 NSETC Course '# projections])</f>
        <v>584</v>
      </c>
      <c r="K61" s="355"/>
      <c r="L61" s="355"/>
      <c r="M61" s="355"/>
      <c r="N61" s="355"/>
      <c r="O61" s="240"/>
      <c r="P61" s="623">
        <f>SUBTOTAL(109,Table119[FY25 Total Courses])</f>
        <v>521</v>
      </c>
      <c r="Q61" s="623">
        <f>SUBTOTAL(109,Table119[FY25 Quota Per Course])</f>
        <v>2395</v>
      </c>
      <c r="R61" s="623">
        <f>SUBTOTAL(109,Table119[FY25 Grads])</f>
        <v>13567</v>
      </c>
      <c r="S61" s="623">
        <f>SUBTOTAL(109,Table119[FY25 Fails])</f>
        <v>213</v>
      </c>
      <c r="T61" s="623">
        <f>SUBTOTAL(109,Table119[FY25 No Shows])</f>
        <v>3602</v>
      </c>
      <c r="U61" s="623"/>
      <c r="V61" s="623"/>
      <c r="W61" s="623"/>
      <c r="X61" s="624">
        <f>SUBTOTAL(109,Table119[Quotas: All Data])</f>
        <v>27097</v>
      </c>
      <c r="Y61" s="624">
        <f>SUBTOTAL(109,Table119[Courses Needed: All Data])</f>
        <v>890</v>
      </c>
      <c r="Z61" s="625"/>
      <c r="AA61" s="626">
        <f>SUM(AA2:AA60)</f>
        <v>433</v>
      </c>
      <c r="AB61" s="626">
        <f>SUM(AB2:AB60)</f>
        <v>1255</v>
      </c>
      <c r="AC61" s="626">
        <f>SUM(AC2:AC60)</f>
        <v>10648</v>
      </c>
      <c r="AD61" s="626">
        <f>SUBTOTAL(109,AD2:AD60)</f>
        <v>216</v>
      </c>
      <c r="AE61" s="626"/>
      <c r="AF61" s="626">
        <f>SUM(AF2:AF60)</f>
        <v>26845</v>
      </c>
      <c r="AG61" s="626"/>
      <c r="AH61" s="625"/>
      <c r="AI61" s="626">
        <f>SUM(AI2:AI60)</f>
        <v>431</v>
      </c>
      <c r="AJ61" s="626">
        <f>SUM(AJ2:AJ60)</f>
        <v>1120</v>
      </c>
      <c r="AK61" s="626">
        <f>SUM(AK2:AK60)</f>
        <v>10137</v>
      </c>
      <c r="AL61" s="626">
        <f>SUM(AT2:AT60)</f>
        <v>173</v>
      </c>
      <c r="AM61" s="626"/>
      <c r="AN61" s="626">
        <f>SUM(AN2:AN60)</f>
        <v>15180</v>
      </c>
      <c r="AO61" s="489"/>
      <c r="AP61" s="627"/>
      <c r="AQ61" s="626">
        <f>SUBTOTAL(109,Table119[FY22 Total Courses])</f>
        <v>351</v>
      </c>
      <c r="AR61" s="626">
        <f>SUM(AR2:AR60)</f>
        <v>1000</v>
      </c>
      <c r="AS61" s="626">
        <f>SUM(AS2:AS60)</f>
        <v>8105</v>
      </c>
      <c r="AT61" s="626">
        <f>SUM(AT2:AT60)</f>
        <v>173</v>
      </c>
      <c r="AU61" s="626"/>
      <c r="AV61" s="626">
        <f>SUM(AV2:AV60)</f>
        <v>10836</v>
      </c>
      <c r="AW61" s="628"/>
      <c r="AX61" s="629" t="s">
        <v>128</v>
      </c>
    </row>
    <row r="62" spans="1:50" ht="60" x14ac:dyDescent="0.25">
      <c r="P62" s="242" t="s">
        <v>587</v>
      </c>
    </row>
    <row r="63" spans="1:50" x14ac:dyDescent="0.25">
      <c r="AP63" s="195"/>
      <c r="AR63" s="13"/>
    </row>
    <row r="64" spans="1:50" x14ac:dyDescent="0.25">
      <c r="AQ64" s="13"/>
      <c r="AR64" s="13"/>
    </row>
    <row r="65" spans="43:44" x14ac:dyDescent="0.25">
      <c r="AQ65" s="13"/>
      <c r="AR65" s="13"/>
    </row>
    <row r="66" spans="43:44" x14ac:dyDescent="0.25">
      <c r="AQ66" s="13"/>
      <c r="AR66" s="13"/>
    </row>
    <row r="67" spans="43:44" x14ac:dyDescent="0.25">
      <c r="AQ67" s="13"/>
      <c r="AR67" s="13"/>
    </row>
    <row r="68" spans="43:44" x14ac:dyDescent="0.25">
      <c r="AQ68" s="13"/>
      <c r="AR68" s="13"/>
    </row>
    <row r="69" spans="43:44" x14ac:dyDescent="0.25">
      <c r="AQ69" s="13"/>
      <c r="AR69" s="13"/>
    </row>
    <row r="70" spans="43:44" x14ac:dyDescent="0.25">
      <c r="AQ70" s="13"/>
      <c r="AR70" s="13"/>
    </row>
    <row r="71" spans="43:44" x14ac:dyDescent="0.25">
      <c r="AQ71" s="13"/>
      <c r="AR71" s="13"/>
    </row>
    <row r="72" spans="43:44" x14ac:dyDescent="0.25">
      <c r="AQ72" s="13"/>
      <c r="AR72" s="13"/>
    </row>
    <row r="73" spans="43:44" x14ac:dyDescent="0.25">
      <c r="AQ73" s="13"/>
      <c r="AR73" s="13"/>
    </row>
    <row r="74" spans="43:44" x14ac:dyDescent="0.25">
      <c r="AQ74" s="13"/>
      <c r="AR74" s="13"/>
    </row>
    <row r="75" spans="43:44" x14ac:dyDescent="0.25">
      <c r="AQ75" s="13"/>
      <c r="AR75" s="13"/>
    </row>
    <row r="76" spans="43:44" x14ac:dyDescent="0.25">
      <c r="AQ76" s="13"/>
      <c r="AR76" s="13"/>
    </row>
    <row r="77" spans="43:44" x14ac:dyDescent="0.25">
      <c r="AQ77" s="13"/>
      <c r="AR77" s="13"/>
    </row>
    <row r="78" spans="43:44" x14ac:dyDescent="0.25">
      <c r="AQ78" s="13"/>
      <c r="AR78" s="13"/>
    </row>
  </sheetData>
  <conditionalFormatting sqref="R2:R21">
    <cfRule type="cellIs" dxfId="85" priority="1" operator="lessThan">
      <formula>0</formula>
    </cfRule>
  </conditionalFormatting>
  <conditionalFormatting sqref="AF2:AF21 AN2:AN21 AJ2:AJ27 AB2:AB29 R23:R31 AF32 AF34:AF59">
    <cfRule type="cellIs" dxfId="84" priority="3" operator="lessThan">
      <formula>0</formula>
    </cfRule>
  </conditionalFormatting>
  <conditionalFormatting sqref="AF23:AF25 AN23:AN28 AF27:AF29">
    <cfRule type="cellIs" dxfId="83" priority="4" operator="lessThan">
      <formula>0</formula>
    </cfRule>
  </conditionalFormatting>
  <pageMargins left="0.7" right="0.7" top="0.75" bottom="0.75" header="0.3" footer="0.3"/>
  <pageSetup paperSize="5" scale="99" fitToHeight="0" orientation="landscape" r:id="rId1"/>
  <ignoredErrors>
    <ignoredError sqref="H33:I33 L33:M33" calculatedColumn="1"/>
  </ignoredErrors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6F6CD0C-9FE5-46AD-909D-9A0BDAB01E8B}">
          <x14:formula1>
            <xm:f>'TSD-Data'!$A$2:$A$75</xm:f>
          </x14:formula1>
          <xm:sqref>A2:A60 AX2:AX60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FF0000"/>
  </sheetPr>
  <dimension ref="A1:Q103"/>
  <sheetViews>
    <sheetView zoomScale="70" zoomScaleNormal="70" workbookViewId="0">
      <selection activeCell="D87" sqref="D87"/>
    </sheetView>
  </sheetViews>
  <sheetFormatPr defaultColWidth="8.7109375" defaultRowHeight="15" x14ac:dyDescent="0.25"/>
  <cols>
    <col min="1" max="1" width="70.28515625" bestFit="1" customWidth="1"/>
    <col min="2" max="2" width="20.42578125" customWidth="1"/>
    <col min="3" max="3" width="12.7109375" style="1" customWidth="1"/>
    <col min="8" max="8" width="14.42578125" bestFit="1" customWidth="1"/>
    <col min="9" max="10" width="12" bestFit="1" customWidth="1"/>
    <col min="11" max="11" width="13.28515625" bestFit="1" customWidth="1"/>
    <col min="12" max="12" width="24.7109375" bestFit="1" customWidth="1"/>
    <col min="13" max="13" width="24" bestFit="1" customWidth="1"/>
    <col min="14" max="14" width="18.28515625" bestFit="1" customWidth="1"/>
  </cols>
  <sheetData>
    <row r="1" spans="1:17" x14ac:dyDescent="0.25">
      <c r="A1" s="335" t="s">
        <v>130</v>
      </c>
      <c r="B1" s="335" t="s">
        <v>11</v>
      </c>
      <c r="C1" s="336" t="s">
        <v>12</v>
      </c>
      <c r="D1" s="325" t="s">
        <v>144</v>
      </c>
      <c r="E1" s="325" t="s">
        <v>588</v>
      </c>
      <c r="F1" s="325" t="s">
        <v>589</v>
      </c>
      <c r="G1" s="325" t="s">
        <v>425</v>
      </c>
      <c r="H1" s="7" t="s">
        <v>590</v>
      </c>
      <c r="I1" s="7" t="s">
        <v>591</v>
      </c>
      <c r="J1" s="7" t="s">
        <v>592</v>
      </c>
      <c r="K1" s="7" t="s">
        <v>10</v>
      </c>
      <c r="L1" s="7" t="s">
        <v>132</v>
      </c>
      <c r="M1" s="7" t="s">
        <v>593</v>
      </c>
      <c r="N1" s="7" t="s">
        <v>155</v>
      </c>
      <c r="Q1" s="7" t="s">
        <v>594</v>
      </c>
    </row>
    <row r="2" spans="1:17" x14ac:dyDescent="0.25">
      <c r="A2" s="325" t="s">
        <v>595</v>
      </c>
      <c r="B2" s="325" t="s">
        <v>596</v>
      </c>
      <c r="C2" s="337" t="s">
        <v>597</v>
      </c>
      <c r="D2" s="325">
        <v>20</v>
      </c>
      <c r="E2" s="325">
        <v>2</v>
      </c>
      <c r="F2" s="325">
        <v>16</v>
      </c>
      <c r="G2" s="325" t="s">
        <v>384</v>
      </c>
      <c r="H2" s="117" t="s">
        <v>224</v>
      </c>
      <c r="K2" t="s">
        <v>25</v>
      </c>
      <c r="L2" t="s">
        <v>314</v>
      </c>
      <c r="N2" t="s">
        <v>598</v>
      </c>
      <c r="Q2" s="118" t="s">
        <v>446</v>
      </c>
    </row>
    <row r="3" spans="1:17" x14ac:dyDescent="0.25">
      <c r="A3" s="325" t="s">
        <v>23</v>
      </c>
      <c r="B3" s="325" t="s">
        <v>26</v>
      </c>
      <c r="C3" s="337" t="s">
        <v>27</v>
      </c>
      <c r="D3" s="325">
        <v>45</v>
      </c>
      <c r="E3" s="325">
        <v>2</v>
      </c>
      <c r="F3" s="325">
        <v>16</v>
      </c>
      <c r="G3" s="325" t="s">
        <v>384</v>
      </c>
      <c r="H3" s="286" t="s">
        <v>436</v>
      </c>
      <c r="K3" t="s">
        <v>30</v>
      </c>
      <c r="L3" t="s">
        <v>198</v>
      </c>
      <c r="N3" t="s">
        <v>599</v>
      </c>
      <c r="Q3" s="120" t="s">
        <v>600</v>
      </c>
    </row>
    <row r="4" spans="1:17" x14ac:dyDescent="0.25">
      <c r="A4" s="325" t="s">
        <v>28</v>
      </c>
      <c r="B4" s="325" t="s">
        <v>31</v>
      </c>
      <c r="C4" s="337">
        <v>3878</v>
      </c>
      <c r="D4" s="325">
        <v>25</v>
      </c>
      <c r="E4" s="325">
        <v>3</v>
      </c>
      <c r="F4" s="325">
        <v>24</v>
      </c>
      <c r="G4" s="325" t="s">
        <v>385</v>
      </c>
      <c r="H4" s="117" t="s">
        <v>285</v>
      </c>
      <c r="L4" t="s">
        <v>211</v>
      </c>
      <c r="N4" t="s">
        <v>601</v>
      </c>
      <c r="Q4" s="117" t="s">
        <v>224</v>
      </c>
    </row>
    <row r="5" spans="1:17" x14ac:dyDescent="0.25">
      <c r="A5" s="325" t="s">
        <v>32</v>
      </c>
      <c r="B5" s="325" t="s">
        <v>33</v>
      </c>
      <c r="C5" s="337">
        <v>3879</v>
      </c>
      <c r="D5" s="325">
        <v>30</v>
      </c>
      <c r="E5" s="325">
        <v>0.5</v>
      </c>
      <c r="F5" s="325">
        <v>4</v>
      </c>
      <c r="G5" s="325" t="s">
        <v>385</v>
      </c>
      <c r="H5" s="117" t="s">
        <v>168</v>
      </c>
      <c r="L5" t="s">
        <v>176</v>
      </c>
      <c r="N5" t="s">
        <v>430</v>
      </c>
      <c r="Q5" s="118" t="s">
        <v>164</v>
      </c>
    </row>
    <row r="6" spans="1:17" x14ac:dyDescent="0.25">
      <c r="A6" s="325" t="s">
        <v>34</v>
      </c>
      <c r="B6" s="325" t="s">
        <v>35</v>
      </c>
      <c r="C6" s="337">
        <v>3882</v>
      </c>
      <c r="D6" s="325">
        <v>25</v>
      </c>
      <c r="E6" s="325">
        <v>2</v>
      </c>
      <c r="F6" s="325">
        <v>16</v>
      </c>
      <c r="G6" s="325" t="s">
        <v>385</v>
      </c>
      <c r="H6" s="117" t="s">
        <v>438</v>
      </c>
      <c r="L6" t="s">
        <v>276</v>
      </c>
      <c r="N6" t="s">
        <v>435</v>
      </c>
      <c r="Q6" s="118" t="s">
        <v>444</v>
      </c>
    </row>
    <row r="7" spans="1:17" x14ac:dyDescent="0.25">
      <c r="A7" s="325" t="s">
        <v>36</v>
      </c>
      <c r="B7" s="325" t="s">
        <v>37</v>
      </c>
      <c r="C7" s="337">
        <v>3888</v>
      </c>
      <c r="D7" s="325">
        <v>30</v>
      </c>
      <c r="E7" s="325">
        <v>0.5</v>
      </c>
      <c r="F7" s="325">
        <v>4</v>
      </c>
      <c r="G7" s="325" t="s">
        <v>385</v>
      </c>
      <c r="H7" s="117" t="s">
        <v>453</v>
      </c>
      <c r="L7" t="s">
        <v>294</v>
      </c>
      <c r="N7" t="s">
        <v>427</v>
      </c>
      <c r="Q7" s="118" t="s">
        <v>431</v>
      </c>
    </row>
    <row r="8" spans="1:17" x14ac:dyDescent="0.25">
      <c r="A8" s="325" t="s">
        <v>38</v>
      </c>
      <c r="B8" s="325" t="s">
        <v>39</v>
      </c>
      <c r="C8" s="337" t="s">
        <v>40</v>
      </c>
      <c r="D8" s="325">
        <v>25</v>
      </c>
      <c r="E8" s="325">
        <v>5</v>
      </c>
      <c r="F8" s="325">
        <v>40</v>
      </c>
      <c r="G8" s="325" t="s">
        <v>385</v>
      </c>
      <c r="H8" s="117" t="s">
        <v>447</v>
      </c>
      <c r="L8" t="s">
        <v>602</v>
      </c>
      <c r="N8" t="s">
        <v>603</v>
      </c>
      <c r="Q8" s="118" t="s">
        <v>172</v>
      </c>
    </row>
    <row r="9" spans="1:17" x14ac:dyDescent="0.25">
      <c r="A9" s="325" t="s">
        <v>41</v>
      </c>
      <c r="B9" s="325" t="s">
        <v>42</v>
      </c>
      <c r="C9" s="337" t="s">
        <v>43</v>
      </c>
      <c r="D9" s="325">
        <v>30</v>
      </c>
      <c r="E9" s="325">
        <v>1</v>
      </c>
      <c r="F9" s="325">
        <v>8</v>
      </c>
      <c r="G9" s="325" t="s">
        <v>385</v>
      </c>
      <c r="H9" s="118" t="s">
        <v>224</v>
      </c>
      <c r="L9" t="s">
        <v>311</v>
      </c>
      <c r="N9" t="s">
        <v>428</v>
      </c>
      <c r="Q9" s="118" t="s">
        <v>509</v>
      </c>
    </row>
    <row r="10" spans="1:17" x14ac:dyDescent="0.25">
      <c r="A10" s="325" t="s">
        <v>604</v>
      </c>
      <c r="B10" s="325" t="s">
        <v>605</v>
      </c>
      <c r="C10" s="337" t="s">
        <v>606</v>
      </c>
      <c r="D10" s="325">
        <v>30</v>
      </c>
      <c r="E10" s="325">
        <v>3</v>
      </c>
      <c r="F10" s="325">
        <v>24</v>
      </c>
      <c r="G10" s="325" t="s">
        <v>386</v>
      </c>
      <c r="H10" s="118" t="s">
        <v>164</v>
      </c>
      <c r="L10" t="s">
        <v>311</v>
      </c>
      <c r="N10" t="s">
        <v>440</v>
      </c>
      <c r="Q10" s="118" t="s">
        <v>516</v>
      </c>
    </row>
    <row r="11" spans="1:17" x14ac:dyDescent="0.25">
      <c r="A11" s="325" t="s">
        <v>44</v>
      </c>
      <c r="B11" s="325" t="s">
        <v>46</v>
      </c>
      <c r="C11" s="337" t="s">
        <v>47</v>
      </c>
      <c r="D11" s="325">
        <v>45</v>
      </c>
      <c r="E11" s="325">
        <v>3</v>
      </c>
      <c r="F11" s="325">
        <v>24</v>
      </c>
      <c r="G11" s="325" t="s">
        <v>386</v>
      </c>
      <c r="H11" s="118" t="s">
        <v>432</v>
      </c>
      <c r="L11" t="s">
        <v>293</v>
      </c>
      <c r="Q11" s="118" t="s">
        <v>487</v>
      </c>
    </row>
    <row r="12" spans="1:17" x14ac:dyDescent="0.25">
      <c r="A12" s="325" t="s">
        <v>52</v>
      </c>
      <c r="B12" s="325" t="s">
        <v>53</v>
      </c>
      <c r="C12" s="337" t="s">
        <v>54</v>
      </c>
      <c r="D12" s="325">
        <v>25</v>
      </c>
      <c r="E12" s="325">
        <v>5</v>
      </c>
      <c r="F12" s="325">
        <v>40</v>
      </c>
      <c r="G12" s="325" t="s">
        <v>385</v>
      </c>
      <c r="H12" s="118" t="s">
        <v>444</v>
      </c>
      <c r="L12" t="s">
        <v>341</v>
      </c>
      <c r="Q12" s="118" t="s">
        <v>454</v>
      </c>
    </row>
    <row r="13" spans="1:17" x14ac:dyDescent="0.25">
      <c r="A13" s="325" t="s">
        <v>55</v>
      </c>
      <c r="B13" s="325" t="s">
        <v>56</v>
      </c>
      <c r="C13" s="337" t="s">
        <v>57</v>
      </c>
      <c r="D13" s="325">
        <v>35</v>
      </c>
      <c r="E13" s="325">
        <v>5</v>
      </c>
      <c r="F13" s="325">
        <v>30</v>
      </c>
      <c r="G13" s="325" t="s">
        <v>388</v>
      </c>
      <c r="H13" s="118" t="s">
        <v>431</v>
      </c>
      <c r="L13" t="s">
        <v>340</v>
      </c>
    </row>
    <row r="14" spans="1:17" x14ac:dyDescent="0.25">
      <c r="A14" s="325" t="s">
        <v>607</v>
      </c>
      <c r="B14" s="325" t="s">
        <v>608</v>
      </c>
      <c r="C14" s="337" t="s">
        <v>609</v>
      </c>
      <c r="D14" s="325">
        <v>30</v>
      </c>
      <c r="E14" s="325">
        <v>4</v>
      </c>
      <c r="F14" s="325">
        <v>32</v>
      </c>
      <c r="G14" s="325" t="s">
        <v>388</v>
      </c>
      <c r="L14" t="s">
        <v>312</v>
      </c>
    </row>
    <row r="15" spans="1:17" x14ac:dyDescent="0.25">
      <c r="A15" s="325" t="s">
        <v>58</v>
      </c>
      <c r="B15" s="325" t="s">
        <v>59</v>
      </c>
      <c r="C15" s="337" t="s">
        <v>60</v>
      </c>
      <c r="D15" s="325">
        <v>25</v>
      </c>
      <c r="E15" s="325">
        <v>2</v>
      </c>
      <c r="F15" s="325">
        <v>16</v>
      </c>
      <c r="G15" s="325" t="s">
        <v>385</v>
      </c>
      <c r="H15" s="119"/>
      <c r="L15" t="s">
        <v>339</v>
      </c>
    </row>
    <row r="16" spans="1:17" x14ac:dyDescent="0.25">
      <c r="A16" s="325" t="s">
        <v>61</v>
      </c>
      <c r="B16" s="325" t="s">
        <v>62</v>
      </c>
      <c r="C16" s="337">
        <v>3682</v>
      </c>
      <c r="D16" s="325">
        <v>40</v>
      </c>
      <c r="E16" s="325">
        <v>5</v>
      </c>
      <c r="F16" s="325">
        <v>40</v>
      </c>
      <c r="G16" s="325" t="s">
        <v>384</v>
      </c>
      <c r="H16" s="119" t="s">
        <v>426</v>
      </c>
      <c r="L16" t="s">
        <v>476</v>
      </c>
    </row>
    <row r="17" spans="1:12" x14ac:dyDescent="0.25">
      <c r="A17" s="325" t="s">
        <v>63</v>
      </c>
      <c r="B17" s="325" t="s">
        <v>64</v>
      </c>
      <c r="C17" s="337">
        <v>3683</v>
      </c>
      <c r="D17" s="325">
        <v>40</v>
      </c>
      <c r="E17" s="325">
        <v>3</v>
      </c>
      <c r="F17" s="325">
        <v>24</v>
      </c>
      <c r="G17" s="325" t="s">
        <v>384</v>
      </c>
      <c r="H17" s="119" t="s">
        <v>272</v>
      </c>
      <c r="L17" t="s">
        <v>330</v>
      </c>
    </row>
    <row r="18" spans="1:12" x14ac:dyDescent="0.25">
      <c r="A18" s="325" t="s">
        <v>65</v>
      </c>
      <c r="B18" s="325" t="s">
        <v>66</v>
      </c>
      <c r="C18" s="337" t="s">
        <v>67</v>
      </c>
      <c r="D18" s="325">
        <v>45</v>
      </c>
      <c r="E18" s="325">
        <v>3</v>
      </c>
      <c r="F18" s="325">
        <v>24</v>
      </c>
      <c r="G18" s="325" t="s">
        <v>388</v>
      </c>
      <c r="H18" s="119" t="s">
        <v>172</v>
      </c>
      <c r="L18" t="s">
        <v>254</v>
      </c>
    </row>
    <row r="19" spans="1:12" x14ac:dyDescent="0.25">
      <c r="A19" s="325" t="s">
        <v>48</v>
      </c>
      <c r="B19" s="325" t="s">
        <v>50</v>
      </c>
      <c r="C19" s="337" t="s">
        <v>51</v>
      </c>
      <c r="D19" s="325">
        <v>25</v>
      </c>
      <c r="E19" s="325">
        <v>5</v>
      </c>
      <c r="F19" s="325">
        <v>40</v>
      </c>
      <c r="G19" s="325" t="s">
        <v>388</v>
      </c>
      <c r="H19" s="119" t="s">
        <v>273</v>
      </c>
      <c r="L19" t="s">
        <v>357</v>
      </c>
    </row>
    <row r="20" spans="1:12" x14ac:dyDescent="0.25">
      <c r="A20" s="325" t="s">
        <v>610</v>
      </c>
      <c r="B20" s="325" t="s">
        <v>50</v>
      </c>
      <c r="C20" s="337" t="s">
        <v>51</v>
      </c>
      <c r="D20" s="325">
        <v>25</v>
      </c>
      <c r="E20" s="325">
        <v>5</v>
      </c>
      <c r="F20" s="325">
        <v>40</v>
      </c>
      <c r="G20" s="325" t="s">
        <v>388</v>
      </c>
      <c r="H20" s="119" t="s">
        <v>611</v>
      </c>
      <c r="L20" t="s">
        <v>343</v>
      </c>
    </row>
    <row r="21" spans="1:12" x14ac:dyDescent="0.25">
      <c r="A21" s="325" t="s">
        <v>68</v>
      </c>
      <c r="B21" s="325" t="s">
        <v>277</v>
      </c>
      <c r="C21" s="337" t="s">
        <v>70</v>
      </c>
      <c r="D21" s="325">
        <v>30</v>
      </c>
      <c r="E21" s="325">
        <v>4</v>
      </c>
      <c r="F21" s="325">
        <v>32</v>
      </c>
      <c r="G21" s="325" t="s">
        <v>388</v>
      </c>
      <c r="H21" s="119" t="s">
        <v>612</v>
      </c>
      <c r="L21" t="s">
        <v>286</v>
      </c>
    </row>
    <row r="22" spans="1:12" x14ac:dyDescent="0.25">
      <c r="A22" s="325" t="s">
        <v>71</v>
      </c>
      <c r="B22" s="325" t="s">
        <v>72</v>
      </c>
      <c r="C22" s="337" t="s">
        <v>73</v>
      </c>
      <c r="D22" s="325">
        <v>45</v>
      </c>
      <c r="E22" s="325">
        <v>4</v>
      </c>
      <c r="F22" s="325">
        <v>30</v>
      </c>
      <c r="G22" s="325" t="s">
        <v>388</v>
      </c>
      <c r="H22" s="119" t="s">
        <v>540</v>
      </c>
      <c r="L22" t="s">
        <v>255</v>
      </c>
    </row>
    <row r="23" spans="1:12" x14ac:dyDescent="0.25">
      <c r="A23" s="325" t="s">
        <v>613</v>
      </c>
      <c r="B23" s="325" t="s">
        <v>614</v>
      </c>
      <c r="C23" s="337" t="s">
        <v>615</v>
      </c>
      <c r="D23" s="325">
        <v>30</v>
      </c>
      <c r="E23" s="325">
        <v>3</v>
      </c>
      <c r="F23" s="325">
        <v>24</v>
      </c>
      <c r="G23" s="325" t="s">
        <v>386</v>
      </c>
      <c r="H23" s="119" t="s">
        <v>275</v>
      </c>
      <c r="L23" t="s">
        <v>25</v>
      </c>
    </row>
    <row r="24" spans="1:12" x14ac:dyDescent="0.25">
      <c r="A24" s="325" t="s">
        <v>74</v>
      </c>
      <c r="B24" s="325" t="s">
        <v>75</v>
      </c>
      <c r="C24" s="337" t="s">
        <v>76</v>
      </c>
      <c r="D24" s="325">
        <v>45</v>
      </c>
      <c r="E24" s="325">
        <v>3</v>
      </c>
      <c r="F24" s="325">
        <v>24</v>
      </c>
      <c r="G24" s="325" t="s">
        <v>386</v>
      </c>
      <c r="L24" t="s">
        <v>166</v>
      </c>
    </row>
    <row r="25" spans="1:12" x14ac:dyDescent="0.25">
      <c r="A25" s="325" t="s">
        <v>77</v>
      </c>
      <c r="B25" s="325" t="s">
        <v>78</v>
      </c>
      <c r="C25" s="338" t="s">
        <v>79</v>
      </c>
      <c r="D25" s="325">
        <v>25</v>
      </c>
      <c r="E25" s="325">
        <v>3</v>
      </c>
      <c r="F25" s="325">
        <v>24</v>
      </c>
      <c r="G25" s="325" t="s">
        <v>384</v>
      </c>
      <c r="L25" t="s">
        <v>297</v>
      </c>
    </row>
    <row r="26" spans="1:12" x14ac:dyDescent="0.25">
      <c r="A26" s="325" t="s">
        <v>80</v>
      </c>
      <c r="B26" s="325" t="s">
        <v>81</v>
      </c>
      <c r="C26" s="337" t="s">
        <v>82</v>
      </c>
      <c r="D26" s="325">
        <v>30</v>
      </c>
      <c r="E26" s="325">
        <v>1</v>
      </c>
      <c r="F26" s="325">
        <v>8</v>
      </c>
      <c r="G26" s="325" t="s">
        <v>384</v>
      </c>
      <c r="H26" s="120" t="s">
        <v>445</v>
      </c>
      <c r="L26" t="s">
        <v>171</v>
      </c>
    </row>
    <row r="27" spans="1:12" x14ac:dyDescent="0.25">
      <c r="A27" s="325" t="s">
        <v>83</v>
      </c>
      <c r="B27" s="325" t="s">
        <v>84</v>
      </c>
      <c r="C27" s="337" t="s">
        <v>85</v>
      </c>
      <c r="D27" s="325">
        <v>30</v>
      </c>
      <c r="E27" s="325">
        <v>2</v>
      </c>
      <c r="F27" s="325">
        <v>16</v>
      </c>
      <c r="G27" s="325" t="s">
        <v>384</v>
      </c>
      <c r="H27" s="120" t="s">
        <v>175</v>
      </c>
      <c r="L27" t="s">
        <v>287</v>
      </c>
    </row>
    <row r="28" spans="1:12" x14ac:dyDescent="0.25">
      <c r="A28" s="325" t="s">
        <v>86</v>
      </c>
      <c r="B28" s="325" t="s">
        <v>87</v>
      </c>
      <c r="C28" s="337" t="s">
        <v>88</v>
      </c>
      <c r="D28" s="325">
        <v>30</v>
      </c>
      <c r="E28" s="325">
        <v>1</v>
      </c>
      <c r="F28" s="325">
        <v>8</v>
      </c>
      <c r="G28" s="325" t="s">
        <v>384</v>
      </c>
      <c r="H28" s="676" t="s">
        <v>600</v>
      </c>
      <c r="L28" t="s">
        <v>256</v>
      </c>
    </row>
    <row r="29" spans="1:12" x14ac:dyDescent="0.25">
      <c r="A29" s="325" t="s">
        <v>89</v>
      </c>
      <c r="B29" s="325" t="s">
        <v>90</v>
      </c>
      <c r="C29" s="337" t="s">
        <v>91</v>
      </c>
      <c r="D29" s="325">
        <v>30</v>
      </c>
      <c r="E29" s="325">
        <v>1</v>
      </c>
      <c r="F29" s="325">
        <v>8</v>
      </c>
      <c r="G29" s="325" t="s">
        <v>384</v>
      </c>
      <c r="H29" s="120" t="s">
        <v>285</v>
      </c>
      <c r="L29" t="s">
        <v>324</v>
      </c>
    </row>
    <row r="30" spans="1:12" x14ac:dyDescent="0.25">
      <c r="A30" s="325" t="s">
        <v>92</v>
      </c>
      <c r="B30" s="325" t="s">
        <v>93</v>
      </c>
      <c r="C30" s="337">
        <v>5891</v>
      </c>
      <c r="D30" s="325">
        <v>25</v>
      </c>
      <c r="E30" s="325">
        <v>3</v>
      </c>
      <c r="F30" s="325">
        <v>24</v>
      </c>
      <c r="G30" s="325" t="s">
        <v>385</v>
      </c>
      <c r="H30" s="120" t="s">
        <v>174</v>
      </c>
      <c r="L30" t="s">
        <v>318</v>
      </c>
    </row>
    <row r="31" spans="1:12" x14ac:dyDescent="0.25">
      <c r="A31" s="325" t="s">
        <v>94</v>
      </c>
      <c r="B31" s="325" t="s">
        <v>95</v>
      </c>
      <c r="C31" s="337" t="s">
        <v>96</v>
      </c>
      <c r="D31" s="325">
        <v>45</v>
      </c>
      <c r="E31" s="325">
        <v>3</v>
      </c>
      <c r="F31" s="325">
        <v>24</v>
      </c>
      <c r="G31" s="325" t="s">
        <v>385</v>
      </c>
      <c r="H31" s="120" t="s">
        <v>446</v>
      </c>
      <c r="L31" t="s">
        <v>238</v>
      </c>
    </row>
    <row r="32" spans="1:12" x14ac:dyDescent="0.25">
      <c r="A32" s="325" t="s">
        <v>97</v>
      </c>
      <c r="B32" s="325" t="s">
        <v>98</v>
      </c>
      <c r="C32" s="337" t="s">
        <v>99</v>
      </c>
      <c r="D32" s="325">
        <v>45</v>
      </c>
      <c r="E32" s="325">
        <v>4</v>
      </c>
      <c r="F32" s="325">
        <v>32</v>
      </c>
      <c r="G32" s="325" t="s">
        <v>385</v>
      </c>
      <c r="H32" s="120" t="s">
        <v>541</v>
      </c>
      <c r="L32" t="s">
        <v>278</v>
      </c>
    </row>
    <row r="33" spans="1:12" x14ac:dyDescent="0.25">
      <c r="A33" s="325" t="s">
        <v>616</v>
      </c>
      <c r="B33" s="325" t="s">
        <v>617</v>
      </c>
      <c r="C33" s="337" t="s">
        <v>618</v>
      </c>
      <c r="D33" s="325">
        <v>30</v>
      </c>
      <c r="E33" s="325">
        <v>4</v>
      </c>
      <c r="F33" s="325">
        <v>32</v>
      </c>
      <c r="G33" s="325" t="s">
        <v>385</v>
      </c>
      <c r="H33" s="120" t="s">
        <v>437</v>
      </c>
      <c r="L33" t="s">
        <v>344</v>
      </c>
    </row>
    <row r="34" spans="1:12" x14ac:dyDescent="0.25">
      <c r="A34" s="325" t="s">
        <v>100</v>
      </c>
      <c r="B34" s="325" t="s">
        <v>101</v>
      </c>
      <c r="C34" s="337" t="s">
        <v>102</v>
      </c>
      <c r="D34" s="325">
        <v>45</v>
      </c>
      <c r="E34" s="325">
        <v>4</v>
      </c>
      <c r="F34" s="325">
        <v>32</v>
      </c>
      <c r="G34" s="325" t="s">
        <v>388</v>
      </c>
      <c r="H34" s="120" t="s">
        <v>619</v>
      </c>
      <c r="L34" t="s">
        <v>257</v>
      </c>
    </row>
    <row r="35" spans="1:12" x14ac:dyDescent="0.25">
      <c r="A35" s="325" t="s">
        <v>620</v>
      </c>
      <c r="B35" s="325" t="s">
        <v>621</v>
      </c>
      <c r="C35" s="337" t="s">
        <v>622</v>
      </c>
      <c r="D35" s="325">
        <v>30</v>
      </c>
      <c r="E35" s="325">
        <v>4</v>
      </c>
      <c r="F35" s="325">
        <v>32</v>
      </c>
      <c r="G35" s="325" t="s">
        <v>388</v>
      </c>
      <c r="H35" s="120" t="s">
        <v>442</v>
      </c>
      <c r="L35" t="s">
        <v>258</v>
      </c>
    </row>
    <row r="36" spans="1:12" x14ac:dyDescent="0.25">
      <c r="A36" s="325" t="s">
        <v>103</v>
      </c>
      <c r="B36" s="325" t="s">
        <v>104</v>
      </c>
      <c r="C36" s="337" t="s">
        <v>105</v>
      </c>
      <c r="D36" s="325">
        <v>30</v>
      </c>
      <c r="E36" s="325">
        <v>4</v>
      </c>
      <c r="F36" s="325">
        <v>32</v>
      </c>
      <c r="G36" s="325" t="s">
        <v>388</v>
      </c>
      <c r="H36" s="280" t="s">
        <v>443</v>
      </c>
      <c r="L36" t="s">
        <v>623</v>
      </c>
    </row>
    <row r="37" spans="1:12" x14ac:dyDescent="0.25">
      <c r="A37" s="325" t="s">
        <v>389</v>
      </c>
      <c r="B37" s="325" t="s">
        <v>107</v>
      </c>
      <c r="C37" s="337" t="s">
        <v>624</v>
      </c>
      <c r="D37" s="325">
        <v>30</v>
      </c>
      <c r="E37" s="325">
        <v>4</v>
      </c>
      <c r="F37" s="325">
        <v>32</v>
      </c>
      <c r="G37" s="325" t="s">
        <v>388</v>
      </c>
      <c r="H37" t="s">
        <v>461</v>
      </c>
      <c r="L37" t="s">
        <v>169</v>
      </c>
    </row>
    <row r="38" spans="1:12" x14ac:dyDescent="0.25">
      <c r="A38" s="325" t="s">
        <v>106</v>
      </c>
      <c r="B38" s="325" t="s">
        <v>107</v>
      </c>
      <c r="C38" s="337">
        <v>1228</v>
      </c>
      <c r="D38" s="325">
        <v>45</v>
      </c>
      <c r="E38" s="325">
        <v>4</v>
      </c>
      <c r="F38" s="325">
        <v>32</v>
      </c>
      <c r="G38" s="325" t="s">
        <v>388</v>
      </c>
      <c r="H38" s="120" t="s">
        <v>625</v>
      </c>
      <c r="L38" t="s">
        <v>291</v>
      </c>
    </row>
    <row r="39" spans="1:12" x14ac:dyDescent="0.25">
      <c r="A39" s="325" t="s">
        <v>389</v>
      </c>
      <c r="B39" s="325" t="s">
        <v>626</v>
      </c>
      <c r="C39" s="337" t="s">
        <v>624</v>
      </c>
      <c r="D39" s="325">
        <v>30</v>
      </c>
      <c r="E39" s="325">
        <v>5</v>
      </c>
      <c r="F39" s="325">
        <v>40</v>
      </c>
      <c r="G39" s="325" t="s">
        <v>388</v>
      </c>
      <c r="H39" s="120" t="s">
        <v>627</v>
      </c>
      <c r="L39" t="s">
        <v>628</v>
      </c>
    </row>
    <row r="40" spans="1:12" x14ac:dyDescent="0.25">
      <c r="A40" s="325" t="s">
        <v>108</v>
      </c>
      <c r="B40" s="325" t="s">
        <v>109</v>
      </c>
      <c r="C40" s="337">
        <v>3555</v>
      </c>
      <c r="D40" s="325">
        <v>45</v>
      </c>
      <c r="E40" s="325">
        <v>4</v>
      </c>
      <c r="F40" s="325">
        <v>32</v>
      </c>
      <c r="G40" s="325" t="s">
        <v>385</v>
      </c>
      <c r="H40" s="120" t="s">
        <v>434</v>
      </c>
      <c r="L40" t="s">
        <v>259</v>
      </c>
    </row>
    <row r="41" spans="1:12" x14ac:dyDescent="0.25">
      <c r="A41" s="325" t="s">
        <v>221</v>
      </c>
      <c r="B41" s="325" t="s">
        <v>461</v>
      </c>
      <c r="C41" s="337" t="s">
        <v>461</v>
      </c>
      <c r="D41" s="325" t="s">
        <v>461</v>
      </c>
      <c r="E41" s="325" t="s">
        <v>461</v>
      </c>
      <c r="F41" s="325" t="s">
        <v>461</v>
      </c>
      <c r="G41" s="325" t="s">
        <v>385</v>
      </c>
      <c r="H41" s="286" t="s">
        <v>284</v>
      </c>
      <c r="L41" t="s">
        <v>326</v>
      </c>
    </row>
    <row r="42" spans="1:12" x14ac:dyDescent="0.25">
      <c r="A42" s="325" t="s">
        <v>110</v>
      </c>
      <c r="B42" s="325" t="s">
        <v>111</v>
      </c>
      <c r="C42" s="337" t="s">
        <v>112</v>
      </c>
      <c r="D42" s="325">
        <v>30</v>
      </c>
      <c r="E42" s="325">
        <v>1</v>
      </c>
      <c r="F42" s="325">
        <v>8</v>
      </c>
      <c r="G42" s="325" t="s">
        <v>384</v>
      </c>
      <c r="H42" s="120" t="s">
        <v>439</v>
      </c>
      <c r="L42" t="s">
        <v>300</v>
      </c>
    </row>
    <row r="43" spans="1:12" x14ac:dyDescent="0.25">
      <c r="A43" s="325" t="s">
        <v>113</v>
      </c>
      <c r="B43" s="325" t="s">
        <v>114</v>
      </c>
      <c r="C43" s="337" t="s">
        <v>115</v>
      </c>
      <c r="D43" s="325">
        <v>45</v>
      </c>
      <c r="E43" s="325">
        <v>2</v>
      </c>
      <c r="F43" s="325">
        <v>16</v>
      </c>
      <c r="G43" s="325" t="s">
        <v>386</v>
      </c>
      <c r="L43" t="s">
        <v>629</v>
      </c>
    </row>
    <row r="44" spans="1:12" x14ac:dyDescent="0.25">
      <c r="A44" s="325" t="s">
        <v>116</v>
      </c>
      <c r="B44" s="325" t="s">
        <v>117</v>
      </c>
      <c r="C44" s="337" t="s">
        <v>118</v>
      </c>
      <c r="D44" s="325">
        <v>30</v>
      </c>
      <c r="E44" s="325">
        <v>5</v>
      </c>
      <c r="F44" s="325">
        <v>40</v>
      </c>
      <c r="G44" s="325" t="s">
        <v>385</v>
      </c>
      <c r="L44" t="s">
        <v>630</v>
      </c>
    </row>
    <row r="45" spans="1:12" x14ac:dyDescent="0.25">
      <c r="A45" s="325" t="s">
        <v>408</v>
      </c>
      <c r="B45" s="325" t="s">
        <v>631</v>
      </c>
      <c r="C45" s="337" t="s">
        <v>632</v>
      </c>
      <c r="D45" s="325">
        <v>20</v>
      </c>
      <c r="E45" s="325">
        <v>5</v>
      </c>
      <c r="F45" s="325">
        <v>40</v>
      </c>
      <c r="G45" s="325" t="s">
        <v>386</v>
      </c>
      <c r="L45" t="s">
        <v>309</v>
      </c>
    </row>
    <row r="46" spans="1:12" x14ac:dyDescent="0.25">
      <c r="A46" s="325" t="s">
        <v>159</v>
      </c>
      <c r="B46" s="325" t="s">
        <v>160</v>
      </c>
      <c r="C46" s="337" t="s">
        <v>161</v>
      </c>
      <c r="D46" s="325">
        <v>30</v>
      </c>
      <c r="E46" s="325">
        <v>2</v>
      </c>
      <c r="F46" s="325">
        <v>16</v>
      </c>
      <c r="G46" s="325" t="s">
        <v>386</v>
      </c>
      <c r="L46" t="s">
        <v>162</v>
      </c>
    </row>
    <row r="47" spans="1:12" x14ac:dyDescent="0.25">
      <c r="A47" s="325" t="s">
        <v>119</v>
      </c>
      <c r="B47" s="325" t="s">
        <v>120</v>
      </c>
      <c r="C47" s="337" t="s">
        <v>121</v>
      </c>
      <c r="D47" s="325">
        <v>100</v>
      </c>
      <c r="E47" s="325">
        <v>3</v>
      </c>
      <c r="F47" s="325">
        <v>16</v>
      </c>
      <c r="G47" s="325" t="s">
        <v>386</v>
      </c>
      <c r="L47" t="s">
        <v>633</v>
      </c>
    </row>
    <row r="48" spans="1:12" x14ac:dyDescent="0.25">
      <c r="A48" s="325" t="s">
        <v>634</v>
      </c>
      <c r="B48" s="325" t="s">
        <v>635</v>
      </c>
      <c r="C48" s="337" t="s">
        <v>635</v>
      </c>
      <c r="D48" s="325">
        <v>0</v>
      </c>
      <c r="E48" s="325">
        <v>0</v>
      </c>
      <c r="F48" s="325"/>
      <c r="G48" s="325" t="s">
        <v>636</v>
      </c>
      <c r="L48" t="s">
        <v>485</v>
      </c>
    </row>
    <row r="49" spans="1:12" x14ac:dyDescent="0.25">
      <c r="A49" s="325" t="s">
        <v>637</v>
      </c>
      <c r="B49" s="325" t="s">
        <v>638</v>
      </c>
      <c r="C49" s="337" t="s">
        <v>639</v>
      </c>
      <c r="D49" s="325">
        <v>30</v>
      </c>
      <c r="E49" s="325">
        <v>2</v>
      </c>
      <c r="F49" s="325">
        <v>16</v>
      </c>
      <c r="G49" s="325" t="s">
        <v>386</v>
      </c>
      <c r="L49" t="s">
        <v>640</v>
      </c>
    </row>
    <row r="50" spans="1:12" x14ac:dyDescent="0.25">
      <c r="A50" s="325" t="s">
        <v>122</v>
      </c>
      <c r="B50" s="325" t="s">
        <v>123</v>
      </c>
      <c r="C50" s="337" t="s">
        <v>124</v>
      </c>
      <c r="D50" s="325">
        <v>45</v>
      </c>
      <c r="E50" s="325">
        <v>2</v>
      </c>
      <c r="F50" s="325">
        <v>16</v>
      </c>
      <c r="G50" s="325" t="s">
        <v>386</v>
      </c>
      <c r="L50" t="s">
        <v>488</v>
      </c>
    </row>
    <row r="51" spans="1:12" x14ac:dyDescent="0.25">
      <c r="A51" s="325" t="s">
        <v>125</v>
      </c>
      <c r="B51" s="325" t="s">
        <v>354</v>
      </c>
      <c r="C51" s="337" t="s">
        <v>355</v>
      </c>
      <c r="D51" s="325">
        <v>25</v>
      </c>
      <c r="E51" s="325">
        <v>5</v>
      </c>
      <c r="F51" s="325">
        <v>40</v>
      </c>
      <c r="G51" s="325" t="s">
        <v>384</v>
      </c>
      <c r="L51" t="s">
        <v>641</v>
      </c>
    </row>
    <row r="52" spans="1:12" x14ac:dyDescent="0.25">
      <c r="A52" s="325" t="s">
        <v>505</v>
      </c>
      <c r="B52" s="325" t="s">
        <v>461</v>
      </c>
      <c r="C52" s="337" t="s">
        <v>461</v>
      </c>
      <c r="D52" s="325">
        <v>0</v>
      </c>
      <c r="E52" s="325">
        <v>0</v>
      </c>
      <c r="F52" s="325">
        <v>0</v>
      </c>
      <c r="G52" s="325" t="s">
        <v>388</v>
      </c>
      <c r="L52" t="s">
        <v>642</v>
      </c>
    </row>
    <row r="53" spans="1:12" x14ac:dyDescent="0.25">
      <c r="A53" s="325" t="s">
        <v>250</v>
      </c>
      <c r="B53" s="325" t="s">
        <v>251</v>
      </c>
      <c r="C53" s="337" t="s">
        <v>251</v>
      </c>
      <c r="D53" s="325">
        <v>0</v>
      </c>
      <c r="E53" s="325">
        <v>0</v>
      </c>
      <c r="F53" s="325">
        <v>0</v>
      </c>
      <c r="G53" s="325" t="s">
        <v>636</v>
      </c>
      <c r="L53" t="s">
        <v>337</v>
      </c>
    </row>
    <row r="54" spans="1:12" x14ac:dyDescent="0.25">
      <c r="A54" s="325" t="s">
        <v>238</v>
      </c>
      <c r="B54" s="325" t="s">
        <v>238</v>
      </c>
      <c r="C54" s="337" t="s">
        <v>238</v>
      </c>
      <c r="D54" s="325">
        <v>0</v>
      </c>
      <c r="E54" s="325">
        <v>0</v>
      </c>
      <c r="F54" s="325">
        <v>0</v>
      </c>
      <c r="G54" s="325" t="s">
        <v>636</v>
      </c>
      <c r="L54" t="s">
        <v>643</v>
      </c>
    </row>
    <row r="55" spans="1:12" x14ac:dyDescent="0.25">
      <c r="A55" s="325" t="s">
        <v>456</v>
      </c>
      <c r="B55" s="325" t="s">
        <v>644</v>
      </c>
      <c r="C55" s="337" t="s">
        <v>645</v>
      </c>
      <c r="D55" s="325">
        <v>0</v>
      </c>
      <c r="E55" s="325">
        <v>0</v>
      </c>
      <c r="F55" s="325">
        <v>0</v>
      </c>
      <c r="G55" s="325" t="s">
        <v>636</v>
      </c>
      <c r="L55" t="s">
        <v>296</v>
      </c>
    </row>
    <row r="56" spans="1:12" x14ac:dyDescent="0.25">
      <c r="A56" s="339" t="s">
        <v>227</v>
      </c>
      <c r="B56" s="325" t="s">
        <v>228</v>
      </c>
      <c r="C56" s="337" t="s">
        <v>228</v>
      </c>
      <c r="D56" s="325">
        <v>0</v>
      </c>
      <c r="E56" s="325">
        <v>0</v>
      </c>
      <c r="F56" s="325">
        <v>0</v>
      </c>
      <c r="G56" s="325" t="s">
        <v>636</v>
      </c>
      <c r="L56" t="s">
        <v>260</v>
      </c>
    </row>
    <row r="57" spans="1:12" x14ac:dyDescent="0.25">
      <c r="A57" s="477" t="s">
        <v>390</v>
      </c>
      <c r="B57" s="325" t="s">
        <v>646</v>
      </c>
      <c r="C57" s="337" t="s">
        <v>647</v>
      </c>
      <c r="D57" s="325">
        <v>1000</v>
      </c>
      <c r="E57" s="325">
        <v>0.3</v>
      </c>
      <c r="F57" s="325">
        <v>2.5</v>
      </c>
      <c r="G57" s="449" t="s">
        <v>386</v>
      </c>
      <c r="L57" t="s">
        <v>327</v>
      </c>
    </row>
    <row r="58" spans="1:12" x14ac:dyDescent="0.25">
      <c r="A58" s="477" t="s">
        <v>391</v>
      </c>
      <c r="B58" s="325" t="s">
        <v>648</v>
      </c>
      <c r="C58" s="337" t="s">
        <v>649</v>
      </c>
      <c r="D58" s="325">
        <v>1000</v>
      </c>
      <c r="E58" s="325">
        <v>0.25</v>
      </c>
      <c r="F58" s="325">
        <v>2</v>
      </c>
      <c r="G58" s="449" t="s">
        <v>386</v>
      </c>
      <c r="L58" t="s">
        <v>323</v>
      </c>
    </row>
    <row r="59" spans="1:12" x14ac:dyDescent="0.25">
      <c r="A59" s="477" t="s">
        <v>392</v>
      </c>
      <c r="B59" s="325" t="s">
        <v>650</v>
      </c>
      <c r="C59" s="337" t="s">
        <v>651</v>
      </c>
      <c r="D59" s="325">
        <v>1000</v>
      </c>
      <c r="E59" s="325">
        <v>0.2</v>
      </c>
      <c r="F59" s="325">
        <v>1.5</v>
      </c>
      <c r="G59" s="449" t="s">
        <v>386</v>
      </c>
      <c r="L59" t="s">
        <v>274</v>
      </c>
    </row>
    <row r="60" spans="1:12" x14ac:dyDescent="0.25">
      <c r="A60" s="477" t="s">
        <v>393</v>
      </c>
      <c r="B60" s="325" t="s">
        <v>652</v>
      </c>
      <c r="C60" s="337" t="s">
        <v>653</v>
      </c>
      <c r="D60" s="325">
        <v>1000</v>
      </c>
      <c r="E60" s="325">
        <v>0.3</v>
      </c>
      <c r="F60" s="325">
        <v>2.5</v>
      </c>
      <c r="G60" s="449" t="s">
        <v>386</v>
      </c>
      <c r="L60" t="s">
        <v>229</v>
      </c>
    </row>
    <row r="61" spans="1:12" x14ac:dyDescent="0.25">
      <c r="A61" s="477" t="s">
        <v>394</v>
      </c>
      <c r="B61" s="325" t="s">
        <v>654</v>
      </c>
      <c r="C61" s="337" t="s">
        <v>655</v>
      </c>
      <c r="D61" s="325">
        <v>1000</v>
      </c>
      <c r="E61" s="325">
        <v>0.4</v>
      </c>
      <c r="F61" s="325">
        <v>3.5</v>
      </c>
      <c r="G61" s="449" t="s">
        <v>386</v>
      </c>
      <c r="L61" t="s">
        <v>173</v>
      </c>
    </row>
    <row r="62" spans="1:12" x14ac:dyDescent="0.25">
      <c r="A62" s="477" t="s">
        <v>395</v>
      </c>
      <c r="B62" s="325" t="s">
        <v>656</v>
      </c>
      <c r="C62" s="337" t="s">
        <v>657</v>
      </c>
      <c r="D62" s="325">
        <v>1000</v>
      </c>
      <c r="E62" s="325">
        <v>0.5</v>
      </c>
      <c r="F62" s="325">
        <v>4</v>
      </c>
      <c r="G62" s="449" t="s">
        <v>386</v>
      </c>
      <c r="L62" t="s">
        <v>414</v>
      </c>
    </row>
    <row r="63" spans="1:12" x14ac:dyDescent="0.25">
      <c r="A63" s="477" t="s">
        <v>396</v>
      </c>
      <c r="B63" s="325" t="s">
        <v>658</v>
      </c>
      <c r="C63" s="337" t="s">
        <v>659</v>
      </c>
      <c r="D63" s="325">
        <v>1000</v>
      </c>
      <c r="E63" s="325">
        <v>0.3</v>
      </c>
      <c r="F63" s="325">
        <v>2.5</v>
      </c>
      <c r="G63" s="449" t="s">
        <v>386</v>
      </c>
      <c r="L63" t="s">
        <v>441</v>
      </c>
    </row>
    <row r="64" spans="1:12" x14ac:dyDescent="0.25">
      <c r="A64" s="477" t="s">
        <v>397</v>
      </c>
      <c r="B64" s="325" t="s">
        <v>660</v>
      </c>
      <c r="C64" s="337" t="s">
        <v>661</v>
      </c>
      <c r="D64" s="325">
        <v>1000</v>
      </c>
      <c r="E64" s="325">
        <v>0.1</v>
      </c>
      <c r="F64" s="325">
        <v>1</v>
      </c>
      <c r="G64" s="449" t="s">
        <v>386</v>
      </c>
      <c r="L64" t="s">
        <v>662</v>
      </c>
    </row>
    <row r="65" spans="1:12" x14ac:dyDescent="0.25">
      <c r="A65" s="477" t="s">
        <v>398</v>
      </c>
      <c r="B65" s="325" t="s">
        <v>663</v>
      </c>
      <c r="C65" s="337" t="s">
        <v>664</v>
      </c>
      <c r="D65" s="325">
        <v>1000</v>
      </c>
      <c r="E65" s="325">
        <v>0.1</v>
      </c>
      <c r="F65" s="325">
        <v>0.75</v>
      </c>
      <c r="G65" s="449" t="s">
        <v>386</v>
      </c>
      <c r="L65" t="s">
        <v>298</v>
      </c>
    </row>
    <row r="66" spans="1:12" x14ac:dyDescent="0.25">
      <c r="A66" s="477" t="s">
        <v>399</v>
      </c>
      <c r="B66" s="325" t="s">
        <v>665</v>
      </c>
      <c r="C66" s="337" t="s">
        <v>666</v>
      </c>
      <c r="D66" s="325">
        <v>1000</v>
      </c>
      <c r="E66" s="325">
        <v>0.1</v>
      </c>
      <c r="F66" s="325">
        <v>1</v>
      </c>
      <c r="G66" s="449" t="s">
        <v>386</v>
      </c>
      <c r="L66" t="s">
        <v>667</v>
      </c>
    </row>
    <row r="67" spans="1:12" x14ac:dyDescent="0.25">
      <c r="A67" s="477" t="s">
        <v>400</v>
      </c>
      <c r="B67" s="325" t="s">
        <v>668</v>
      </c>
      <c r="C67" s="337" t="s">
        <v>669</v>
      </c>
      <c r="D67" s="325">
        <v>1000</v>
      </c>
      <c r="E67" s="325">
        <v>0.1</v>
      </c>
      <c r="F67" s="325">
        <v>1</v>
      </c>
      <c r="G67" s="449" t="s">
        <v>386</v>
      </c>
      <c r="L67" t="s">
        <v>288</v>
      </c>
    </row>
    <row r="68" spans="1:12" x14ac:dyDescent="0.25">
      <c r="A68" s="477" t="s">
        <v>401</v>
      </c>
      <c r="B68" s="325" t="s">
        <v>670</v>
      </c>
      <c r="C68" s="325" t="s">
        <v>671</v>
      </c>
      <c r="D68" s="325">
        <v>1000</v>
      </c>
      <c r="E68" s="325">
        <v>0.1</v>
      </c>
      <c r="F68" s="325">
        <v>0.75</v>
      </c>
      <c r="G68" s="449" t="s">
        <v>386</v>
      </c>
      <c r="L68" t="s">
        <v>328</v>
      </c>
    </row>
    <row r="69" spans="1:12" x14ac:dyDescent="0.25">
      <c r="A69" s="477" t="s">
        <v>402</v>
      </c>
      <c r="B69" s="325" t="s">
        <v>672</v>
      </c>
      <c r="C69" s="337" t="s">
        <v>673</v>
      </c>
      <c r="D69" s="325">
        <v>1000</v>
      </c>
      <c r="E69" s="325">
        <v>0.1</v>
      </c>
      <c r="F69" s="325">
        <v>1</v>
      </c>
      <c r="G69" s="449" t="s">
        <v>386</v>
      </c>
      <c r="L69" t="s">
        <v>263</v>
      </c>
    </row>
    <row r="70" spans="1:12" x14ac:dyDescent="0.25">
      <c r="A70" s="477" t="s">
        <v>403</v>
      </c>
      <c r="B70" s="325" t="s">
        <v>674</v>
      </c>
      <c r="C70" s="337" t="s">
        <v>675</v>
      </c>
      <c r="D70" s="325">
        <v>1000</v>
      </c>
      <c r="E70" s="325">
        <v>0.25</v>
      </c>
      <c r="F70" s="325">
        <v>2</v>
      </c>
      <c r="G70" s="449" t="s">
        <v>386</v>
      </c>
      <c r="L70" t="s">
        <v>316</v>
      </c>
    </row>
    <row r="71" spans="1:12" x14ac:dyDescent="0.25">
      <c r="A71" s="477" t="s">
        <v>404</v>
      </c>
      <c r="B71" s="325" t="s">
        <v>676</v>
      </c>
      <c r="C71" s="337" t="s">
        <v>677</v>
      </c>
      <c r="D71" s="325">
        <v>1000</v>
      </c>
      <c r="E71" s="325">
        <v>0.1</v>
      </c>
      <c r="F71" s="325">
        <v>0.75</v>
      </c>
      <c r="G71" s="449" t="s">
        <v>386</v>
      </c>
      <c r="L71" t="s">
        <v>678</v>
      </c>
    </row>
    <row r="72" spans="1:12" x14ac:dyDescent="0.25">
      <c r="A72" s="477" t="s">
        <v>405</v>
      </c>
      <c r="B72" s="325" t="s">
        <v>679</v>
      </c>
      <c r="C72" s="337" t="s">
        <v>680</v>
      </c>
      <c r="D72" s="325">
        <v>1000</v>
      </c>
      <c r="E72" s="325">
        <v>0.1</v>
      </c>
      <c r="F72" s="325">
        <v>1</v>
      </c>
      <c r="G72" s="449" t="s">
        <v>386</v>
      </c>
      <c r="L72" t="s">
        <v>332</v>
      </c>
    </row>
    <row r="73" spans="1:12" x14ac:dyDescent="0.25">
      <c r="A73" s="477" t="s">
        <v>406</v>
      </c>
      <c r="B73" s="325" t="s">
        <v>681</v>
      </c>
      <c r="C73" s="337" t="s">
        <v>682</v>
      </c>
      <c r="D73" s="325">
        <v>1000</v>
      </c>
      <c r="E73" s="325">
        <v>0.1</v>
      </c>
      <c r="F73" s="325">
        <v>1</v>
      </c>
      <c r="G73" s="449" t="s">
        <v>386</v>
      </c>
      <c r="L73" t="s">
        <v>303</v>
      </c>
    </row>
    <row r="74" spans="1:12" x14ac:dyDescent="0.25">
      <c r="A74" s="477" t="s">
        <v>407</v>
      </c>
      <c r="B74" s="325" t="s">
        <v>683</v>
      </c>
      <c r="C74" s="337" t="s">
        <v>684</v>
      </c>
      <c r="D74" s="325">
        <v>1000</v>
      </c>
      <c r="E74" s="325">
        <v>0.1</v>
      </c>
      <c r="F74" s="325">
        <v>0.75</v>
      </c>
      <c r="G74" s="449" t="s">
        <v>386</v>
      </c>
      <c r="L74" t="s">
        <v>685</v>
      </c>
    </row>
    <row r="75" spans="1:12" x14ac:dyDescent="0.25">
      <c r="A75" t="s">
        <v>586</v>
      </c>
      <c r="B75" s="325" t="s">
        <v>461</v>
      </c>
      <c r="C75" s="1" t="s">
        <v>461</v>
      </c>
      <c r="D75">
        <v>45</v>
      </c>
      <c r="E75" t="s">
        <v>461</v>
      </c>
      <c r="F75" t="s">
        <v>461</v>
      </c>
      <c r="G75" s="325" t="s">
        <v>388</v>
      </c>
      <c r="L75" t="s">
        <v>279</v>
      </c>
    </row>
    <row r="76" spans="1:12" x14ac:dyDescent="0.25">
      <c r="L76" t="s">
        <v>686</v>
      </c>
    </row>
    <row r="77" spans="1:12" x14ac:dyDescent="0.25">
      <c r="L77" t="s">
        <v>295</v>
      </c>
    </row>
    <row r="78" spans="1:12" x14ac:dyDescent="0.25">
      <c r="L78" t="s">
        <v>687</v>
      </c>
    </row>
    <row r="79" spans="1:12" x14ac:dyDescent="0.25">
      <c r="L79" t="s">
        <v>688</v>
      </c>
    </row>
    <row r="80" spans="1:12" x14ac:dyDescent="0.25">
      <c r="L80" t="s">
        <v>689</v>
      </c>
    </row>
    <row r="81" spans="12:12" x14ac:dyDescent="0.25">
      <c r="L81" t="s">
        <v>690</v>
      </c>
    </row>
    <row r="82" spans="12:12" x14ac:dyDescent="0.25">
      <c r="L82" t="s">
        <v>305</v>
      </c>
    </row>
    <row r="83" spans="12:12" x14ac:dyDescent="0.25">
      <c r="L83" t="s">
        <v>691</v>
      </c>
    </row>
    <row r="84" spans="12:12" x14ac:dyDescent="0.25">
      <c r="L84" t="s">
        <v>335</v>
      </c>
    </row>
    <row r="85" spans="12:12" x14ac:dyDescent="0.25">
      <c r="L85" t="s">
        <v>264</v>
      </c>
    </row>
    <row r="86" spans="12:12" x14ac:dyDescent="0.25">
      <c r="L86" t="s">
        <v>692</v>
      </c>
    </row>
    <row r="87" spans="12:12" x14ac:dyDescent="0.25">
      <c r="L87" t="s">
        <v>693</v>
      </c>
    </row>
    <row r="88" spans="12:12" x14ac:dyDescent="0.25">
      <c r="L88" t="s">
        <v>290</v>
      </c>
    </row>
    <row r="89" spans="12:12" x14ac:dyDescent="0.25">
      <c r="L89" t="s">
        <v>415</v>
      </c>
    </row>
    <row r="90" spans="12:12" x14ac:dyDescent="0.25">
      <c r="L90" t="s">
        <v>470</v>
      </c>
    </row>
    <row r="91" spans="12:12" x14ac:dyDescent="0.25">
      <c r="L91" t="s">
        <v>351</v>
      </c>
    </row>
    <row r="92" spans="12:12" x14ac:dyDescent="0.25">
      <c r="L92" t="s">
        <v>307</v>
      </c>
    </row>
    <row r="93" spans="12:12" x14ac:dyDescent="0.25">
      <c r="L93" t="s">
        <v>694</v>
      </c>
    </row>
    <row r="94" spans="12:12" x14ac:dyDescent="0.25">
      <c r="L94" t="s">
        <v>320</v>
      </c>
    </row>
    <row r="95" spans="12:12" x14ac:dyDescent="0.25">
      <c r="L95" t="s">
        <v>695</v>
      </c>
    </row>
    <row r="96" spans="12:12" x14ac:dyDescent="0.25">
      <c r="L96" t="s">
        <v>696</v>
      </c>
    </row>
    <row r="97" spans="12:12" x14ac:dyDescent="0.25">
      <c r="L97" t="s">
        <v>265</v>
      </c>
    </row>
    <row r="98" spans="12:12" x14ac:dyDescent="0.25">
      <c r="L98" t="s">
        <v>177</v>
      </c>
    </row>
    <row r="99" spans="12:12" x14ac:dyDescent="0.25">
      <c r="L99" t="s">
        <v>266</v>
      </c>
    </row>
    <row r="100" spans="12:12" x14ac:dyDescent="0.25">
      <c r="L100" t="s">
        <v>697</v>
      </c>
    </row>
    <row r="101" spans="12:12" x14ac:dyDescent="0.25">
      <c r="L101" t="s">
        <v>698</v>
      </c>
    </row>
    <row r="102" spans="12:12" x14ac:dyDescent="0.25">
      <c r="L102" t="s">
        <v>170</v>
      </c>
    </row>
    <row r="103" spans="12:12" x14ac:dyDescent="0.25">
      <c r="L103" t="s">
        <v>353</v>
      </c>
    </row>
  </sheetData>
  <sortState xmlns:xlrd2="http://schemas.microsoft.com/office/spreadsheetml/2017/richdata2" ref="L2:L103">
    <sortCondition ref="L2:L103"/>
  </sortState>
  <phoneticPr fontId="4" type="noConversion"/>
  <conditionalFormatting sqref="A56">
    <cfRule type="expression" dxfId="82" priority="1">
      <formula>$AA52="Benzick, Sue"</formula>
    </cfRule>
    <cfRule type="expression" dxfId="81" priority="2">
      <formula>$AA52="Jenne, Richard"</formula>
    </cfRule>
    <cfRule type="expression" dxfId="80" priority="3">
      <formula>$AA52="McQueen, Jennifer"</formula>
    </cfRule>
  </conditionalFormatting>
  <dataValidations disablePrompts="1" count="1">
    <dataValidation type="list" allowBlank="1" showInputMessage="1" showErrorMessage="1" sqref="A56" xr:uid="{00000000-0002-0000-0600-000000000000}">
      <formula1>Class</formula1>
    </dataValidation>
  </dataValidations>
  <pageMargins left="0.7" right="0.7" top="0.75" bottom="0.75" header="0.3" footer="0.3"/>
  <pageSetup orientation="portrait" r:id="rId1"/>
  <ignoredErrors>
    <ignoredError sqref="C25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032BB-FDF2-4C26-8D37-931C848FAC71}">
  <sheetPr>
    <tabColor theme="9" tint="0.79998168889431442"/>
  </sheetPr>
  <dimension ref="A1:H17"/>
  <sheetViews>
    <sheetView workbookViewId="0">
      <selection activeCell="B1" sqref="B1"/>
    </sheetView>
  </sheetViews>
  <sheetFormatPr defaultRowHeight="15" x14ac:dyDescent="0.25"/>
  <cols>
    <col min="1" max="1" width="76.5703125" bestFit="1" customWidth="1"/>
    <col min="2" max="2" width="10.7109375" bestFit="1" customWidth="1"/>
    <col min="3" max="3" width="15.7109375" bestFit="1" customWidth="1"/>
    <col min="4" max="4" width="14.7109375" bestFit="1" customWidth="1"/>
    <col min="5" max="5" width="10.7109375" bestFit="1" customWidth="1"/>
    <col min="6" max="6" width="10.28515625" bestFit="1" customWidth="1"/>
    <col min="7" max="7" width="15.5703125" bestFit="1" customWidth="1"/>
    <col min="8" max="8" width="6" bestFit="1" customWidth="1"/>
    <col min="9" max="9" width="63.7109375" bestFit="1" customWidth="1"/>
    <col min="10" max="10" width="54.28515625" bestFit="1" customWidth="1"/>
    <col min="11" max="11" width="35" bestFit="1" customWidth="1"/>
    <col min="12" max="12" width="39" bestFit="1" customWidth="1"/>
    <col min="13" max="13" width="52.5703125" bestFit="1" customWidth="1"/>
    <col min="14" max="14" width="74" bestFit="1" customWidth="1"/>
    <col min="15" max="15" width="39.42578125" bestFit="1" customWidth="1"/>
    <col min="16" max="16" width="36.5703125" bestFit="1" customWidth="1"/>
    <col min="17" max="17" width="38.7109375" bestFit="1" customWidth="1"/>
    <col min="18" max="18" width="44" bestFit="1" customWidth="1"/>
    <col min="19" max="19" width="11.28515625" bestFit="1" customWidth="1"/>
    <col min="20" max="34" width="77.42578125" bestFit="1" customWidth="1"/>
    <col min="35" max="35" width="15.7109375" bestFit="1" customWidth="1"/>
    <col min="36" max="36" width="20.7109375" bestFit="1" customWidth="1"/>
  </cols>
  <sheetData>
    <row r="1" spans="1:8" x14ac:dyDescent="0.25">
      <c r="A1" t="s">
        <v>179</v>
      </c>
      <c r="B1" t="s">
        <v>699</v>
      </c>
    </row>
    <row r="3" spans="1:8" x14ac:dyDescent="0.25">
      <c r="A3" t="s">
        <v>411</v>
      </c>
      <c r="B3" t="s">
        <v>700</v>
      </c>
      <c r="C3" t="s">
        <v>701</v>
      </c>
      <c r="D3" t="s">
        <v>702</v>
      </c>
      <c r="E3" t="s">
        <v>703</v>
      </c>
      <c r="F3" t="s">
        <v>704</v>
      </c>
      <c r="G3" t="s">
        <v>705</v>
      </c>
      <c r="H3" s="249" t="s">
        <v>706</v>
      </c>
    </row>
    <row r="4" spans="1:8" x14ac:dyDescent="0.25">
      <c r="A4" s="247" t="s">
        <v>707</v>
      </c>
      <c r="B4" s="63">
        <v>8</v>
      </c>
      <c r="C4" s="63">
        <v>3</v>
      </c>
      <c r="D4" s="63">
        <v>140</v>
      </c>
      <c r="E4" s="63">
        <v>21</v>
      </c>
      <c r="F4" s="63">
        <v>61</v>
      </c>
      <c r="G4" s="63">
        <v>176</v>
      </c>
      <c r="H4" s="249">
        <f>SUM(B4:G4)</f>
        <v>409</v>
      </c>
    </row>
    <row r="5" spans="1:8" x14ac:dyDescent="0.25">
      <c r="A5" s="247" t="s">
        <v>708</v>
      </c>
      <c r="B5" s="63">
        <v>26</v>
      </c>
      <c r="C5" s="63">
        <v>46</v>
      </c>
      <c r="D5" s="63">
        <v>334</v>
      </c>
      <c r="E5" s="63">
        <v>107</v>
      </c>
      <c r="F5" s="63">
        <v>117</v>
      </c>
      <c r="G5" s="63">
        <v>600</v>
      </c>
      <c r="H5" s="249">
        <f t="shared" ref="H5:H17" si="0">SUM(B5:G5)</f>
        <v>1230</v>
      </c>
    </row>
    <row r="6" spans="1:8" x14ac:dyDescent="0.25">
      <c r="A6" s="247" t="s">
        <v>709</v>
      </c>
      <c r="B6" s="63">
        <v>29</v>
      </c>
      <c r="C6" s="63">
        <v>64</v>
      </c>
      <c r="D6" s="63">
        <v>336</v>
      </c>
      <c r="E6" s="63">
        <v>62</v>
      </c>
      <c r="F6" s="63">
        <v>125</v>
      </c>
      <c r="G6" s="63">
        <v>284</v>
      </c>
      <c r="H6" s="249">
        <f t="shared" si="0"/>
        <v>900</v>
      </c>
    </row>
    <row r="7" spans="1:8" x14ac:dyDescent="0.25">
      <c r="A7" s="247" t="s">
        <v>710</v>
      </c>
      <c r="B7" s="63">
        <v>46</v>
      </c>
      <c r="C7" s="63">
        <v>103</v>
      </c>
      <c r="D7" s="63">
        <v>316</v>
      </c>
      <c r="E7" s="63">
        <v>51</v>
      </c>
      <c r="F7" s="63">
        <v>123</v>
      </c>
      <c r="G7" s="63">
        <v>254</v>
      </c>
      <c r="H7" s="249">
        <f t="shared" si="0"/>
        <v>893</v>
      </c>
    </row>
    <row r="8" spans="1:8" x14ac:dyDescent="0.25">
      <c r="A8" s="247" t="s">
        <v>711</v>
      </c>
      <c r="B8" s="63">
        <v>28</v>
      </c>
      <c r="C8" s="63">
        <v>123</v>
      </c>
      <c r="D8" s="63">
        <v>470</v>
      </c>
      <c r="E8" s="63">
        <v>65</v>
      </c>
      <c r="F8" s="63">
        <v>118</v>
      </c>
      <c r="G8" s="63">
        <v>309</v>
      </c>
      <c r="H8" s="249">
        <f t="shared" si="0"/>
        <v>1113</v>
      </c>
    </row>
    <row r="9" spans="1:8" x14ac:dyDescent="0.25">
      <c r="A9" s="247" t="s">
        <v>712</v>
      </c>
      <c r="B9" s="63">
        <v>5</v>
      </c>
      <c r="C9" s="63">
        <v>68</v>
      </c>
      <c r="D9" s="63">
        <v>301</v>
      </c>
      <c r="E9" s="63">
        <v>55</v>
      </c>
      <c r="F9" s="63">
        <v>64</v>
      </c>
      <c r="G9" s="63">
        <v>181</v>
      </c>
      <c r="H9" s="249">
        <f t="shared" si="0"/>
        <v>674</v>
      </c>
    </row>
    <row r="10" spans="1:8" x14ac:dyDescent="0.25">
      <c r="A10" s="247" t="s">
        <v>713</v>
      </c>
      <c r="B10" s="63">
        <v>29</v>
      </c>
      <c r="C10" s="63">
        <v>105</v>
      </c>
      <c r="D10" s="63">
        <v>455</v>
      </c>
      <c r="E10" s="63">
        <v>66</v>
      </c>
      <c r="F10" s="63">
        <v>114</v>
      </c>
      <c r="G10" s="63">
        <v>343</v>
      </c>
      <c r="H10" s="249">
        <f t="shared" si="0"/>
        <v>1112</v>
      </c>
    </row>
    <row r="11" spans="1:8" x14ac:dyDescent="0.25">
      <c r="A11" s="247" t="s">
        <v>714</v>
      </c>
      <c r="B11" s="63">
        <v>7</v>
      </c>
      <c r="C11" s="63">
        <v>50</v>
      </c>
      <c r="D11" s="63">
        <v>252</v>
      </c>
      <c r="E11" s="63">
        <v>49</v>
      </c>
      <c r="F11" s="63">
        <v>72</v>
      </c>
      <c r="G11" s="63">
        <v>267</v>
      </c>
      <c r="H11" s="249">
        <f t="shared" si="0"/>
        <v>697</v>
      </c>
    </row>
    <row r="12" spans="1:8" x14ac:dyDescent="0.25">
      <c r="A12" s="247" t="s">
        <v>715</v>
      </c>
      <c r="B12" s="63">
        <v>55</v>
      </c>
      <c r="C12" s="63">
        <v>92</v>
      </c>
      <c r="D12" s="63">
        <v>454</v>
      </c>
      <c r="E12" s="63">
        <v>83</v>
      </c>
      <c r="F12" s="63">
        <v>98</v>
      </c>
      <c r="G12" s="63">
        <v>477</v>
      </c>
      <c r="H12" s="249">
        <f t="shared" si="0"/>
        <v>1259</v>
      </c>
    </row>
    <row r="13" spans="1:8" x14ac:dyDescent="0.25">
      <c r="A13" s="247" t="s">
        <v>108</v>
      </c>
      <c r="B13" s="63">
        <v>8</v>
      </c>
      <c r="C13" s="63">
        <v>43</v>
      </c>
      <c r="D13" s="63">
        <v>397</v>
      </c>
      <c r="E13" s="63">
        <v>71</v>
      </c>
      <c r="F13" s="63">
        <v>95</v>
      </c>
      <c r="G13" s="63">
        <v>220</v>
      </c>
      <c r="H13" s="249">
        <f t="shared" si="0"/>
        <v>834</v>
      </c>
    </row>
    <row r="14" spans="1:8" x14ac:dyDescent="0.25">
      <c r="A14" s="247" t="s">
        <v>716</v>
      </c>
      <c r="B14" s="63">
        <v>10</v>
      </c>
      <c r="C14" s="63">
        <v>49</v>
      </c>
      <c r="D14" s="63">
        <v>326</v>
      </c>
      <c r="E14" s="63">
        <v>44</v>
      </c>
      <c r="F14" s="63">
        <v>82</v>
      </c>
      <c r="G14" s="63">
        <v>293</v>
      </c>
      <c r="H14" s="249">
        <f t="shared" si="0"/>
        <v>804</v>
      </c>
    </row>
    <row r="15" spans="1:8" x14ac:dyDescent="0.25">
      <c r="A15" s="247" t="s">
        <v>717</v>
      </c>
      <c r="B15" s="63">
        <v>145</v>
      </c>
      <c r="C15" s="63">
        <v>2</v>
      </c>
      <c r="D15" s="63">
        <v>803</v>
      </c>
      <c r="E15" s="63">
        <v>124</v>
      </c>
      <c r="F15" s="63">
        <v>242</v>
      </c>
      <c r="G15" s="63">
        <v>955</v>
      </c>
      <c r="H15" s="249">
        <f t="shared" si="0"/>
        <v>2271</v>
      </c>
    </row>
    <row r="16" spans="1:8" x14ac:dyDescent="0.25">
      <c r="A16" s="247" t="s">
        <v>718</v>
      </c>
      <c r="B16" s="63">
        <v>0</v>
      </c>
      <c r="C16" s="63">
        <v>0</v>
      </c>
      <c r="D16" s="63">
        <v>28</v>
      </c>
      <c r="E16" s="63">
        <v>48</v>
      </c>
      <c r="F16" s="63">
        <v>14</v>
      </c>
      <c r="G16" s="63">
        <v>30</v>
      </c>
      <c r="H16" s="249">
        <f t="shared" si="0"/>
        <v>120</v>
      </c>
    </row>
    <row r="17" spans="1:8" x14ac:dyDescent="0.25">
      <c r="A17" s="250" t="s">
        <v>416</v>
      </c>
      <c r="B17" s="251">
        <v>396</v>
      </c>
      <c r="C17" s="251">
        <v>748</v>
      </c>
      <c r="D17" s="251">
        <v>4612</v>
      </c>
      <c r="E17" s="251">
        <v>846</v>
      </c>
      <c r="F17" s="251">
        <v>1325</v>
      </c>
      <c r="G17" s="252">
        <v>4389</v>
      </c>
      <c r="H17" s="249">
        <f t="shared" si="0"/>
        <v>12316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6A060-0F16-4A11-A3E9-3A5D560C1F85}">
  <sheetPr>
    <tabColor theme="9" tint="0.79998168889431442"/>
  </sheetPr>
  <dimension ref="A1:CJ21"/>
  <sheetViews>
    <sheetView workbookViewId="0">
      <pane xSplit="1" ySplit="4" topLeftCell="AU5" activePane="bottomRight" state="frozen"/>
      <selection pane="topRight" activeCell="B1" sqref="B1"/>
      <selection pane="bottomLeft" activeCell="A5" sqref="A5"/>
      <selection pane="bottomRight" activeCell="BF11" sqref="BF11"/>
    </sheetView>
  </sheetViews>
  <sheetFormatPr defaultRowHeight="15" x14ac:dyDescent="0.25"/>
  <cols>
    <col min="1" max="1" width="59.28515625" bestFit="1" customWidth="1"/>
    <col min="2" max="2" width="16.28515625" bestFit="1" customWidth="1"/>
    <col min="3" max="3" width="3.7109375" bestFit="1" customWidth="1"/>
    <col min="4" max="14" width="3.7109375" customWidth="1"/>
    <col min="15" max="15" width="3.7109375" bestFit="1" customWidth="1"/>
    <col min="16" max="16" width="4" bestFit="1" customWidth="1"/>
    <col min="17" max="49" width="3.7109375" customWidth="1"/>
    <col min="50" max="50" width="3.7109375" bestFit="1" customWidth="1"/>
    <col min="51" max="57" width="3.7109375" customWidth="1"/>
    <col min="58" max="58" width="4" bestFit="1" customWidth="1"/>
    <col min="59" max="64" width="3.7109375" customWidth="1"/>
    <col min="65" max="65" width="3.7109375" bestFit="1" customWidth="1"/>
    <col min="66" max="73" width="3.7109375" customWidth="1"/>
    <col min="74" max="74" width="4" bestFit="1" customWidth="1"/>
    <col min="75" max="75" width="3.7109375" bestFit="1" customWidth="1"/>
    <col min="76" max="86" width="3.7109375" customWidth="1"/>
    <col min="87" max="87" width="4" bestFit="1" customWidth="1"/>
    <col min="88" max="88" width="5" bestFit="1" customWidth="1"/>
    <col min="89" max="1184" width="59.28515625" bestFit="1" customWidth="1"/>
    <col min="1185" max="1185" width="29.7109375" bestFit="1" customWidth="1"/>
    <col min="1186" max="1186" width="39.28515625" bestFit="1" customWidth="1"/>
    <col min="1187" max="1187" width="41" bestFit="1" customWidth="1"/>
    <col min="1188" max="1188" width="50.5703125" bestFit="1" customWidth="1"/>
    <col min="1189" max="1189" width="36.7109375" bestFit="1" customWidth="1"/>
    <col min="1190" max="1190" width="40.42578125" bestFit="1" customWidth="1"/>
    <col min="1191" max="1191" width="53.28515625" bestFit="1" customWidth="1"/>
    <col min="1192" max="1192" width="33.28515625" bestFit="1" customWidth="1"/>
    <col min="1193" max="1193" width="39.7109375" bestFit="1" customWidth="1"/>
    <col min="1194" max="1194" width="46" bestFit="1" customWidth="1"/>
    <col min="1195" max="1195" width="38.28515625" bestFit="1" customWidth="1"/>
    <col min="1196" max="1196" width="59.28515625" bestFit="1" customWidth="1"/>
    <col min="1197" max="1197" width="64.28515625" bestFit="1" customWidth="1"/>
    <col min="1198" max="1198" width="53.7109375" bestFit="1" customWidth="1"/>
    <col min="1199" max="1199" width="35" bestFit="1" customWidth="1"/>
    <col min="1200" max="1200" width="56" bestFit="1" customWidth="1"/>
  </cols>
  <sheetData>
    <row r="1" spans="1:88" x14ac:dyDescent="0.25">
      <c r="A1" s="6" t="s">
        <v>179</v>
      </c>
      <c r="B1" t="s">
        <v>699</v>
      </c>
    </row>
    <row r="3" spans="1:88" x14ac:dyDescent="0.25">
      <c r="B3" s="6" t="s">
        <v>719</v>
      </c>
    </row>
    <row r="4" spans="1:88" ht="147" x14ac:dyDescent="0.25">
      <c r="A4" s="287" t="s">
        <v>720</v>
      </c>
      <c r="B4" s="245" t="s">
        <v>721</v>
      </c>
      <c r="C4" s="245" t="s">
        <v>198</v>
      </c>
      <c r="D4" s="245" t="s">
        <v>211</v>
      </c>
      <c r="E4" s="245" t="s">
        <v>722</v>
      </c>
      <c r="F4" s="245" t="s">
        <v>294</v>
      </c>
      <c r="G4" s="245" t="s">
        <v>293</v>
      </c>
      <c r="H4" s="245" t="s">
        <v>340</v>
      </c>
      <c r="I4" s="245" t="s">
        <v>723</v>
      </c>
      <c r="J4" s="245" t="s">
        <v>724</v>
      </c>
      <c r="K4" s="245" t="s">
        <v>312</v>
      </c>
      <c r="L4" s="245" t="s">
        <v>339</v>
      </c>
      <c r="M4" s="308" t="s">
        <v>725</v>
      </c>
      <c r="N4" s="245" t="s">
        <v>476</v>
      </c>
      <c r="O4" s="245" t="s">
        <v>330</v>
      </c>
      <c r="P4" s="245" t="s">
        <v>254</v>
      </c>
      <c r="Q4" s="245" t="s">
        <v>357</v>
      </c>
      <c r="R4" s="245" t="s">
        <v>343</v>
      </c>
      <c r="S4" s="309" t="s">
        <v>726</v>
      </c>
      <c r="T4" s="245" t="s">
        <v>286</v>
      </c>
      <c r="U4" s="309" t="s">
        <v>727</v>
      </c>
      <c r="V4" s="245" t="s">
        <v>255</v>
      </c>
      <c r="W4" s="245" t="s">
        <v>728</v>
      </c>
      <c r="X4" s="245" t="s">
        <v>729</v>
      </c>
      <c r="Y4" s="245" t="s">
        <v>166</v>
      </c>
      <c r="Z4" s="309" t="s">
        <v>297</v>
      </c>
      <c r="AA4" s="245" t="s">
        <v>171</v>
      </c>
      <c r="AB4" s="245" t="s">
        <v>287</v>
      </c>
      <c r="AC4" s="245" t="s">
        <v>256</v>
      </c>
      <c r="AD4" s="245" t="s">
        <v>278</v>
      </c>
      <c r="AE4" s="245" t="s">
        <v>344</v>
      </c>
      <c r="AF4" s="245" t="s">
        <v>258</v>
      </c>
      <c r="AG4" s="245" t="s">
        <v>730</v>
      </c>
      <c r="AH4" s="245" t="s">
        <v>169</v>
      </c>
      <c r="AI4" s="245" t="s">
        <v>731</v>
      </c>
      <c r="AJ4" s="245" t="s">
        <v>732</v>
      </c>
      <c r="AK4" s="309" t="s">
        <v>733</v>
      </c>
      <c r="AL4" s="245" t="s">
        <v>628</v>
      </c>
      <c r="AM4" s="245" t="s">
        <v>259</v>
      </c>
      <c r="AN4" s="245" t="s">
        <v>162</v>
      </c>
      <c r="AO4" s="245" t="s">
        <v>338</v>
      </c>
      <c r="AP4" s="245" t="s">
        <v>734</v>
      </c>
      <c r="AQ4" s="245" t="s">
        <v>485</v>
      </c>
      <c r="AR4" s="245" t="s">
        <v>735</v>
      </c>
      <c r="AS4" s="245" t="s">
        <v>736</v>
      </c>
      <c r="AT4" s="245" t="s">
        <v>308</v>
      </c>
      <c r="AU4" s="245" t="s">
        <v>737</v>
      </c>
      <c r="AV4" s="245" t="s">
        <v>738</v>
      </c>
      <c r="AW4" s="309" t="s">
        <v>739</v>
      </c>
      <c r="AX4" s="245" t="s">
        <v>740</v>
      </c>
      <c r="AY4" s="245" t="s">
        <v>741</v>
      </c>
      <c r="AZ4" s="309" t="s">
        <v>742</v>
      </c>
      <c r="BA4" s="245" t="s">
        <v>337</v>
      </c>
      <c r="BB4" s="309" t="s">
        <v>296</v>
      </c>
      <c r="BC4" s="245" t="s">
        <v>743</v>
      </c>
      <c r="BD4" s="245" t="s">
        <v>260</v>
      </c>
      <c r="BE4" s="245" t="s">
        <v>327</v>
      </c>
      <c r="BF4" s="245" t="s">
        <v>274</v>
      </c>
      <c r="BG4" s="245" t="s">
        <v>298</v>
      </c>
      <c r="BH4" s="245" t="s">
        <v>288</v>
      </c>
      <c r="BI4" s="245" t="s">
        <v>744</v>
      </c>
      <c r="BJ4" s="310" t="s">
        <v>328</v>
      </c>
      <c r="BK4" s="245" t="s">
        <v>263</v>
      </c>
      <c r="BL4" s="245" t="s">
        <v>316</v>
      </c>
      <c r="BM4" s="245" t="s">
        <v>678</v>
      </c>
      <c r="BN4" s="245" t="s">
        <v>303</v>
      </c>
      <c r="BO4" s="245" t="s">
        <v>279</v>
      </c>
      <c r="BP4" s="245" t="s">
        <v>295</v>
      </c>
      <c r="BQ4" s="245" t="s">
        <v>745</v>
      </c>
      <c r="BR4" s="245" t="s">
        <v>690</v>
      </c>
      <c r="BS4" s="245" t="s">
        <v>746</v>
      </c>
      <c r="BT4" s="245" t="s">
        <v>305</v>
      </c>
      <c r="BU4" s="245" t="s">
        <v>335</v>
      </c>
      <c r="BV4" s="245" t="s">
        <v>264</v>
      </c>
      <c r="BW4" s="245" t="s">
        <v>290</v>
      </c>
      <c r="BX4" s="245" t="s">
        <v>415</v>
      </c>
      <c r="BY4" s="245" t="s">
        <v>470</v>
      </c>
      <c r="BZ4" s="309" t="s">
        <v>747</v>
      </c>
      <c r="CA4" s="245" t="s">
        <v>307</v>
      </c>
      <c r="CB4" s="309" t="s">
        <v>748</v>
      </c>
      <c r="CC4" s="245" t="s">
        <v>696</v>
      </c>
      <c r="CD4" s="245" t="s">
        <v>265</v>
      </c>
      <c r="CE4" s="245" t="s">
        <v>177</v>
      </c>
      <c r="CF4" s="245" t="s">
        <v>266</v>
      </c>
      <c r="CG4" s="245" t="s">
        <v>698</v>
      </c>
      <c r="CH4" s="309" t="s">
        <v>749</v>
      </c>
      <c r="CI4" s="245" t="s">
        <v>170</v>
      </c>
      <c r="CJ4" s="246" t="s">
        <v>416</v>
      </c>
    </row>
    <row r="5" spans="1:88" x14ac:dyDescent="0.25">
      <c r="A5" s="247" t="s">
        <v>750</v>
      </c>
      <c r="B5" s="63"/>
      <c r="C5" s="63">
        <v>0</v>
      </c>
      <c r="D5" s="63">
        <v>2</v>
      </c>
      <c r="E5" s="63">
        <v>1</v>
      </c>
      <c r="F5" s="63">
        <v>8</v>
      </c>
      <c r="G5" s="63">
        <v>6</v>
      </c>
      <c r="H5" s="63">
        <v>0</v>
      </c>
      <c r="I5" s="63"/>
      <c r="J5" s="63"/>
      <c r="K5" s="63">
        <v>8</v>
      </c>
      <c r="L5" s="63"/>
      <c r="M5" s="63">
        <v>1</v>
      </c>
      <c r="N5" s="63">
        <v>0</v>
      </c>
      <c r="O5" s="63">
        <v>0</v>
      </c>
      <c r="P5" s="63">
        <v>1</v>
      </c>
      <c r="Q5" s="63">
        <v>0</v>
      </c>
      <c r="R5" s="63">
        <v>0</v>
      </c>
      <c r="S5" s="63"/>
      <c r="T5" s="63">
        <v>0</v>
      </c>
      <c r="U5" s="63">
        <v>1</v>
      </c>
      <c r="V5" s="63">
        <v>0</v>
      </c>
      <c r="W5" s="63">
        <v>1</v>
      </c>
      <c r="X5" s="63">
        <v>2</v>
      </c>
      <c r="Y5" s="63">
        <v>0</v>
      </c>
      <c r="Z5" s="63"/>
      <c r="AA5" s="63">
        <v>14</v>
      </c>
      <c r="AB5" s="63">
        <v>2</v>
      </c>
      <c r="AC5" s="63">
        <v>2</v>
      </c>
      <c r="AD5" s="63">
        <v>15</v>
      </c>
      <c r="AE5" s="63">
        <v>0</v>
      </c>
      <c r="AF5" s="63">
        <v>5</v>
      </c>
      <c r="AG5" s="63">
        <v>0</v>
      </c>
      <c r="AH5" s="63">
        <v>2</v>
      </c>
      <c r="AI5" s="63">
        <v>2</v>
      </c>
      <c r="AJ5" s="63">
        <v>0</v>
      </c>
      <c r="AK5" s="63"/>
      <c r="AL5" s="63">
        <v>2</v>
      </c>
      <c r="AM5" s="63">
        <v>1</v>
      </c>
      <c r="AN5" s="63">
        <v>2</v>
      </c>
      <c r="AO5" s="63"/>
      <c r="AP5" s="63"/>
      <c r="AQ5" s="63"/>
      <c r="AR5" s="63">
        <v>30</v>
      </c>
      <c r="AS5" s="63">
        <v>1</v>
      </c>
      <c r="AT5" s="63"/>
      <c r="AU5" s="63"/>
      <c r="AV5" s="63">
        <v>2</v>
      </c>
      <c r="AW5" s="63">
        <v>3</v>
      </c>
      <c r="AX5" s="63"/>
      <c r="AY5" s="63">
        <v>0</v>
      </c>
      <c r="AZ5" s="63">
        <v>1</v>
      </c>
      <c r="BA5" s="63">
        <v>0</v>
      </c>
      <c r="BB5" s="63"/>
      <c r="BC5" s="63">
        <v>2</v>
      </c>
      <c r="BD5" s="63">
        <v>3</v>
      </c>
      <c r="BE5" s="63">
        <v>2</v>
      </c>
      <c r="BF5" s="63">
        <v>149</v>
      </c>
      <c r="BG5" s="63">
        <v>32</v>
      </c>
      <c r="BH5" s="63">
        <v>2</v>
      </c>
      <c r="BI5" s="63">
        <v>12</v>
      </c>
      <c r="BJ5" s="63"/>
      <c r="BK5" s="63">
        <v>35</v>
      </c>
      <c r="BL5" s="63">
        <v>2</v>
      </c>
      <c r="BM5" s="63">
        <v>4</v>
      </c>
      <c r="BN5" s="63">
        <v>1</v>
      </c>
      <c r="BO5" s="63">
        <v>0</v>
      </c>
      <c r="BP5" s="63">
        <v>4</v>
      </c>
      <c r="BQ5" s="63"/>
      <c r="BR5" s="63">
        <v>7</v>
      </c>
      <c r="BS5" s="63"/>
      <c r="BT5" s="63">
        <v>0</v>
      </c>
      <c r="BU5" s="63">
        <v>0</v>
      </c>
      <c r="BV5" s="63">
        <v>71</v>
      </c>
      <c r="BW5" s="63">
        <v>5</v>
      </c>
      <c r="BX5" s="63">
        <v>1</v>
      </c>
      <c r="BY5" s="63">
        <v>0</v>
      </c>
      <c r="BZ5" s="63">
        <v>0</v>
      </c>
      <c r="CA5" s="63">
        <v>0</v>
      </c>
      <c r="CB5" s="63"/>
      <c r="CC5" s="63">
        <v>1</v>
      </c>
      <c r="CD5" s="63">
        <v>4</v>
      </c>
      <c r="CE5" s="63">
        <v>2</v>
      </c>
      <c r="CF5" s="63">
        <v>3</v>
      </c>
      <c r="CG5" s="63"/>
      <c r="CH5" s="63">
        <v>1</v>
      </c>
      <c r="CI5" s="63">
        <v>14</v>
      </c>
      <c r="CJ5" s="288">
        <v>472</v>
      </c>
    </row>
    <row r="6" spans="1:88" x14ac:dyDescent="0.25">
      <c r="A6" s="247" t="s">
        <v>751</v>
      </c>
      <c r="B6" s="63"/>
      <c r="C6" s="63">
        <v>3</v>
      </c>
      <c r="D6" s="63">
        <v>0</v>
      </c>
      <c r="E6" s="63">
        <v>1</v>
      </c>
      <c r="F6" s="63">
        <v>8</v>
      </c>
      <c r="G6" s="63">
        <v>2</v>
      </c>
      <c r="H6" s="63">
        <v>0</v>
      </c>
      <c r="I6" s="63"/>
      <c r="J6" s="63">
        <v>1</v>
      </c>
      <c r="K6" s="63">
        <v>3</v>
      </c>
      <c r="L6" s="63"/>
      <c r="M6" s="63"/>
      <c r="N6" s="63">
        <v>0</v>
      </c>
      <c r="O6" s="63">
        <v>2</v>
      </c>
      <c r="P6" s="63">
        <v>0</v>
      </c>
      <c r="Q6" s="63">
        <v>0</v>
      </c>
      <c r="R6" s="63">
        <v>0</v>
      </c>
      <c r="S6" s="63"/>
      <c r="T6" s="63">
        <v>0</v>
      </c>
      <c r="U6" s="63"/>
      <c r="V6" s="63">
        <v>0</v>
      </c>
      <c r="W6" s="63">
        <v>0</v>
      </c>
      <c r="X6" s="63"/>
      <c r="Y6" s="63">
        <v>0</v>
      </c>
      <c r="Z6" s="63"/>
      <c r="AA6" s="63">
        <v>0</v>
      </c>
      <c r="AB6" s="63">
        <v>0</v>
      </c>
      <c r="AC6" s="63">
        <v>0</v>
      </c>
      <c r="AD6" s="63">
        <v>2</v>
      </c>
      <c r="AE6" s="63">
        <v>0</v>
      </c>
      <c r="AF6" s="63">
        <v>8</v>
      </c>
      <c r="AG6" s="63">
        <v>0</v>
      </c>
      <c r="AH6" s="63">
        <v>2</v>
      </c>
      <c r="AI6" s="63">
        <v>0</v>
      </c>
      <c r="AJ6" s="63">
        <v>0</v>
      </c>
      <c r="AK6" s="63"/>
      <c r="AL6" s="63">
        <v>0</v>
      </c>
      <c r="AM6" s="63">
        <v>0</v>
      </c>
      <c r="AN6" s="63">
        <v>0</v>
      </c>
      <c r="AO6" s="63"/>
      <c r="AP6" s="63"/>
      <c r="AQ6" s="63"/>
      <c r="AR6" s="63"/>
      <c r="AS6" s="63">
        <v>2</v>
      </c>
      <c r="AT6" s="63"/>
      <c r="AU6" s="63"/>
      <c r="AV6" s="63"/>
      <c r="AW6" s="63">
        <v>3</v>
      </c>
      <c r="AX6" s="63"/>
      <c r="AY6" s="63">
        <v>2</v>
      </c>
      <c r="AZ6" s="63"/>
      <c r="BA6" s="63">
        <v>2</v>
      </c>
      <c r="BB6" s="63"/>
      <c r="BC6" s="63">
        <v>2</v>
      </c>
      <c r="BD6" s="63"/>
      <c r="BE6" s="63">
        <v>3</v>
      </c>
      <c r="BF6" s="63">
        <v>17</v>
      </c>
      <c r="BG6" s="63">
        <v>24</v>
      </c>
      <c r="BH6" s="63">
        <v>0</v>
      </c>
      <c r="BI6" s="63">
        <v>2</v>
      </c>
      <c r="BJ6" s="63"/>
      <c r="BK6" s="63">
        <v>33</v>
      </c>
      <c r="BL6" s="63">
        <v>2</v>
      </c>
      <c r="BM6" s="63">
        <v>5</v>
      </c>
      <c r="BN6" s="63">
        <v>0</v>
      </c>
      <c r="BO6" s="63">
        <v>0</v>
      </c>
      <c r="BP6" s="63">
        <v>2</v>
      </c>
      <c r="BQ6" s="63"/>
      <c r="BR6" s="63">
        <v>1</v>
      </c>
      <c r="BS6" s="63"/>
      <c r="BT6" s="63">
        <v>3</v>
      </c>
      <c r="BU6" s="63">
        <v>0</v>
      </c>
      <c r="BV6" s="63">
        <v>60</v>
      </c>
      <c r="BW6" s="63">
        <v>0</v>
      </c>
      <c r="BX6" s="63">
        <v>0</v>
      </c>
      <c r="BY6" s="63">
        <v>2</v>
      </c>
      <c r="BZ6" s="63">
        <v>0</v>
      </c>
      <c r="CA6" s="63">
        <v>2</v>
      </c>
      <c r="CB6" s="63"/>
      <c r="CC6" s="63">
        <v>0</v>
      </c>
      <c r="CD6" s="63">
        <v>4</v>
      </c>
      <c r="CE6" s="63">
        <v>2</v>
      </c>
      <c r="CF6" s="63">
        <v>0</v>
      </c>
      <c r="CG6" s="63"/>
      <c r="CH6" s="63">
        <v>2</v>
      </c>
      <c r="CI6" s="63">
        <v>9</v>
      </c>
      <c r="CJ6" s="288">
        <v>216</v>
      </c>
    </row>
    <row r="7" spans="1:88" x14ac:dyDescent="0.25">
      <c r="A7" s="247" t="s">
        <v>752</v>
      </c>
      <c r="B7" s="63"/>
      <c r="C7" s="63">
        <v>0</v>
      </c>
      <c r="D7" s="63">
        <v>2</v>
      </c>
      <c r="E7" s="63">
        <v>1</v>
      </c>
      <c r="F7" s="63">
        <v>5</v>
      </c>
      <c r="G7" s="63">
        <v>6</v>
      </c>
      <c r="H7" s="63">
        <v>0</v>
      </c>
      <c r="I7" s="63"/>
      <c r="J7" s="63"/>
      <c r="K7" s="63">
        <v>4</v>
      </c>
      <c r="L7" s="63"/>
      <c r="M7" s="63"/>
      <c r="N7" s="63">
        <v>0</v>
      </c>
      <c r="O7" s="63">
        <v>0</v>
      </c>
      <c r="P7" s="63">
        <v>0</v>
      </c>
      <c r="Q7" s="63">
        <v>0</v>
      </c>
      <c r="R7" s="63">
        <v>0</v>
      </c>
      <c r="S7" s="63"/>
      <c r="T7" s="63">
        <v>0</v>
      </c>
      <c r="U7" s="63"/>
      <c r="V7" s="63">
        <v>0</v>
      </c>
      <c r="W7" s="63">
        <v>0</v>
      </c>
      <c r="X7" s="63">
        <v>2</v>
      </c>
      <c r="Y7" s="63">
        <v>0</v>
      </c>
      <c r="Z7" s="63"/>
      <c r="AA7" s="63">
        <v>16</v>
      </c>
      <c r="AB7" s="63">
        <v>2</v>
      </c>
      <c r="AC7" s="63">
        <v>2</v>
      </c>
      <c r="AD7" s="63">
        <v>14</v>
      </c>
      <c r="AE7" s="63">
        <v>0</v>
      </c>
      <c r="AF7" s="63">
        <v>3</v>
      </c>
      <c r="AG7" s="63">
        <v>0</v>
      </c>
      <c r="AH7" s="63">
        <v>2</v>
      </c>
      <c r="AI7" s="63">
        <v>2</v>
      </c>
      <c r="AJ7" s="63">
        <v>0</v>
      </c>
      <c r="AK7" s="63"/>
      <c r="AL7" s="63">
        <v>2</v>
      </c>
      <c r="AM7" s="63">
        <v>0</v>
      </c>
      <c r="AN7" s="63">
        <v>2</v>
      </c>
      <c r="AO7" s="63"/>
      <c r="AP7" s="63"/>
      <c r="AQ7" s="63"/>
      <c r="AR7" s="63"/>
      <c r="AS7" s="63"/>
      <c r="AT7" s="63"/>
      <c r="AU7" s="63"/>
      <c r="AV7" s="63">
        <v>2</v>
      </c>
      <c r="AW7" s="63">
        <v>3</v>
      </c>
      <c r="AX7" s="63"/>
      <c r="AY7" s="63">
        <v>0</v>
      </c>
      <c r="AZ7" s="63"/>
      <c r="BA7" s="63">
        <v>0</v>
      </c>
      <c r="BB7" s="63"/>
      <c r="BC7" s="63">
        <v>2</v>
      </c>
      <c r="BD7" s="63"/>
      <c r="BE7" s="63">
        <v>1</v>
      </c>
      <c r="BF7" s="63">
        <v>14</v>
      </c>
      <c r="BG7" s="63">
        <v>22</v>
      </c>
      <c r="BH7" s="63">
        <v>2</v>
      </c>
      <c r="BI7" s="63">
        <v>0</v>
      </c>
      <c r="BJ7" s="63"/>
      <c r="BK7" s="63">
        <v>9</v>
      </c>
      <c r="BL7" s="63">
        <v>2</v>
      </c>
      <c r="BM7" s="63">
        <v>1</v>
      </c>
      <c r="BN7" s="63">
        <v>0</v>
      </c>
      <c r="BO7" s="63">
        <v>0</v>
      </c>
      <c r="BP7" s="63">
        <v>4</v>
      </c>
      <c r="BQ7" s="63"/>
      <c r="BR7" s="63">
        <v>1</v>
      </c>
      <c r="BS7" s="63"/>
      <c r="BT7" s="63">
        <v>0</v>
      </c>
      <c r="BU7" s="63">
        <v>0</v>
      </c>
      <c r="BV7" s="63">
        <v>31</v>
      </c>
      <c r="BW7" s="63">
        <v>5</v>
      </c>
      <c r="BX7" s="63">
        <v>0</v>
      </c>
      <c r="BY7" s="63">
        <v>0</v>
      </c>
      <c r="BZ7" s="63">
        <v>0</v>
      </c>
      <c r="CA7" s="63">
        <v>0</v>
      </c>
      <c r="CB7" s="63"/>
      <c r="CC7" s="63">
        <v>0</v>
      </c>
      <c r="CD7" s="63">
        <v>3</v>
      </c>
      <c r="CE7" s="63">
        <v>2</v>
      </c>
      <c r="CF7" s="63">
        <v>0</v>
      </c>
      <c r="CG7" s="63"/>
      <c r="CH7" s="63"/>
      <c r="CI7" s="63">
        <v>12</v>
      </c>
      <c r="CJ7" s="288">
        <v>181</v>
      </c>
    </row>
    <row r="8" spans="1:88" x14ac:dyDescent="0.25">
      <c r="A8" s="247" t="s">
        <v>753</v>
      </c>
      <c r="B8" s="63"/>
      <c r="C8" s="63">
        <v>3</v>
      </c>
      <c r="D8" s="63">
        <v>0</v>
      </c>
      <c r="E8" s="63">
        <v>1</v>
      </c>
      <c r="F8" s="63">
        <v>4</v>
      </c>
      <c r="G8" s="63">
        <v>4</v>
      </c>
      <c r="H8" s="63">
        <v>0</v>
      </c>
      <c r="I8" s="63"/>
      <c r="J8" s="63">
        <v>1</v>
      </c>
      <c r="K8" s="63">
        <v>3</v>
      </c>
      <c r="L8" s="63"/>
      <c r="M8" s="63"/>
      <c r="N8" s="63">
        <v>0</v>
      </c>
      <c r="O8" s="63">
        <v>2</v>
      </c>
      <c r="P8" s="63">
        <v>0</v>
      </c>
      <c r="Q8" s="63">
        <v>0</v>
      </c>
      <c r="R8" s="63">
        <v>0</v>
      </c>
      <c r="S8" s="63"/>
      <c r="T8" s="63">
        <v>0</v>
      </c>
      <c r="U8" s="63"/>
      <c r="V8" s="63">
        <v>0</v>
      </c>
      <c r="W8" s="63">
        <v>0</v>
      </c>
      <c r="X8" s="63"/>
      <c r="Y8" s="63">
        <v>0</v>
      </c>
      <c r="Z8" s="63"/>
      <c r="AA8" s="63">
        <v>6</v>
      </c>
      <c r="AB8" s="63">
        <v>0</v>
      </c>
      <c r="AC8" s="63">
        <v>0</v>
      </c>
      <c r="AD8" s="63">
        <v>3</v>
      </c>
      <c r="AE8" s="63">
        <v>0</v>
      </c>
      <c r="AF8" s="63">
        <v>3</v>
      </c>
      <c r="AG8" s="63">
        <v>0</v>
      </c>
      <c r="AH8" s="63">
        <v>2</v>
      </c>
      <c r="AI8" s="63">
        <v>0</v>
      </c>
      <c r="AJ8" s="63">
        <v>0</v>
      </c>
      <c r="AK8" s="63"/>
      <c r="AL8" s="63">
        <v>0</v>
      </c>
      <c r="AM8" s="63">
        <v>0</v>
      </c>
      <c r="AN8" s="63">
        <v>0</v>
      </c>
      <c r="AO8" s="63"/>
      <c r="AP8" s="63"/>
      <c r="AQ8" s="63"/>
      <c r="AR8" s="63"/>
      <c r="AS8" s="63">
        <v>2</v>
      </c>
      <c r="AT8" s="63"/>
      <c r="AU8" s="63"/>
      <c r="AV8" s="63"/>
      <c r="AW8" s="63">
        <v>3</v>
      </c>
      <c r="AX8" s="63"/>
      <c r="AY8" s="63">
        <v>2</v>
      </c>
      <c r="AZ8" s="63"/>
      <c r="BA8" s="63">
        <v>1</v>
      </c>
      <c r="BB8" s="63"/>
      <c r="BC8" s="63">
        <v>2</v>
      </c>
      <c r="BD8" s="63"/>
      <c r="BE8" s="63">
        <v>2</v>
      </c>
      <c r="BF8" s="63">
        <v>13</v>
      </c>
      <c r="BG8" s="63">
        <v>22</v>
      </c>
      <c r="BH8" s="63">
        <v>0</v>
      </c>
      <c r="BI8" s="63">
        <v>2</v>
      </c>
      <c r="BJ8" s="63"/>
      <c r="BK8" s="63">
        <v>36</v>
      </c>
      <c r="BL8" s="63">
        <v>2</v>
      </c>
      <c r="BM8" s="63">
        <v>3</v>
      </c>
      <c r="BN8" s="63">
        <v>0</v>
      </c>
      <c r="BO8" s="63">
        <v>0</v>
      </c>
      <c r="BP8" s="63">
        <v>2</v>
      </c>
      <c r="BQ8" s="63"/>
      <c r="BR8" s="63">
        <v>1</v>
      </c>
      <c r="BS8" s="63"/>
      <c r="BT8" s="63">
        <v>0</v>
      </c>
      <c r="BU8" s="63">
        <v>0</v>
      </c>
      <c r="BV8" s="63">
        <v>30</v>
      </c>
      <c r="BW8" s="63">
        <v>2</v>
      </c>
      <c r="BX8" s="63">
        <v>0</v>
      </c>
      <c r="BY8" s="63">
        <v>0</v>
      </c>
      <c r="BZ8" s="63">
        <v>0</v>
      </c>
      <c r="CA8" s="63">
        <v>0</v>
      </c>
      <c r="CB8" s="63"/>
      <c r="CC8" s="63">
        <v>0</v>
      </c>
      <c r="CD8" s="63">
        <v>4</v>
      </c>
      <c r="CE8" s="63">
        <v>2</v>
      </c>
      <c r="CF8" s="63">
        <v>0</v>
      </c>
      <c r="CG8" s="63"/>
      <c r="CH8" s="63"/>
      <c r="CI8" s="63">
        <v>0</v>
      </c>
      <c r="CJ8" s="288">
        <v>163</v>
      </c>
    </row>
    <row r="9" spans="1:88" x14ac:dyDescent="0.25">
      <c r="A9" s="247" t="s">
        <v>754</v>
      </c>
      <c r="B9" s="63"/>
      <c r="C9" s="63">
        <v>0</v>
      </c>
      <c r="D9" s="63">
        <v>2</v>
      </c>
      <c r="E9" s="63">
        <v>1</v>
      </c>
      <c r="F9" s="63">
        <v>4</v>
      </c>
      <c r="G9" s="63">
        <v>6</v>
      </c>
      <c r="H9" s="63">
        <v>0</v>
      </c>
      <c r="I9" s="63"/>
      <c r="J9" s="63"/>
      <c r="K9" s="63">
        <v>3</v>
      </c>
      <c r="L9" s="63"/>
      <c r="M9" s="63"/>
      <c r="N9" s="63">
        <v>0</v>
      </c>
      <c r="O9" s="63">
        <v>0</v>
      </c>
      <c r="P9" s="63">
        <v>0</v>
      </c>
      <c r="Q9" s="63">
        <v>0</v>
      </c>
      <c r="R9" s="63">
        <v>0</v>
      </c>
      <c r="S9" s="63"/>
      <c r="T9" s="63">
        <v>3</v>
      </c>
      <c r="U9" s="63"/>
      <c r="V9" s="63">
        <v>0</v>
      </c>
      <c r="W9" s="63">
        <v>0</v>
      </c>
      <c r="X9" s="63">
        <v>2</v>
      </c>
      <c r="Y9" s="63">
        <v>0</v>
      </c>
      <c r="Z9" s="63"/>
      <c r="AA9" s="63">
        <v>16</v>
      </c>
      <c r="AB9" s="63">
        <v>2</v>
      </c>
      <c r="AC9" s="63">
        <v>2</v>
      </c>
      <c r="AD9" s="63">
        <v>2</v>
      </c>
      <c r="AE9" s="63">
        <v>0</v>
      </c>
      <c r="AF9" s="63">
        <v>3</v>
      </c>
      <c r="AG9" s="63">
        <v>0</v>
      </c>
      <c r="AH9" s="63">
        <v>2</v>
      </c>
      <c r="AI9" s="63">
        <v>0</v>
      </c>
      <c r="AJ9" s="63">
        <v>0</v>
      </c>
      <c r="AK9" s="63"/>
      <c r="AL9" s="63">
        <v>2</v>
      </c>
      <c r="AM9" s="63">
        <v>0</v>
      </c>
      <c r="AN9" s="63">
        <v>2</v>
      </c>
      <c r="AO9" s="63"/>
      <c r="AP9" s="63"/>
      <c r="AQ9" s="63"/>
      <c r="AR9" s="63">
        <v>30</v>
      </c>
      <c r="AS9" s="63">
        <v>8</v>
      </c>
      <c r="AT9" s="63"/>
      <c r="AU9" s="63">
        <v>3</v>
      </c>
      <c r="AV9" s="63">
        <v>2</v>
      </c>
      <c r="AW9" s="63"/>
      <c r="AX9" s="63"/>
      <c r="AY9" s="63">
        <v>0</v>
      </c>
      <c r="AZ9" s="63"/>
      <c r="BA9" s="63">
        <v>3</v>
      </c>
      <c r="BB9" s="63"/>
      <c r="BC9" s="63">
        <v>2</v>
      </c>
      <c r="BD9" s="63"/>
      <c r="BE9" s="63">
        <v>1</v>
      </c>
      <c r="BF9" s="63">
        <v>15</v>
      </c>
      <c r="BG9" s="63">
        <v>8</v>
      </c>
      <c r="BH9" s="63">
        <v>2</v>
      </c>
      <c r="BI9" s="63">
        <v>0</v>
      </c>
      <c r="BJ9" s="63"/>
      <c r="BK9" s="63">
        <v>27</v>
      </c>
      <c r="BL9" s="63">
        <v>10</v>
      </c>
      <c r="BM9" s="63">
        <v>2</v>
      </c>
      <c r="BN9" s="63">
        <v>0</v>
      </c>
      <c r="BO9" s="63">
        <v>0</v>
      </c>
      <c r="BP9" s="63">
        <v>4</v>
      </c>
      <c r="BQ9" s="63"/>
      <c r="BR9" s="63">
        <v>0</v>
      </c>
      <c r="BS9" s="63"/>
      <c r="BT9" s="63">
        <v>0</v>
      </c>
      <c r="BU9" s="63">
        <v>0</v>
      </c>
      <c r="BV9" s="63">
        <v>30</v>
      </c>
      <c r="BW9" s="63">
        <v>5</v>
      </c>
      <c r="BX9" s="63">
        <v>0</v>
      </c>
      <c r="BY9" s="63">
        <v>1</v>
      </c>
      <c r="BZ9" s="63">
        <v>0</v>
      </c>
      <c r="CA9" s="63">
        <v>1</v>
      </c>
      <c r="CB9" s="63"/>
      <c r="CC9" s="63">
        <v>0</v>
      </c>
      <c r="CD9" s="63">
        <v>1</v>
      </c>
      <c r="CE9" s="63">
        <v>2</v>
      </c>
      <c r="CF9" s="63">
        <v>0</v>
      </c>
      <c r="CG9" s="63"/>
      <c r="CH9" s="63"/>
      <c r="CI9" s="63">
        <v>7</v>
      </c>
      <c r="CJ9" s="288">
        <v>216</v>
      </c>
    </row>
    <row r="10" spans="1:88" x14ac:dyDescent="0.25">
      <c r="A10" s="247" t="s">
        <v>755</v>
      </c>
      <c r="B10" s="63"/>
      <c r="C10" s="63">
        <v>3</v>
      </c>
      <c r="D10" s="63">
        <v>0</v>
      </c>
      <c r="E10" s="63">
        <v>1</v>
      </c>
      <c r="F10" s="63">
        <v>2</v>
      </c>
      <c r="G10" s="63">
        <v>2</v>
      </c>
      <c r="H10" s="63">
        <v>0</v>
      </c>
      <c r="I10" s="63"/>
      <c r="J10" s="63">
        <v>1</v>
      </c>
      <c r="K10" s="63">
        <v>3</v>
      </c>
      <c r="L10" s="63"/>
      <c r="M10" s="63"/>
      <c r="N10" s="63">
        <v>0</v>
      </c>
      <c r="O10" s="63">
        <v>2</v>
      </c>
      <c r="P10" s="63">
        <v>0</v>
      </c>
      <c r="Q10" s="63">
        <v>0</v>
      </c>
      <c r="R10" s="63">
        <v>0</v>
      </c>
      <c r="S10" s="63"/>
      <c r="T10" s="63">
        <v>0</v>
      </c>
      <c r="U10" s="63"/>
      <c r="V10" s="63">
        <v>0</v>
      </c>
      <c r="W10" s="63">
        <v>0</v>
      </c>
      <c r="X10" s="63"/>
      <c r="Y10" s="63">
        <v>0</v>
      </c>
      <c r="Z10" s="63"/>
      <c r="AA10" s="63">
        <v>4</v>
      </c>
      <c r="AB10" s="63">
        <v>0</v>
      </c>
      <c r="AC10" s="63">
        <v>0</v>
      </c>
      <c r="AD10" s="63">
        <v>1</v>
      </c>
      <c r="AE10" s="63">
        <v>0</v>
      </c>
      <c r="AF10" s="63">
        <v>6</v>
      </c>
      <c r="AG10" s="63">
        <v>0</v>
      </c>
      <c r="AH10" s="63">
        <v>2</v>
      </c>
      <c r="AI10" s="63">
        <v>0</v>
      </c>
      <c r="AJ10" s="63">
        <v>0</v>
      </c>
      <c r="AK10" s="63"/>
      <c r="AL10" s="63">
        <v>0</v>
      </c>
      <c r="AM10" s="63">
        <v>0</v>
      </c>
      <c r="AN10" s="63">
        <v>0</v>
      </c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>
        <v>2</v>
      </c>
      <c r="AZ10" s="63"/>
      <c r="BA10" s="63">
        <v>2</v>
      </c>
      <c r="BB10" s="63"/>
      <c r="BC10" s="63">
        <v>2</v>
      </c>
      <c r="BD10" s="63"/>
      <c r="BE10" s="63">
        <v>1</v>
      </c>
      <c r="BF10" s="63">
        <v>13</v>
      </c>
      <c r="BG10" s="63">
        <v>8</v>
      </c>
      <c r="BH10" s="63">
        <v>0</v>
      </c>
      <c r="BI10" s="63">
        <v>2</v>
      </c>
      <c r="BJ10" s="63"/>
      <c r="BK10" s="63">
        <v>13</v>
      </c>
      <c r="BL10" s="63">
        <v>14</v>
      </c>
      <c r="BM10" s="63">
        <v>6</v>
      </c>
      <c r="BN10" s="63">
        <v>0</v>
      </c>
      <c r="BO10" s="63">
        <v>0</v>
      </c>
      <c r="BP10" s="63">
        <v>2</v>
      </c>
      <c r="BQ10" s="63"/>
      <c r="BR10" s="63">
        <v>1</v>
      </c>
      <c r="BS10" s="63"/>
      <c r="BT10" s="63">
        <v>0</v>
      </c>
      <c r="BU10" s="63">
        <v>0</v>
      </c>
      <c r="BV10" s="63">
        <v>30</v>
      </c>
      <c r="BW10" s="63">
        <v>0</v>
      </c>
      <c r="BX10" s="63">
        <v>0</v>
      </c>
      <c r="BY10" s="63">
        <v>0</v>
      </c>
      <c r="BZ10" s="63">
        <v>0</v>
      </c>
      <c r="CA10" s="63">
        <v>0</v>
      </c>
      <c r="CB10" s="63"/>
      <c r="CC10" s="63">
        <v>0</v>
      </c>
      <c r="CD10" s="63">
        <v>1</v>
      </c>
      <c r="CE10" s="63">
        <v>2</v>
      </c>
      <c r="CF10" s="63">
        <v>0</v>
      </c>
      <c r="CG10" s="63"/>
      <c r="CH10" s="63"/>
      <c r="CI10" s="63">
        <v>1</v>
      </c>
      <c r="CJ10" s="288">
        <v>127</v>
      </c>
    </row>
    <row r="11" spans="1:88" x14ac:dyDescent="0.25">
      <c r="A11" s="247" t="s">
        <v>756</v>
      </c>
      <c r="B11" s="63">
        <v>4</v>
      </c>
      <c r="C11" s="63">
        <v>4</v>
      </c>
      <c r="D11" s="63">
        <v>17</v>
      </c>
      <c r="E11" s="63">
        <v>13</v>
      </c>
      <c r="F11" s="63">
        <v>28</v>
      </c>
      <c r="G11" s="63">
        <v>90</v>
      </c>
      <c r="H11" s="63">
        <v>17</v>
      </c>
      <c r="I11" s="63"/>
      <c r="J11" s="63">
        <v>2</v>
      </c>
      <c r="K11" s="63">
        <v>33</v>
      </c>
      <c r="L11" s="63"/>
      <c r="M11" s="63">
        <v>3</v>
      </c>
      <c r="N11" s="63">
        <v>2</v>
      </c>
      <c r="O11" s="63">
        <v>1</v>
      </c>
      <c r="P11" s="63">
        <v>87</v>
      </c>
      <c r="Q11" s="63">
        <v>11</v>
      </c>
      <c r="R11" s="63">
        <v>1</v>
      </c>
      <c r="S11" s="63"/>
      <c r="T11" s="63">
        <v>1</v>
      </c>
      <c r="U11" s="63">
        <v>1</v>
      </c>
      <c r="V11" s="63">
        <v>52</v>
      </c>
      <c r="W11" s="63">
        <v>4</v>
      </c>
      <c r="X11" s="63">
        <v>2</v>
      </c>
      <c r="Y11" s="63">
        <v>9</v>
      </c>
      <c r="Z11" s="63"/>
      <c r="AA11" s="63">
        <v>25</v>
      </c>
      <c r="AB11" s="63">
        <v>2</v>
      </c>
      <c r="AC11" s="63">
        <v>6</v>
      </c>
      <c r="AD11" s="63">
        <v>39</v>
      </c>
      <c r="AE11" s="63">
        <v>0</v>
      </c>
      <c r="AF11" s="63">
        <v>67</v>
      </c>
      <c r="AG11" s="63">
        <v>1</v>
      </c>
      <c r="AH11" s="63"/>
      <c r="AI11" s="63">
        <v>3</v>
      </c>
      <c r="AJ11" s="63">
        <v>5</v>
      </c>
      <c r="AK11" s="63"/>
      <c r="AL11" s="63">
        <v>5</v>
      </c>
      <c r="AM11" s="63">
        <v>67</v>
      </c>
      <c r="AN11" s="63">
        <v>49</v>
      </c>
      <c r="AO11" s="63"/>
      <c r="AP11" s="63"/>
      <c r="AQ11" s="63">
        <v>10</v>
      </c>
      <c r="AR11" s="63">
        <v>30</v>
      </c>
      <c r="AS11" s="63">
        <v>5</v>
      </c>
      <c r="AT11" s="63">
        <v>10</v>
      </c>
      <c r="AU11" s="63">
        <v>1</v>
      </c>
      <c r="AV11" s="63">
        <v>6</v>
      </c>
      <c r="AW11" s="63">
        <v>2</v>
      </c>
      <c r="AX11" s="63"/>
      <c r="AY11" s="63">
        <v>1</v>
      </c>
      <c r="AZ11" s="63">
        <v>1</v>
      </c>
      <c r="BA11" s="63">
        <v>4</v>
      </c>
      <c r="BB11" s="63"/>
      <c r="BC11" s="63">
        <v>19</v>
      </c>
      <c r="BD11" s="63">
        <v>11</v>
      </c>
      <c r="BE11" s="63">
        <v>21</v>
      </c>
      <c r="BF11" s="63">
        <v>476</v>
      </c>
      <c r="BG11" s="63">
        <v>25</v>
      </c>
      <c r="BH11" s="63">
        <v>4</v>
      </c>
      <c r="BI11" s="63">
        <v>9</v>
      </c>
      <c r="BJ11" s="63"/>
      <c r="BK11" s="63">
        <v>84</v>
      </c>
      <c r="BL11" s="63">
        <v>35</v>
      </c>
      <c r="BM11" s="63">
        <v>18</v>
      </c>
      <c r="BN11" s="63">
        <v>2</v>
      </c>
      <c r="BO11" s="63">
        <v>11</v>
      </c>
      <c r="BP11" s="63">
        <v>25</v>
      </c>
      <c r="BQ11" s="63"/>
      <c r="BR11" s="63">
        <v>14</v>
      </c>
      <c r="BS11" s="63"/>
      <c r="BT11" s="63">
        <v>10</v>
      </c>
      <c r="BU11" s="63">
        <v>0</v>
      </c>
      <c r="BV11" s="63">
        <v>429</v>
      </c>
      <c r="BW11" s="63">
        <v>27</v>
      </c>
      <c r="BX11" s="63">
        <v>22</v>
      </c>
      <c r="BY11" s="63">
        <v>7</v>
      </c>
      <c r="BZ11" s="63">
        <v>2</v>
      </c>
      <c r="CA11" s="63">
        <v>5</v>
      </c>
      <c r="CB11" s="63"/>
      <c r="CC11" s="63">
        <v>4</v>
      </c>
      <c r="CD11" s="63">
        <v>36</v>
      </c>
      <c r="CE11" s="63">
        <v>11</v>
      </c>
      <c r="CF11" s="63">
        <v>55</v>
      </c>
      <c r="CG11" s="63"/>
      <c r="CH11" s="63"/>
      <c r="CI11" s="63">
        <v>107</v>
      </c>
      <c r="CJ11" s="288">
        <v>2190</v>
      </c>
    </row>
    <row r="12" spans="1:88" x14ac:dyDescent="0.25">
      <c r="A12" s="247" t="s">
        <v>757</v>
      </c>
      <c r="B12" s="63"/>
      <c r="C12" s="63">
        <v>4</v>
      </c>
      <c r="D12" s="63">
        <v>17</v>
      </c>
      <c r="E12" s="63">
        <v>12</v>
      </c>
      <c r="F12" s="63">
        <v>18</v>
      </c>
      <c r="G12" s="63">
        <v>94</v>
      </c>
      <c r="H12" s="63">
        <v>12</v>
      </c>
      <c r="I12" s="63">
        <v>2</v>
      </c>
      <c r="J12" s="63">
        <v>1</v>
      </c>
      <c r="K12" s="63">
        <v>29</v>
      </c>
      <c r="L12" s="63"/>
      <c r="M12" s="63">
        <v>3</v>
      </c>
      <c r="N12" s="63">
        <v>0</v>
      </c>
      <c r="O12" s="63">
        <v>0</v>
      </c>
      <c r="P12" s="63">
        <v>10</v>
      </c>
      <c r="Q12" s="63">
        <v>2</v>
      </c>
      <c r="R12" s="63">
        <v>0</v>
      </c>
      <c r="S12" s="63">
        <v>1</v>
      </c>
      <c r="T12" s="63">
        <v>0</v>
      </c>
      <c r="U12" s="63">
        <v>1</v>
      </c>
      <c r="V12" s="63">
        <v>24</v>
      </c>
      <c r="W12" s="63">
        <v>2</v>
      </c>
      <c r="X12" s="63"/>
      <c r="Y12" s="63">
        <v>7</v>
      </c>
      <c r="Z12" s="63"/>
      <c r="AA12" s="63">
        <v>17</v>
      </c>
      <c r="AB12" s="63">
        <v>2</v>
      </c>
      <c r="AC12" s="63">
        <v>1</v>
      </c>
      <c r="AD12" s="63">
        <v>10</v>
      </c>
      <c r="AE12" s="63">
        <v>0</v>
      </c>
      <c r="AF12" s="63">
        <v>43</v>
      </c>
      <c r="AG12" s="63">
        <v>1</v>
      </c>
      <c r="AH12" s="63"/>
      <c r="AI12" s="63">
        <v>2</v>
      </c>
      <c r="AJ12" s="63">
        <v>15</v>
      </c>
      <c r="AK12" s="63"/>
      <c r="AL12" s="63">
        <v>1</v>
      </c>
      <c r="AM12" s="63">
        <v>2</v>
      </c>
      <c r="AN12" s="63">
        <v>27</v>
      </c>
      <c r="AO12" s="63">
        <v>3</v>
      </c>
      <c r="AP12" s="63"/>
      <c r="AQ12" s="63">
        <v>5</v>
      </c>
      <c r="AR12" s="63">
        <v>30</v>
      </c>
      <c r="AS12" s="63">
        <v>5</v>
      </c>
      <c r="AT12" s="63"/>
      <c r="AU12" s="63"/>
      <c r="AV12" s="63">
        <v>6</v>
      </c>
      <c r="AW12" s="63">
        <v>2</v>
      </c>
      <c r="AX12" s="63"/>
      <c r="AY12" s="63">
        <v>1</v>
      </c>
      <c r="AZ12" s="63">
        <v>1</v>
      </c>
      <c r="BA12" s="63">
        <v>6</v>
      </c>
      <c r="BB12" s="63"/>
      <c r="BC12" s="63">
        <v>7</v>
      </c>
      <c r="BD12" s="63">
        <v>4</v>
      </c>
      <c r="BE12" s="63">
        <v>9</v>
      </c>
      <c r="BF12" s="63">
        <v>195</v>
      </c>
      <c r="BG12" s="63">
        <v>6</v>
      </c>
      <c r="BH12" s="63">
        <v>4</v>
      </c>
      <c r="BI12" s="63">
        <v>3</v>
      </c>
      <c r="BJ12" s="63"/>
      <c r="BK12" s="63">
        <v>47</v>
      </c>
      <c r="BL12" s="63">
        <v>17</v>
      </c>
      <c r="BM12" s="63">
        <v>12</v>
      </c>
      <c r="BN12" s="63">
        <v>3</v>
      </c>
      <c r="BO12" s="63">
        <v>6</v>
      </c>
      <c r="BP12" s="63">
        <v>15</v>
      </c>
      <c r="BQ12" s="63"/>
      <c r="BR12" s="63">
        <v>2</v>
      </c>
      <c r="BS12" s="63"/>
      <c r="BT12" s="63">
        <v>5</v>
      </c>
      <c r="BU12" s="63">
        <v>0</v>
      </c>
      <c r="BV12" s="63">
        <v>85</v>
      </c>
      <c r="BW12" s="63">
        <v>15</v>
      </c>
      <c r="BX12" s="63">
        <v>11</v>
      </c>
      <c r="BY12" s="63">
        <v>3</v>
      </c>
      <c r="BZ12" s="63">
        <v>2</v>
      </c>
      <c r="CA12" s="63">
        <v>2</v>
      </c>
      <c r="CB12" s="63"/>
      <c r="CC12" s="63">
        <v>0</v>
      </c>
      <c r="CD12" s="63">
        <v>5</v>
      </c>
      <c r="CE12" s="63">
        <v>19</v>
      </c>
      <c r="CF12" s="63">
        <v>5</v>
      </c>
      <c r="CG12" s="63"/>
      <c r="CH12" s="63"/>
      <c r="CI12" s="63">
        <v>31</v>
      </c>
      <c r="CJ12" s="288">
        <v>932</v>
      </c>
    </row>
    <row r="13" spans="1:88" x14ac:dyDescent="0.25">
      <c r="A13" s="247" t="s">
        <v>758</v>
      </c>
      <c r="B13" s="63"/>
      <c r="C13" s="63">
        <v>0</v>
      </c>
      <c r="D13" s="63">
        <v>1</v>
      </c>
      <c r="E13" s="63">
        <v>2</v>
      </c>
      <c r="F13" s="63">
        <v>23</v>
      </c>
      <c r="G13" s="63">
        <v>36</v>
      </c>
      <c r="H13" s="63">
        <v>38</v>
      </c>
      <c r="I13" s="63"/>
      <c r="J13" s="63">
        <v>1</v>
      </c>
      <c r="K13" s="63">
        <v>42</v>
      </c>
      <c r="L13" s="63"/>
      <c r="M13" s="63">
        <v>2</v>
      </c>
      <c r="N13" s="63">
        <v>0</v>
      </c>
      <c r="O13" s="63">
        <v>0</v>
      </c>
      <c r="P13" s="63">
        <v>1</v>
      </c>
      <c r="Q13" s="63">
        <v>0</v>
      </c>
      <c r="R13" s="63">
        <v>0</v>
      </c>
      <c r="S13" s="63">
        <v>1</v>
      </c>
      <c r="T13" s="63">
        <v>0</v>
      </c>
      <c r="U13" s="63">
        <v>1</v>
      </c>
      <c r="V13" s="63">
        <v>1</v>
      </c>
      <c r="W13" s="63">
        <v>1</v>
      </c>
      <c r="X13" s="63"/>
      <c r="Y13" s="63">
        <v>2</v>
      </c>
      <c r="Z13" s="63"/>
      <c r="AA13" s="63">
        <v>22</v>
      </c>
      <c r="AB13" s="63">
        <v>0</v>
      </c>
      <c r="AC13" s="63">
        <v>8</v>
      </c>
      <c r="AD13" s="63">
        <v>9</v>
      </c>
      <c r="AE13" s="63">
        <v>0</v>
      </c>
      <c r="AF13" s="63">
        <v>10</v>
      </c>
      <c r="AG13" s="63">
        <v>0</v>
      </c>
      <c r="AH13" s="63">
        <v>2</v>
      </c>
      <c r="AI13" s="63">
        <v>1</v>
      </c>
      <c r="AJ13" s="63">
        <v>1</v>
      </c>
      <c r="AK13" s="63"/>
      <c r="AL13" s="63">
        <v>0</v>
      </c>
      <c r="AM13" s="63">
        <v>1</v>
      </c>
      <c r="AN13" s="63">
        <v>1</v>
      </c>
      <c r="AO13" s="63">
        <v>3</v>
      </c>
      <c r="AP13" s="63"/>
      <c r="AQ13" s="63"/>
      <c r="AR13" s="63">
        <v>30</v>
      </c>
      <c r="AS13" s="63"/>
      <c r="AT13" s="63">
        <v>10</v>
      </c>
      <c r="AU13" s="63"/>
      <c r="AV13" s="63"/>
      <c r="AW13" s="63">
        <v>3</v>
      </c>
      <c r="AX13" s="63">
        <v>2</v>
      </c>
      <c r="AY13" s="63">
        <v>0</v>
      </c>
      <c r="AZ13" s="63">
        <v>1</v>
      </c>
      <c r="BA13" s="63">
        <v>2</v>
      </c>
      <c r="BB13" s="63"/>
      <c r="BC13" s="63">
        <v>15</v>
      </c>
      <c r="BD13" s="63">
        <v>2</v>
      </c>
      <c r="BE13" s="63">
        <v>14</v>
      </c>
      <c r="BF13" s="63">
        <v>33</v>
      </c>
      <c r="BG13" s="63">
        <v>10</v>
      </c>
      <c r="BH13" s="63">
        <v>1</v>
      </c>
      <c r="BI13" s="63">
        <v>2</v>
      </c>
      <c r="BJ13" s="63"/>
      <c r="BK13" s="63">
        <v>21</v>
      </c>
      <c r="BL13" s="63">
        <v>11</v>
      </c>
      <c r="BM13" s="63">
        <v>18</v>
      </c>
      <c r="BN13" s="63">
        <v>2</v>
      </c>
      <c r="BO13" s="63">
        <v>20</v>
      </c>
      <c r="BP13" s="63">
        <v>19</v>
      </c>
      <c r="BQ13" s="63"/>
      <c r="BR13" s="63">
        <v>6</v>
      </c>
      <c r="BS13" s="63"/>
      <c r="BT13" s="63">
        <v>1</v>
      </c>
      <c r="BU13" s="63">
        <v>0</v>
      </c>
      <c r="BV13" s="63">
        <v>11</v>
      </c>
      <c r="BW13" s="63">
        <v>3</v>
      </c>
      <c r="BX13" s="63">
        <v>1</v>
      </c>
      <c r="BY13" s="63">
        <v>4</v>
      </c>
      <c r="BZ13" s="63">
        <v>0</v>
      </c>
      <c r="CA13" s="63">
        <v>7</v>
      </c>
      <c r="CB13" s="63"/>
      <c r="CC13" s="63">
        <v>2</v>
      </c>
      <c r="CD13" s="63">
        <v>5</v>
      </c>
      <c r="CE13" s="63">
        <v>2</v>
      </c>
      <c r="CF13" s="63">
        <v>2</v>
      </c>
      <c r="CG13" s="63"/>
      <c r="CH13" s="63"/>
      <c r="CI13" s="63">
        <v>5</v>
      </c>
      <c r="CJ13" s="288">
        <v>475</v>
      </c>
    </row>
    <row r="14" spans="1:88" x14ac:dyDescent="0.25">
      <c r="A14" s="247" t="s">
        <v>759</v>
      </c>
      <c r="B14" s="63"/>
      <c r="C14" s="63">
        <v>1</v>
      </c>
      <c r="D14" s="63">
        <v>0</v>
      </c>
      <c r="E14" s="63">
        <v>1</v>
      </c>
      <c r="F14" s="63">
        <v>11</v>
      </c>
      <c r="G14" s="63">
        <v>18</v>
      </c>
      <c r="H14" s="63">
        <v>0</v>
      </c>
      <c r="I14" s="63"/>
      <c r="J14" s="63"/>
      <c r="K14" s="63">
        <v>7</v>
      </c>
      <c r="L14" s="63"/>
      <c r="M14" s="63"/>
      <c r="N14" s="63">
        <v>0</v>
      </c>
      <c r="O14" s="63">
        <v>0</v>
      </c>
      <c r="P14" s="63">
        <v>0</v>
      </c>
      <c r="Q14" s="63">
        <v>0</v>
      </c>
      <c r="R14" s="63">
        <v>0</v>
      </c>
      <c r="S14" s="63"/>
      <c r="T14" s="63">
        <v>0</v>
      </c>
      <c r="U14" s="63"/>
      <c r="V14" s="63">
        <v>0</v>
      </c>
      <c r="W14" s="63">
        <v>0</v>
      </c>
      <c r="X14" s="63">
        <v>2</v>
      </c>
      <c r="Y14" s="63">
        <v>0</v>
      </c>
      <c r="Z14" s="63"/>
      <c r="AA14" s="63">
        <v>12</v>
      </c>
      <c r="AB14" s="63">
        <v>0</v>
      </c>
      <c r="AC14" s="63">
        <v>1</v>
      </c>
      <c r="AD14" s="63">
        <v>0</v>
      </c>
      <c r="AE14" s="63">
        <v>0</v>
      </c>
      <c r="AF14" s="63">
        <v>12</v>
      </c>
      <c r="AG14" s="63">
        <v>0</v>
      </c>
      <c r="AH14" s="63"/>
      <c r="AI14" s="63">
        <v>0</v>
      </c>
      <c r="AJ14" s="63">
        <v>12</v>
      </c>
      <c r="AK14" s="63"/>
      <c r="AL14" s="63">
        <v>0</v>
      </c>
      <c r="AM14" s="63">
        <v>0</v>
      </c>
      <c r="AN14" s="63">
        <v>12</v>
      </c>
      <c r="AO14" s="63"/>
      <c r="AP14" s="63"/>
      <c r="AQ14" s="63"/>
      <c r="AR14" s="63"/>
      <c r="AS14" s="63"/>
      <c r="AT14" s="63"/>
      <c r="AU14" s="63"/>
      <c r="AV14" s="63"/>
      <c r="AW14" s="63"/>
      <c r="AX14" s="63"/>
      <c r="AY14" s="63">
        <v>0</v>
      </c>
      <c r="AZ14" s="63"/>
      <c r="BA14" s="63">
        <v>0</v>
      </c>
      <c r="BB14" s="63"/>
      <c r="BC14" s="63">
        <v>0</v>
      </c>
      <c r="BD14" s="63"/>
      <c r="BE14" s="63">
        <v>0</v>
      </c>
      <c r="BF14" s="63">
        <v>13</v>
      </c>
      <c r="BG14" s="63">
        <v>4</v>
      </c>
      <c r="BH14" s="63">
        <v>0</v>
      </c>
      <c r="BI14" s="63">
        <v>0</v>
      </c>
      <c r="BJ14" s="63"/>
      <c r="BK14" s="63">
        <v>12</v>
      </c>
      <c r="BL14" s="63">
        <v>0</v>
      </c>
      <c r="BM14" s="63"/>
      <c r="BN14" s="63">
        <v>0</v>
      </c>
      <c r="BO14" s="63">
        <v>0</v>
      </c>
      <c r="BP14" s="63">
        <v>0</v>
      </c>
      <c r="BQ14" s="63"/>
      <c r="BR14" s="63">
        <v>5</v>
      </c>
      <c r="BS14" s="63"/>
      <c r="BT14" s="63">
        <v>0</v>
      </c>
      <c r="BU14" s="63">
        <v>0</v>
      </c>
      <c r="BV14" s="63">
        <v>60</v>
      </c>
      <c r="BW14" s="63">
        <v>0</v>
      </c>
      <c r="BX14" s="63">
        <v>0</v>
      </c>
      <c r="BY14" s="63">
        <v>0</v>
      </c>
      <c r="BZ14" s="63">
        <v>0</v>
      </c>
      <c r="CA14" s="63">
        <v>0</v>
      </c>
      <c r="CB14" s="63"/>
      <c r="CC14" s="63">
        <v>0</v>
      </c>
      <c r="CD14" s="63">
        <v>0</v>
      </c>
      <c r="CE14" s="63">
        <v>0</v>
      </c>
      <c r="CF14" s="63">
        <v>0</v>
      </c>
      <c r="CG14" s="63"/>
      <c r="CH14" s="63"/>
      <c r="CI14" s="63">
        <v>2</v>
      </c>
      <c r="CJ14" s="288">
        <v>185</v>
      </c>
    </row>
    <row r="15" spans="1:88" x14ac:dyDescent="0.25">
      <c r="A15" s="247" t="s">
        <v>760</v>
      </c>
      <c r="B15" s="63">
        <v>4</v>
      </c>
      <c r="C15" s="63">
        <v>0</v>
      </c>
      <c r="D15" s="63">
        <v>1</v>
      </c>
      <c r="E15" s="63">
        <v>4</v>
      </c>
      <c r="F15" s="63">
        <v>27</v>
      </c>
      <c r="G15" s="63">
        <v>48</v>
      </c>
      <c r="H15" s="63">
        <v>43</v>
      </c>
      <c r="I15" s="63"/>
      <c r="J15" s="63">
        <v>2</v>
      </c>
      <c r="K15" s="63">
        <v>16</v>
      </c>
      <c r="L15" s="63"/>
      <c r="M15" s="63">
        <v>3</v>
      </c>
      <c r="N15" s="63">
        <v>0</v>
      </c>
      <c r="O15" s="63">
        <v>2</v>
      </c>
      <c r="P15" s="63">
        <v>4</v>
      </c>
      <c r="Q15" s="63">
        <v>10</v>
      </c>
      <c r="R15" s="63">
        <v>0</v>
      </c>
      <c r="S15" s="63"/>
      <c r="T15" s="63">
        <v>2</v>
      </c>
      <c r="U15" s="63">
        <v>1</v>
      </c>
      <c r="V15" s="63">
        <v>5</v>
      </c>
      <c r="W15" s="63">
        <v>4</v>
      </c>
      <c r="X15" s="63"/>
      <c r="Y15" s="63">
        <v>8</v>
      </c>
      <c r="Z15" s="63"/>
      <c r="AA15" s="63">
        <v>4</v>
      </c>
      <c r="AB15" s="63">
        <v>2</v>
      </c>
      <c r="AC15" s="63">
        <v>1</v>
      </c>
      <c r="AD15" s="63">
        <v>6</v>
      </c>
      <c r="AE15" s="63">
        <v>0</v>
      </c>
      <c r="AF15" s="63">
        <v>32</v>
      </c>
      <c r="AG15" s="63">
        <v>1</v>
      </c>
      <c r="AH15" s="63"/>
      <c r="AI15" s="63">
        <v>4</v>
      </c>
      <c r="AJ15" s="63">
        <v>4</v>
      </c>
      <c r="AK15" s="63"/>
      <c r="AL15" s="63">
        <v>3</v>
      </c>
      <c r="AM15" s="63">
        <v>40</v>
      </c>
      <c r="AN15" s="63">
        <v>17</v>
      </c>
      <c r="AO15" s="63">
        <v>3</v>
      </c>
      <c r="AP15" s="63">
        <v>8</v>
      </c>
      <c r="AQ15" s="63"/>
      <c r="AR15" s="63">
        <v>30</v>
      </c>
      <c r="AS15" s="63">
        <v>1</v>
      </c>
      <c r="AT15" s="63">
        <v>16</v>
      </c>
      <c r="AU15" s="63"/>
      <c r="AV15" s="63">
        <v>2</v>
      </c>
      <c r="AW15" s="63">
        <v>2</v>
      </c>
      <c r="AX15" s="63">
        <v>2</v>
      </c>
      <c r="AY15" s="63">
        <v>1</v>
      </c>
      <c r="AZ15" s="63">
        <v>1</v>
      </c>
      <c r="BA15" s="63">
        <v>13</v>
      </c>
      <c r="BB15" s="63"/>
      <c r="BC15" s="63">
        <v>10</v>
      </c>
      <c r="BD15" s="63">
        <v>5</v>
      </c>
      <c r="BE15" s="63">
        <v>24</v>
      </c>
      <c r="BF15" s="63">
        <v>87</v>
      </c>
      <c r="BG15" s="63">
        <v>25</v>
      </c>
      <c r="BH15" s="63">
        <v>3</v>
      </c>
      <c r="BI15" s="63">
        <v>2</v>
      </c>
      <c r="BJ15" s="63"/>
      <c r="BK15" s="63">
        <v>47</v>
      </c>
      <c r="BL15" s="63">
        <v>16</v>
      </c>
      <c r="BM15" s="63">
        <v>4</v>
      </c>
      <c r="BN15" s="63">
        <v>4</v>
      </c>
      <c r="BO15" s="63">
        <v>6</v>
      </c>
      <c r="BP15" s="63">
        <v>17</v>
      </c>
      <c r="BQ15" s="63"/>
      <c r="BR15" s="63">
        <v>13</v>
      </c>
      <c r="BS15" s="63"/>
      <c r="BT15" s="63">
        <v>8</v>
      </c>
      <c r="BU15" s="63">
        <v>0</v>
      </c>
      <c r="BV15" s="63">
        <v>106</v>
      </c>
      <c r="BW15" s="63">
        <v>14</v>
      </c>
      <c r="BX15" s="63">
        <v>16</v>
      </c>
      <c r="BY15" s="63">
        <v>3</v>
      </c>
      <c r="BZ15" s="63">
        <v>0</v>
      </c>
      <c r="CA15" s="63">
        <v>1</v>
      </c>
      <c r="CB15" s="63"/>
      <c r="CC15" s="63">
        <v>4</v>
      </c>
      <c r="CD15" s="63">
        <v>6</v>
      </c>
      <c r="CE15" s="63">
        <v>5</v>
      </c>
      <c r="CF15" s="63">
        <v>9</v>
      </c>
      <c r="CG15" s="63"/>
      <c r="CH15" s="63"/>
      <c r="CI15" s="63">
        <v>10</v>
      </c>
      <c r="CJ15" s="288">
        <v>822</v>
      </c>
    </row>
    <row r="16" spans="1:88" x14ac:dyDescent="0.25">
      <c r="A16" s="247" t="s">
        <v>761</v>
      </c>
      <c r="B16" s="63">
        <v>4</v>
      </c>
      <c r="C16" s="63">
        <v>0</v>
      </c>
      <c r="D16" s="63">
        <v>7</v>
      </c>
      <c r="E16" s="63">
        <v>2</v>
      </c>
      <c r="F16" s="63">
        <v>22</v>
      </c>
      <c r="G16" s="63">
        <v>41</v>
      </c>
      <c r="H16" s="63">
        <v>41</v>
      </c>
      <c r="I16" s="63"/>
      <c r="J16" s="63">
        <v>2</v>
      </c>
      <c r="K16" s="63">
        <v>39</v>
      </c>
      <c r="L16" s="63">
        <v>9</v>
      </c>
      <c r="M16" s="63">
        <v>2</v>
      </c>
      <c r="N16" s="63">
        <v>0</v>
      </c>
      <c r="O16" s="63">
        <v>0</v>
      </c>
      <c r="P16" s="63">
        <v>13</v>
      </c>
      <c r="Q16" s="63">
        <v>3</v>
      </c>
      <c r="R16" s="63">
        <v>0</v>
      </c>
      <c r="S16" s="63"/>
      <c r="T16" s="63">
        <v>2</v>
      </c>
      <c r="U16" s="63">
        <v>1</v>
      </c>
      <c r="V16" s="63">
        <v>28</v>
      </c>
      <c r="W16" s="63">
        <v>1</v>
      </c>
      <c r="X16" s="63">
        <v>2</v>
      </c>
      <c r="Y16" s="63">
        <v>10</v>
      </c>
      <c r="Z16" s="63"/>
      <c r="AA16" s="63">
        <v>26</v>
      </c>
      <c r="AB16" s="63">
        <v>0</v>
      </c>
      <c r="AC16" s="63">
        <v>0</v>
      </c>
      <c r="AD16" s="63">
        <v>9</v>
      </c>
      <c r="AE16" s="63">
        <v>0</v>
      </c>
      <c r="AF16" s="63">
        <v>49</v>
      </c>
      <c r="AG16" s="63">
        <v>1</v>
      </c>
      <c r="AH16" s="63"/>
      <c r="AI16" s="63">
        <v>1</v>
      </c>
      <c r="AJ16" s="63">
        <v>25</v>
      </c>
      <c r="AK16" s="63"/>
      <c r="AL16" s="63">
        <v>2</v>
      </c>
      <c r="AM16" s="63">
        <v>3</v>
      </c>
      <c r="AN16" s="63">
        <v>42</v>
      </c>
      <c r="AO16" s="63">
        <v>1</v>
      </c>
      <c r="AP16" s="63">
        <v>8</v>
      </c>
      <c r="AQ16" s="63"/>
      <c r="AR16" s="63">
        <v>30</v>
      </c>
      <c r="AS16" s="63"/>
      <c r="AT16" s="63">
        <v>12</v>
      </c>
      <c r="AU16" s="63"/>
      <c r="AV16" s="63">
        <v>2</v>
      </c>
      <c r="AW16" s="63">
        <v>4</v>
      </c>
      <c r="AX16" s="63"/>
      <c r="AY16" s="63">
        <v>4</v>
      </c>
      <c r="AZ16" s="63">
        <v>1</v>
      </c>
      <c r="BA16" s="63">
        <v>9</v>
      </c>
      <c r="BB16" s="63"/>
      <c r="BC16" s="63">
        <v>16</v>
      </c>
      <c r="BD16" s="63">
        <v>5</v>
      </c>
      <c r="BE16" s="63">
        <v>17</v>
      </c>
      <c r="BF16" s="63">
        <v>138</v>
      </c>
      <c r="BG16" s="63">
        <v>39</v>
      </c>
      <c r="BH16" s="63">
        <v>1</v>
      </c>
      <c r="BI16" s="63">
        <v>14</v>
      </c>
      <c r="BJ16" s="63"/>
      <c r="BK16" s="63">
        <v>63</v>
      </c>
      <c r="BL16" s="63">
        <v>21</v>
      </c>
      <c r="BM16" s="63">
        <v>1</v>
      </c>
      <c r="BN16" s="63">
        <v>1</v>
      </c>
      <c r="BO16" s="63">
        <v>6</v>
      </c>
      <c r="BP16" s="63">
        <v>24</v>
      </c>
      <c r="BQ16" s="63">
        <v>2</v>
      </c>
      <c r="BR16" s="63">
        <v>10</v>
      </c>
      <c r="BS16" s="63"/>
      <c r="BT16" s="63">
        <v>1</v>
      </c>
      <c r="BU16" s="63">
        <v>0</v>
      </c>
      <c r="BV16" s="63">
        <v>114</v>
      </c>
      <c r="BW16" s="63">
        <v>18</v>
      </c>
      <c r="BX16" s="63">
        <v>11</v>
      </c>
      <c r="BY16" s="63">
        <v>2</v>
      </c>
      <c r="BZ16" s="63">
        <v>1</v>
      </c>
      <c r="CA16" s="63">
        <v>1</v>
      </c>
      <c r="CB16" s="63"/>
      <c r="CC16" s="63">
        <v>8</v>
      </c>
      <c r="CD16" s="63">
        <v>5</v>
      </c>
      <c r="CE16" s="63">
        <v>7</v>
      </c>
      <c r="CF16" s="63">
        <v>7</v>
      </c>
      <c r="CG16" s="63"/>
      <c r="CH16" s="63">
        <v>2</v>
      </c>
      <c r="CI16" s="63">
        <v>51</v>
      </c>
      <c r="CJ16" s="288">
        <v>1044</v>
      </c>
    </row>
    <row r="17" spans="1:88" x14ac:dyDescent="0.25">
      <c r="A17" s="247" t="s">
        <v>762</v>
      </c>
      <c r="B17" s="63">
        <v>4</v>
      </c>
      <c r="C17" s="63">
        <v>0</v>
      </c>
      <c r="D17" s="63">
        <v>8</v>
      </c>
      <c r="E17" s="63">
        <v>1</v>
      </c>
      <c r="F17" s="63">
        <v>19</v>
      </c>
      <c r="G17" s="63">
        <v>29</v>
      </c>
      <c r="H17" s="63">
        <v>28</v>
      </c>
      <c r="I17" s="63"/>
      <c r="J17" s="63">
        <v>2</v>
      </c>
      <c r="K17" s="63">
        <v>18</v>
      </c>
      <c r="L17" s="63"/>
      <c r="M17" s="63"/>
      <c r="N17" s="63">
        <v>0</v>
      </c>
      <c r="O17" s="63">
        <v>1</v>
      </c>
      <c r="P17" s="63">
        <v>0</v>
      </c>
      <c r="Q17" s="63">
        <v>8</v>
      </c>
      <c r="R17" s="63">
        <v>0</v>
      </c>
      <c r="S17" s="63"/>
      <c r="T17" s="63">
        <v>1</v>
      </c>
      <c r="U17" s="63"/>
      <c r="V17" s="63">
        <v>0</v>
      </c>
      <c r="W17" s="63">
        <v>0</v>
      </c>
      <c r="X17" s="63">
        <v>2</v>
      </c>
      <c r="Y17" s="63">
        <v>4</v>
      </c>
      <c r="Z17" s="63"/>
      <c r="AA17" s="63">
        <v>14</v>
      </c>
      <c r="AB17" s="63">
        <v>0</v>
      </c>
      <c r="AC17" s="63">
        <v>2</v>
      </c>
      <c r="AD17" s="63">
        <v>1</v>
      </c>
      <c r="AE17" s="63">
        <v>0</v>
      </c>
      <c r="AF17" s="63">
        <v>15</v>
      </c>
      <c r="AG17" s="63">
        <v>0</v>
      </c>
      <c r="AH17" s="63">
        <v>2</v>
      </c>
      <c r="AI17" s="63">
        <v>3</v>
      </c>
      <c r="AJ17" s="63">
        <v>6</v>
      </c>
      <c r="AK17" s="63"/>
      <c r="AL17" s="63">
        <v>2</v>
      </c>
      <c r="AM17" s="63">
        <v>2</v>
      </c>
      <c r="AN17" s="63">
        <v>6</v>
      </c>
      <c r="AO17" s="63"/>
      <c r="AP17" s="63">
        <v>8</v>
      </c>
      <c r="AQ17" s="63">
        <v>2</v>
      </c>
      <c r="AR17" s="63"/>
      <c r="AS17" s="63">
        <v>2</v>
      </c>
      <c r="AT17" s="63">
        <v>12</v>
      </c>
      <c r="AU17" s="63"/>
      <c r="AV17" s="63">
        <v>2</v>
      </c>
      <c r="AW17" s="63"/>
      <c r="AX17" s="63">
        <v>2</v>
      </c>
      <c r="AY17" s="63">
        <v>0</v>
      </c>
      <c r="AZ17" s="63"/>
      <c r="BA17" s="63">
        <v>11</v>
      </c>
      <c r="BB17" s="63"/>
      <c r="BC17" s="63">
        <v>13</v>
      </c>
      <c r="BD17" s="63">
        <v>8</v>
      </c>
      <c r="BE17" s="63">
        <v>3</v>
      </c>
      <c r="BF17" s="63">
        <v>96</v>
      </c>
      <c r="BG17" s="63">
        <v>54</v>
      </c>
      <c r="BH17" s="63">
        <v>3</v>
      </c>
      <c r="BI17" s="63">
        <v>7</v>
      </c>
      <c r="BJ17" s="63"/>
      <c r="BK17" s="63">
        <v>16</v>
      </c>
      <c r="BL17" s="63">
        <v>14</v>
      </c>
      <c r="BM17" s="63">
        <v>4</v>
      </c>
      <c r="BN17" s="63">
        <v>0</v>
      </c>
      <c r="BO17" s="63">
        <v>6</v>
      </c>
      <c r="BP17" s="63">
        <v>34</v>
      </c>
      <c r="BQ17" s="63"/>
      <c r="BR17" s="63">
        <v>3</v>
      </c>
      <c r="BS17" s="63">
        <v>2</v>
      </c>
      <c r="BT17" s="63">
        <v>1</v>
      </c>
      <c r="BU17" s="63">
        <v>0</v>
      </c>
      <c r="BV17" s="63">
        <v>21</v>
      </c>
      <c r="BW17" s="63">
        <v>2</v>
      </c>
      <c r="BX17" s="63">
        <v>1</v>
      </c>
      <c r="BY17" s="63">
        <v>0</v>
      </c>
      <c r="BZ17" s="63">
        <v>1</v>
      </c>
      <c r="CA17" s="63">
        <v>0</v>
      </c>
      <c r="CB17" s="63"/>
      <c r="CC17" s="63">
        <v>6</v>
      </c>
      <c r="CD17" s="63">
        <v>14</v>
      </c>
      <c r="CE17" s="63">
        <v>4</v>
      </c>
      <c r="CF17" s="63">
        <v>5</v>
      </c>
      <c r="CG17" s="63">
        <v>2</v>
      </c>
      <c r="CH17" s="63"/>
      <c r="CI17" s="63">
        <v>10</v>
      </c>
      <c r="CJ17" s="288">
        <v>547</v>
      </c>
    </row>
    <row r="18" spans="1:88" x14ac:dyDescent="0.25">
      <c r="A18" s="247" t="s">
        <v>763</v>
      </c>
      <c r="B18" s="63">
        <v>4</v>
      </c>
      <c r="C18" s="63">
        <v>0</v>
      </c>
      <c r="D18" s="63">
        <v>8</v>
      </c>
      <c r="E18" s="63">
        <v>3</v>
      </c>
      <c r="F18" s="63">
        <v>29</v>
      </c>
      <c r="G18" s="63">
        <v>67</v>
      </c>
      <c r="H18" s="63">
        <v>36</v>
      </c>
      <c r="I18" s="63"/>
      <c r="J18" s="63"/>
      <c r="K18" s="63">
        <v>41</v>
      </c>
      <c r="L18" s="63">
        <v>7</v>
      </c>
      <c r="M18" s="63">
        <v>2</v>
      </c>
      <c r="N18" s="63">
        <v>0</v>
      </c>
      <c r="O18" s="63">
        <v>0</v>
      </c>
      <c r="P18" s="63">
        <v>117</v>
      </c>
      <c r="Q18" s="63">
        <v>5</v>
      </c>
      <c r="R18" s="63">
        <v>0</v>
      </c>
      <c r="S18" s="63">
        <v>1</v>
      </c>
      <c r="T18" s="63">
        <v>0</v>
      </c>
      <c r="U18" s="63">
        <v>1</v>
      </c>
      <c r="V18" s="63">
        <v>66</v>
      </c>
      <c r="W18" s="63">
        <v>2</v>
      </c>
      <c r="X18" s="63">
        <v>2</v>
      </c>
      <c r="Y18" s="63">
        <v>4</v>
      </c>
      <c r="Z18" s="63"/>
      <c r="AA18" s="63">
        <v>36</v>
      </c>
      <c r="AB18" s="63">
        <v>2</v>
      </c>
      <c r="AC18" s="63">
        <v>9</v>
      </c>
      <c r="AD18" s="63">
        <v>4</v>
      </c>
      <c r="AE18" s="63">
        <v>0</v>
      </c>
      <c r="AF18" s="63">
        <v>56</v>
      </c>
      <c r="AG18" s="63">
        <v>1</v>
      </c>
      <c r="AH18" s="63"/>
      <c r="AI18" s="63">
        <v>1</v>
      </c>
      <c r="AJ18" s="63">
        <v>19</v>
      </c>
      <c r="AK18" s="63"/>
      <c r="AL18" s="63">
        <v>1</v>
      </c>
      <c r="AM18" s="63">
        <v>50</v>
      </c>
      <c r="AN18" s="63">
        <v>33</v>
      </c>
      <c r="AO18" s="63">
        <v>1</v>
      </c>
      <c r="AP18" s="63">
        <v>4</v>
      </c>
      <c r="AQ18" s="63">
        <v>15</v>
      </c>
      <c r="AR18" s="63">
        <v>30</v>
      </c>
      <c r="AS18" s="63">
        <v>15</v>
      </c>
      <c r="AT18" s="63">
        <v>7</v>
      </c>
      <c r="AU18" s="63"/>
      <c r="AV18" s="63"/>
      <c r="AW18" s="63">
        <v>2</v>
      </c>
      <c r="AX18" s="63">
        <v>2</v>
      </c>
      <c r="AY18" s="63">
        <v>1</v>
      </c>
      <c r="AZ18" s="63">
        <v>1</v>
      </c>
      <c r="BA18" s="63">
        <v>10</v>
      </c>
      <c r="BB18" s="63"/>
      <c r="BC18" s="63">
        <v>14</v>
      </c>
      <c r="BD18" s="63">
        <v>2</v>
      </c>
      <c r="BE18" s="63">
        <v>17</v>
      </c>
      <c r="BF18" s="63">
        <v>178</v>
      </c>
      <c r="BG18" s="63">
        <v>33</v>
      </c>
      <c r="BH18" s="63">
        <v>2</v>
      </c>
      <c r="BI18" s="63">
        <v>4</v>
      </c>
      <c r="BJ18" s="63"/>
      <c r="BK18" s="63">
        <v>99</v>
      </c>
      <c r="BL18" s="63">
        <v>16</v>
      </c>
      <c r="BM18" s="63">
        <v>2</v>
      </c>
      <c r="BN18" s="63">
        <v>3</v>
      </c>
      <c r="BO18" s="63">
        <v>18</v>
      </c>
      <c r="BP18" s="63">
        <v>12</v>
      </c>
      <c r="BQ18" s="63">
        <v>2</v>
      </c>
      <c r="BR18" s="63">
        <v>31</v>
      </c>
      <c r="BS18" s="63"/>
      <c r="BT18" s="63">
        <v>9</v>
      </c>
      <c r="BU18" s="63">
        <v>0</v>
      </c>
      <c r="BV18" s="63">
        <v>265</v>
      </c>
      <c r="BW18" s="63">
        <v>23</v>
      </c>
      <c r="BX18" s="63">
        <v>25</v>
      </c>
      <c r="BY18" s="63">
        <v>11</v>
      </c>
      <c r="BZ18" s="63">
        <v>2</v>
      </c>
      <c r="CA18" s="63">
        <v>7</v>
      </c>
      <c r="CB18" s="63"/>
      <c r="CC18" s="63">
        <v>11</v>
      </c>
      <c r="CD18" s="63">
        <v>69</v>
      </c>
      <c r="CE18" s="63">
        <v>6</v>
      </c>
      <c r="CF18" s="63">
        <v>35</v>
      </c>
      <c r="CG18" s="63"/>
      <c r="CH18" s="63">
        <v>2</v>
      </c>
      <c r="CI18" s="63">
        <v>78</v>
      </c>
      <c r="CJ18" s="288">
        <v>1671</v>
      </c>
    </row>
    <row r="19" spans="1:88" x14ac:dyDescent="0.25">
      <c r="A19" s="247" t="s">
        <v>764</v>
      </c>
      <c r="B19" s="63">
        <v>4</v>
      </c>
      <c r="C19" s="63">
        <v>1</v>
      </c>
      <c r="D19" s="63">
        <v>6</v>
      </c>
      <c r="E19" s="63">
        <v>2</v>
      </c>
      <c r="F19" s="63">
        <v>17</v>
      </c>
      <c r="G19" s="63">
        <v>37</v>
      </c>
      <c r="H19" s="63">
        <v>9</v>
      </c>
      <c r="I19" s="63">
        <v>1</v>
      </c>
      <c r="J19" s="63">
        <v>1</v>
      </c>
      <c r="K19" s="63">
        <v>30</v>
      </c>
      <c r="L19" s="63"/>
      <c r="M19" s="63">
        <v>2</v>
      </c>
      <c r="N19" s="63">
        <v>0</v>
      </c>
      <c r="O19" s="63">
        <v>2</v>
      </c>
      <c r="P19" s="63">
        <v>14</v>
      </c>
      <c r="Q19" s="63">
        <v>9</v>
      </c>
      <c r="R19" s="63">
        <v>0</v>
      </c>
      <c r="S19" s="63"/>
      <c r="T19" s="63">
        <v>2</v>
      </c>
      <c r="U19" s="63">
        <v>1</v>
      </c>
      <c r="V19" s="63">
        <v>1</v>
      </c>
      <c r="W19" s="63">
        <v>2</v>
      </c>
      <c r="X19" s="63"/>
      <c r="Y19" s="63">
        <v>7</v>
      </c>
      <c r="Z19" s="63"/>
      <c r="AA19" s="63">
        <v>24</v>
      </c>
      <c r="AB19" s="63">
        <v>1</v>
      </c>
      <c r="AC19" s="63">
        <v>5</v>
      </c>
      <c r="AD19" s="63">
        <v>4</v>
      </c>
      <c r="AE19" s="63">
        <v>0</v>
      </c>
      <c r="AF19" s="63">
        <v>30</v>
      </c>
      <c r="AG19" s="63">
        <v>1</v>
      </c>
      <c r="AH19" s="63">
        <v>2</v>
      </c>
      <c r="AI19" s="63">
        <v>5</v>
      </c>
      <c r="AJ19" s="63">
        <v>5</v>
      </c>
      <c r="AK19" s="63"/>
      <c r="AL19" s="63">
        <v>3</v>
      </c>
      <c r="AM19" s="63">
        <v>16</v>
      </c>
      <c r="AN19" s="63">
        <v>12</v>
      </c>
      <c r="AO19" s="63"/>
      <c r="AP19" s="63">
        <v>8</v>
      </c>
      <c r="AQ19" s="63">
        <v>15</v>
      </c>
      <c r="AR19" s="63"/>
      <c r="AS19" s="63">
        <v>3</v>
      </c>
      <c r="AT19" s="63">
        <v>12</v>
      </c>
      <c r="AU19" s="63"/>
      <c r="AV19" s="63">
        <v>2</v>
      </c>
      <c r="AW19" s="63">
        <v>2</v>
      </c>
      <c r="AX19" s="63"/>
      <c r="AY19" s="63">
        <v>1</v>
      </c>
      <c r="AZ19" s="63">
        <v>1</v>
      </c>
      <c r="BA19" s="63">
        <v>9</v>
      </c>
      <c r="BB19" s="63"/>
      <c r="BC19" s="63">
        <v>5</v>
      </c>
      <c r="BD19" s="63">
        <v>12</v>
      </c>
      <c r="BE19" s="63">
        <v>4</v>
      </c>
      <c r="BF19" s="63">
        <v>148</v>
      </c>
      <c r="BG19" s="63">
        <v>42</v>
      </c>
      <c r="BH19" s="63">
        <v>4</v>
      </c>
      <c r="BI19" s="63">
        <v>5</v>
      </c>
      <c r="BJ19" s="63"/>
      <c r="BK19" s="63">
        <v>27</v>
      </c>
      <c r="BL19" s="63">
        <v>15</v>
      </c>
      <c r="BM19" s="63">
        <v>4</v>
      </c>
      <c r="BN19" s="63">
        <v>2</v>
      </c>
      <c r="BO19" s="63">
        <v>4</v>
      </c>
      <c r="BP19" s="63">
        <v>10</v>
      </c>
      <c r="BQ19" s="63"/>
      <c r="BR19" s="63">
        <v>3</v>
      </c>
      <c r="BS19" s="63"/>
      <c r="BT19" s="63">
        <v>7</v>
      </c>
      <c r="BU19" s="63">
        <v>0</v>
      </c>
      <c r="BV19" s="63">
        <v>37</v>
      </c>
      <c r="BW19" s="63">
        <v>3</v>
      </c>
      <c r="BX19" s="63">
        <v>3</v>
      </c>
      <c r="BY19" s="63">
        <v>5</v>
      </c>
      <c r="BZ19" s="63">
        <v>2</v>
      </c>
      <c r="CA19" s="63">
        <v>3</v>
      </c>
      <c r="CB19" s="63"/>
      <c r="CC19" s="63">
        <v>6</v>
      </c>
      <c r="CD19" s="63">
        <v>6</v>
      </c>
      <c r="CE19" s="63">
        <v>11</v>
      </c>
      <c r="CF19" s="63">
        <v>8</v>
      </c>
      <c r="CG19" s="63">
        <v>2</v>
      </c>
      <c r="CH19" s="63"/>
      <c r="CI19" s="63">
        <v>17</v>
      </c>
      <c r="CJ19" s="288">
        <v>704</v>
      </c>
    </row>
    <row r="20" spans="1:88" x14ac:dyDescent="0.25">
      <c r="A20" s="247" t="s">
        <v>765</v>
      </c>
      <c r="B20" s="63">
        <v>4</v>
      </c>
      <c r="C20" s="63">
        <v>5</v>
      </c>
      <c r="D20" s="63">
        <v>6</v>
      </c>
      <c r="E20" s="63">
        <v>8</v>
      </c>
      <c r="F20" s="63">
        <v>28</v>
      </c>
      <c r="G20" s="63">
        <v>18</v>
      </c>
      <c r="H20" s="63">
        <v>34</v>
      </c>
      <c r="I20" s="63">
        <v>1</v>
      </c>
      <c r="J20" s="63">
        <v>3</v>
      </c>
      <c r="K20" s="63">
        <v>65</v>
      </c>
      <c r="L20" s="63">
        <v>9</v>
      </c>
      <c r="M20" s="63">
        <v>6</v>
      </c>
      <c r="N20" s="63">
        <v>0</v>
      </c>
      <c r="O20" s="63">
        <v>1</v>
      </c>
      <c r="P20" s="63">
        <v>9</v>
      </c>
      <c r="Q20" s="63">
        <v>14</v>
      </c>
      <c r="R20" s="63">
        <v>1</v>
      </c>
      <c r="S20" s="63">
        <v>1</v>
      </c>
      <c r="T20" s="63">
        <v>4</v>
      </c>
      <c r="U20" s="63">
        <v>2</v>
      </c>
      <c r="V20" s="63">
        <v>4</v>
      </c>
      <c r="W20" s="63">
        <v>4</v>
      </c>
      <c r="X20" s="63">
        <v>2</v>
      </c>
      <c r="Y20" s="63">
        <v>7</v>
      </c>
      <c r="Z20" s="63"/>
      <c r="AA20" s="63">
        <v>33</v>
      </c>
      <c r="AB20" s="63">
        <v>3</v>
      </c>
      <c r="AC20" s="63">
        <v>6</v>
      </c>
      <c r="AD20" s="63">
        <v>17</v>
      </c>
      <c r="AE20" s="63">
        <v>0</v>
      </c>
      <c r="AF20" s="63">
        <v>29</v>
      </c>
      <c r="AG20" s="63">
        <v>4</v>
      </c>
      <c r="AH20" s="63">
        <v>2</v>
      </c>
      <c r="AI20" s="63">
        <v>9</v>
      </c>
      <c r="AJ20" s="63">
        <v>11</v>
      </c>
      <c r="AK20" s="63"/>
      <c r="AL20" s="63">
        <v>5</v>
      </c>
      <c r="AM20" s="63">
        <v>11</v>
      </c>
      <c r="AN20" s="63">
        <v>18</v>
      </c>
      <c r="AO20" s="63"/>
      <c r="AP20" s="63">
        <v>8</v>
      </c>
      <c r="AQ20" s="63">
        <v>2</v>
      </c>
      <c r="AR20" s="63"/>
      <c r="AS20" s="63">
        <v>2</v>
      </c>
      <c r="AT20" s="63">
        <v>16</v>
      </c>
      <c r="AU20" s="63"/>
      <c r="AV20" s="63">
        <v>2</v>
      </c>
      <c r="AW20" s="63">
        <v>4</v>
      </c>
      <c r="AX20" s="63">
        <v>2</v>
      </c>
      <c r="AY20" s="63">
        <v>2</v>
      </c>
      <c r="AZ20" s="63">
        <v>3</v>
      </c>
      <c r="BA20" s="63">
        <v>15</v>
      </c>
      <c r="BB20" s="63"/>
      <c r="BC20" s="63">
        <v>38</v>
      </c>
      <c r="BD20" s="63">
        <v>15</v>
      </c>
      <c r="BE20" s="63">
        <v>28</v>
      </c>
      <c r="BF20" s="63">
        <v>244</v>
      </c>
      <c r="BG20" s="63">
        <v>65</v>
      </c>
      <c r="BH20" s="63">
        <v>7</v>
      </c>
      <c r="BI20" s="63">
        <v>10</v>
      </c>
      <c r="BJ20" s="63"/>
      <c r="BK20" s="63">
        <v>54</v>
      </c>
      <c r="BL20" s="63">
        <v>56</v>
      </c>
      <c r="BM20" s="63">
        <v>4</v>
      </c>
      <c r="BN20" s="63">
        <v>5</v>
      </c>
      <c r="BO20" s="63">
        <v>7</v>
      </c>
      <c r="BP20" s="63">
        <v>57</v>
      </c>
      <c r="BQ20" s="63"/>
      <c r="BR20" s="63">
        <v>5</v>
      </c>
      <c r="BS20" s="63">
        <v>2</v>
      </c>
      <c r="BT20" s="63">
        <v>11</v>
      </c>
      <c r="BU20" s="63">
        <v>0</v>
      </c>
      <c r="BV20" s="63">
        <v>76</v>
      </c>
      <c r="BW20" s="63">
        <v>13</v>
      </c>
      <c r="BX20" s="63">
        <v>6</v>
      </c>
      <c r="BY20" s="63">
        <v>8</v>
      </c>
      <c r="BZ20" s="63">
        <v>1</v>
      </c>
      <c r="CA20" s="63">
        <v>7</v>
      </c>
      <c r="CB20" s="63"/>
      <c r="CC20" s="63">
        <v>37</v>
      </c>
      <c r="CD20" s="63">
        <v>20</v>
      </c>
      <c r="CE20" s="63">
        <v>22</v>
      </c>
      <c r="CF20" s="63">
        <v>23</v>
      </c>
      <c r="CG20" s="63">
        <v>2</v>
      </c>
      <c r="CH20" s="63"/>
      <c r="CI20" s="63">
        <v>41</v>
      </c>
      <c r="CJ20" s="288">
        <v>1304</v>
      </c>
    </row>
    <row r="21" spans="1:88" x14ac:dyDescent="0.25">
      <c r="A21" s="248" t="s">
        <v>196</v>
      </c>
      <c r="B21" s="249">
        <f>SUM(B5:B20)</f>
        <v>28</v>
      </c>
      <c r="C21" s="249">
        <f t="shared" ref="C21:BN21" si="0">SUM(C5:C20)</f>
        <v>24</v>
      </c>
      <c r="D21" s="249">
        <f t="shared" si="0"/>
        <v>77</v>
      </c>
      <c r="E21" s="249">
        <f t="shared" si="0"/>
        <v>54</v>
      </c>
      <c r="F21" s="249">
        <f t="shared" si="0"/>
        <v>253</v>
      </c>
      <c r="G21" s="249">
        <f t="shared" si="0"/>
        <v>504</v>
      </c>
      <c r="H21" s="249">
        <f t="shared" si="0"/>
        <v>258</v>
      </c>
      <c r="I21" s="249">
        <f t="shared" si="0"/>
        <v>4</v>
      </c>
      <c r="J21" s="249">
        <f t="shared" si="0"/>
        <v>17</v>
      </c>
      <c r="K21" s="249">
        <f t="shared" si="0"/>
        <v>344</v>
      </c>
      <c r="L21" s="249">
        <f t="shared" si="0"/>
        <v>25</v>
      </c>
      <c r="M21" s="249">
        <f t="shared" si="0"/>
        <v>24</v>
      </c>
      <c r="N21" s="249">
        <f t="shared" si="0"/>
        <v>2</v>
      </c>
      <c r="O21" s="249">
        <f t="shared" si="0"/>
        <v>13</v>
      </c>
      <c r="P21" s="249">
        <f t="shared" si="0"/>
        <v>256</v>
      </c>
      <c r="Q21" s="249">
        <f t="shared" si="0"/>
        <v>62</v>
      </c>
      <c r="R21" s="249">
        <f t="shared" si="0"/>
        <v>2</v>
      </c>
      <c r="S21" s="249">
        <f t="shared" si="0"/>
        <v>4</v>
      </c>
      <c r="T21" s="249">
        <f t="shared" si="0"/>
        <v>15</v>
      </c>
      <c r="U21" s="249">
        <f t="shared" si="0"/>
        <v>10</v>
      </c>
      <c r="V21" s="249">
        <f t="shared" si="0"/>
        <v>181</v>
      </c>
      <c r="W21" s="249">
        <f t="shared" si="0"/>
        <v>21</v>
      </c>
      <c r="X21" s="249">
        <f t="shared" si="0"/>
        <v>18</v>
      </c>
      <c r="Y21" s="249">
        <f t="shared" si="0"/>
        <v>58</v>
      </c>
      <c r="Z21" s="249">
        <f t="shared" si="0"/>
        <v>0</v>
      </c>
      <c r="AA21" s="249">
        <f t="shared" si="0"/>
        <v>269</v>
      </c>
      <c r="AB21" s="249">
        <f t="shared" si="0"/>
        <v>18</v>
      </c>
      <c r="AC21" s="249">
        <f t="shared" si="0"/>
        <v>45</v>
      </c>
      <c r="AD21" s="249">
        <f t="shared" si="0"/>
        <v>136</v>
      </c>
      <c r="AE21" s="249">
        <f t="shared" si="0"/>
        <v>0</v>
      </c>
      <c r="AF21" s="249">
        <f t="shared" si="0"/>
        <v>371</v>
      </c>
      <c r="AG21" s="249">
        <f t="shared" si="0"/>
        <v>10</v>
      </c>
      <c r="AH21" s="249">
        <f t="shared" si="0"/>
        <v>20</v>
      </c>
      <c r="AI21" s="249">
        <f t="shared" si="0"/>
        <v>33</v>
      </c>
      <c r="AJ21" s="249">
        <f t="shared" si="0"/>
        <v>103</v>
      </c>
      <c r="AK21" s="249">
        <f t="shared" si="0"/>
        <v>0</v>
      </c>
      <c r="AL21" s="249">
        <f t="shared" si="0"/>
        <v>28</v>
      </c>
      <c r="AM21" s="249">
        <f t="shared" si="0"/>
        <v>193</v>
      </c>
      <c r="AN21" s="249">
        <f t="shared" si="0"/>
        <v>223</v>
      </c>
      <c r="AO21" s="249">
        <f t="shared" si="0"/>
        <v>11</v>
      </c>
      <c r="AP21" s="249">
        <f t="shared" si="0"/>
        <v>44</v>
      </c>
      <c r="AQ21" s="249">
        <f t="shared" si="0"/>
        <v>49</v>
      </c>
      <c r="AR21" s="249">
        <f t="shared" si="0"/>
        <v>240</v>
      </c>
      <c r="AS21" s="249">
        <f t="shared" si="0"/>
        <v>46</v>
      </c>
      <c r="AT21" s="249">
        <f t="shared" si="0"/>
        <v>95</v>
      </c>
      <c r="AU21" s="249">
        <f t="shared" si="0"/>
        <v>4</v>
      </c>
      <c r="AV21" s="249">
        <f t="shared" si="0"/>
        <v>28</v>
      </c>
      <c r="AW21" s="249">
        <f t="shared" si="0"/>
        <v>33</v>
      </c>
      <c r="AX21" s="249">
        <f t="shared" si="0"/>
        <v>10</v>
      </c>
      <c r="AY21" s="249">
        <f t="shared" si="0"/>
        <v>17</v>
      </c>
      <c r="AZ21" s="249">
        <f t="shared" si="0"/>
        <v>11</v>
      </c>
      <c r="BA21" s="249">
        <f t="shared" si="0"/>
        <v>87</v>
      </c>
      <c r="BB21" s="249">
        <f t="shared" si="0"/>
        <v>0</v>
      </c>
      <c r="BC21" s="249">
        <f t="shared" si="0"/>
        <v>149</v>
      </c>
      <c r="BD21" s="249">
        <f t="shared" si="0"/>
        <v>67</v>
      </c>
      <c r="BE21" s="249">
        <f t="shared" si="0"/>
        <v>147</v>
      </c>
      <c r="BF21" s="249">
        <f t="shared" si="0"/>
        <v>1829</v>
      </c>
      <c r="BG21" s="249">
        <f t="shared" si="0"/>
        <v>419</v>
      </c>
      <c r="BH21" s="249">
        <f t="shared" si="0"/>
        <v>35</v>
      </c>
      <c r="BI21" s="249">
        <f t="shared" si="0"/>
        <v>74</v>
      </c>
      <c r="BJ21" s="249">
        <f t="shared" si="0"/>
        <v>0</v>
      </c>
      <c r="BK21" s="249">
        <f t="shared" si="0"/>
        <v>623</v>
      </c>
      <c r="BL21" s="249">
        <f t="shared" si="0"/>
        <v>233</v>
      </c>
      <c r="BM21" s="249">
        <f t="shared" si="0"/>
        <v>88</v>
      </c>
      <c r="BN21" s="249">
        <f t="shared" si="0"/>
        <v>23</v>
      </c>
      <c r="BO21" s="249">
        <f t="shared" ref="BO21:CJ21" si="1">SUM(BO5:BO20)</f>
        <v>84</v>
      </c>
      <c r="BP21" s="249">
        <f t="shared" si="1"/>
        <v>231</v>
      </c>
      <c r="BQ21" s="249">
        <f t="shared" si="1"/>
        <v>4</v>
      </c>
      <c r="BR21" s="249">
        <f t="shared" si="1"/>
        <v>103</v>
      </c>
      <c r="BS21" s="249">
        <f t="shared" si="1"/>
        <v>4</v>
      </c>
      <c r="BT21" s="249">
        <f t="shared" si="1"/>
        <v>56</v>
      </c>
      <c r="BU21" s="249">
        <f t="shared" si="1"/>
        <v>0</v>
      </c>
      <c r="BV21" s="249">
        <f t="shared" si="1"/>
        <v>1456</v>
      </c>
      <c r="BW21" s="249">
        <f t="shared" si="1"/>
        <v>135</v>
      </c>
      <c r="BX21" s="249">
        <f t="shared" si="1"/>
        <v>97</v>
      </c>
      <c r="BY21" s="249">
        <f t="shared" si="1"/>
        <v>46</v>
      </c>
      <c r="BZ21" s="249">
        <f t="shared" si="1"/>
        <v>11</v>
      </c>
      <c r="CA21" s="249">
        <f t="shared" si="1"/>
        <v>36</v>
      </c>
      <c r="CB21" s="249">
        <f t="shared" si="1"/>
        <v>0</v>
      </c>
      <c r="CC21" s="249">
        <f t="shared" si="1"/>
        <v>79</v>
      </c>
      <c r="CD21" s="249">
        <f t="shared" si="1"/>
        <v>183</v>
      </c>
      <c r="CE21" s="249">
        <f t="shared" si="1"/>
        <v>99</v>
      </c>
      <c r="CF21" s="249">
        <f t="shared" si="1"/>
        <v>152</v>
      </c>
      <c r="CG21" s="249">
        <f t="shared" si="1"/>
        <v>6</v>
      </c>
      <c r="CH21" s="249">
        <f t="shared" si="1"/>
        <v>7</v>
      </c>
      <c r="CI21" s="249">
        <f t="shared" si="1"/>
        <v>395</v>
      </c>
      <c r="CJ21" s="249">
        <f t="shared" si="1"/>
        <v>11249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997591-2F1C-4C8A-A240-F590D5790C51}">
  <sheetPr>
    <tabColor rgb="FFFFC000"/>
  </sheetPr>
  <dimension ref="B1:P40"/>
  <sheetViews>
    <sheetView workbookViewId="0">
      <selection activeCell="K3" sqref="K3"/>
    </sheetView>
  </sheetViews>
  <sheetFormatPr defaultColWidth="8.7109375" defaultRowHeight="15" x14ac:dyDescent="0.25"/>
  <cols>
    <col min="2" max="2" width="68.28515625" style="4" bestFit="1" customWidth="1"/>
    <col min="3" max="3" width="5" bestFit="1" customWidth="1"/>
    <col min="4" max="4" width="11.7109375" style="4" bestFit="1" customWidth="1"/>
    <col min="5" max="5" width="10.5703125" bestFit="1" customWidth="1"/>
    <col min="6" max="6" width="6.7109375" customWidth="1"/>
    <col min="7" max="7" width="11.5703125" hidden="1" customWidth="1"/>
    <col min="8" max="8" width="11.28515625" hidden="1" customWidth="1"/>
    <col min="9" max="10" width="11.7109375" hidden="1" customWidth="1"/>
    <col min="11" max="12" width="13.28515625" customWidth="1"/>
    <col min="13" max="13" width="8.7109375" hidden="1" customWidth="1"/>
    <col min="14" max="14" width="17.7109375" hidden="1" customWidth="1"/>
    <col min="15" max="15" width="13.7109375" hidden="1" customWidth="1"/>
    <col min="16" max="16" width="13" hidden="1" customWidth="1"/>
  </cols>
  <sheetData>
    <row r="1" spans="2:16" x14ac:dyDescent="0.25">
      <c r="B1" s="4" t="s">
        <v>7</v>
      </c>
    </row>
    <row r="2" spans="2:16" s="13" customFormat="1" ht="45" x14ac:dyDescent="0.25">
      <c r="B2" s="156" t="s">
        <v>8</v>
      </c>
      <c r="C2" s="157" t="s">
        <v>9</v>
      </c>
      <c r="D2" s="157" t="s">
        <v>10</v>
      </c>
      <c r="E2" s="156" t="s">
        <v>11</v>
      </c>
      <c r="F2" s="156" t="s">
        <v>12</v>
      </c>
      <c r="G2" s="156" t="s">
        <v>13</v>
      </c>
      <c r="H2" s="156" t="s">
        <v>14</v>
      </c>
      <c r="I2" s="156" t="s">
        <v>15</v>
      </c>
      <c r="J2" s="158" t="s">
        <v>16</v>
      </c>
      <c r="K2" s="158" t="s">
        <v>17</v>
      </c>
      <c r="L2" s="158" t="s">
        <v>18</v>
      </c>
      <c r="M2" s="159" t="s">
        <v>19</v>
      </c>
      <c r="N2" s="159" t="s">
        <v>20</v>
      </c>
      <c r="O2" s="159" t="s">
        <v>21</v>
      </c>
      <c r="P2" s="159" t="s">
        <v>22</v>
      </c>
    </row>
    <row r="3" spans="2:16" x14ac:dyDescent="0.25">
      <c r="B3" s="175" t="s">
        <v>23</v>
      </c>
      <c r="C3" s="161" t="s">
        <v>24</v>
      </c>
      <c r="D3" s="178" t="s">
        <v>25</v>
      </c>
      <c r="E3" s="160" t="s">
        <v>26</v>
      </c>
      <c r="F3" s="160" t="s">
        <v>27</v>
      </c>
      <c r="G3" s="162">
        <v>337</v>
      </c>
      <c r="H3" s="163">
        <v>45</v>
      </c>
      <c r="I3" s="164">
        <v>7.4888888888888889</v>
      </c>
      <c r="J3" s="165">
        <v>8</v>
      </c>
      <c r="K3" s="166">
        <v>8</v>
      </c>
      <c r="L3" s="186">
        <f>COUNTIF('FY 2026 Schedule'!$C$3:$C$689,'Planning-Need vs Planned'!B3)</f>
        <v>10</v>
      </c>
      <c r="M3" s="166">
        <v>16</v>
      </c>
      <c r="N3" s="166">
        <v>128</v>
      </c>
      <c r="O3" s="162">
        <v>0</v>
      </c>
      <c r="P3" s="167">
        <v>1.0682492581602374</v>
      </c>
    </row>
    <row r="4" spans="2:16" x14ac:dyDescent="0.25">
      <c r="B4" s="175" t="s">
        <v>28</v>
      </c>
      <c r="C4" s="161" t="s">
        <v>29</v>
      </c>
      <c r="D4" s="179" t="s">
        <v>30</v>
      </c>
      <c r="E4" s="160" t="s">
        <v>31</v>
      </c>
      <c r="F4" s="160">
        <v>3878</v>
      </c>
      <c r="G4" s="162">
        <v>325</v>
      </c>
      <c r="H4" s="163">
        <v>25</v>
      </c>
      <c r="I4" s="164">
        <v>13</v>
      </c>
      <c r="J4" s="165">
        <v>13</v>
      </c>
      <c r="K4" s="166">
        <v>2</v>
      </c>
      <c r="L4" s="186">
        <f>COUNTIF('FY 2026 Schedule'!$C$3:$C$689,'Planning-Need vs Planned'!B4)</f>
        <v>2</v>
      </c>
      <c r="M4" s="166">
        <v>24</v>
      </c>
      <c r="N4" s="166">
        <v>48</v>
      </c>
      <c r="O4" s="162">
        <v>-11</v>
      </c>
      <c r="P4" s="167">
        <v>0.15384615384615385</v>
      </c>
    </row>
    <row r="5" spans="2:16" x14ac:dyDescent="0.25">
      <c r="B5" s="175" t="s">
        <v>32</v>
      </c>
      <c r="C5" s="161" t="s">
        <v>29</v>
      </c>
      <c r="D5" s="179" t="s">
        <v>30</v>
      </c>
      <c r="E5" s="160" t="s">
        <v>33</v>
      </c>
      <c r="F5" s="160">
        <v>3879</v>
      </c>
      <c r="G5" s="162">
        <v>341</v>
      </c>
      <c r="H5" s="163">
        <v>30</v>
      </c>
      <c r="I5" s="164">
        <v>11.366666666666667</v>
      </c>
      <c r="J5" s="165">
        <v>12</v>
      </c>
      <c r="K5" s="166">
        <v>4</v>
      </c>
      <c r="L5" s="186">
        <f>COUNTIF('FY 2026 Schedule'!$C$3:$C$689,'Planning-Need vs Planned'!B5)</f>
        <v>4</v>
      </c>
      <c r="M5" s="166">
        <v>4</v>
      </c>
      <c r="N5" s="166">
        <v>16</v>
      </c>
      <c r="O5" s="162">
        <v>-8</v>
      </c>
      <c r="P5" s="167">
        <v>0.35190615835777128</v>
      </c>
    </row>
    <row r="6" spans="2:16" x14ac:dyDescent="0.25">
      <c r="B6" s="175" t="s">
        <v>34</v>
      </c>
      <c r="C6" s="161" t="s">
        <v>29</v>
      </c>
      <c r="D6" s="179" t="s">
        <v>30</v>
      </c>
      <c r="E6" s="160" t="s">
        <v>35</v>
      </c>
      <c r="F6" s="160">
        <v>3882</v>
      </c>
      <c r="G6" s="162">
        <v>128</v>
      </c>
      <c r="H6" s="163">
        <v>25</v>
      </c>
      <c r="I6" s="164">
        <v>5.12</v>
      </c>
      <c r="J6" s="165">
        <v>6</v>
      </c>
      <c r="K6" s="166">
        <v>2</v>
      </c>
      <c r="L6" s="186">
        <f>COUNTIF('FY 2026 Schedule'!$C$3:$C$689,'Planning-Need vs Planned'!B6)</f>
        <v>2</v>
      </c>
      <c r="M6" s="166">
        <v>16</v>
      </c>
      <c r="N6" s="166">
        <v>32</v>
      </c>
      <c r="O6" s="162">
        <v>-4</v>
      </c>
      <c r="P6" s="167">
        <v>0.390625</v>
      </c>
    </row>
    <row r="7" spans="2:16" x14ac:dyDescent="0.25">
      <c r="B7" s="175" t="s">
        <v>36</v>
      </c>
      <c r="C7" s="161" t="s">
        <v>29</v>
      </c>
      <c r="D7" s="179" t="s">
        <v>30</v>
      </c>
      <c r="E7" s="160" t="s">
        <v>37</v>
      </c>
      <c r="F7" s="160">
        <v>3888</v>
      </c>
      <c r="G7" s="162">
        <v>171</v>
      </c>
      <c r="H7" s="163">
        <v>30</v>
      </c>
      <c r="I7" s="164">
        <v>5.7</v>
      </c>
      <c r="J7" s="165">
        <v>6</v>
      </c>
      <c r="K7" s="166">
        <v>4</v>
      </c>
      <c r="L7" s="186">
        <f>COUNTIF('FY 2026 Schedule'!$C$3:$C$689,'Planning-Need vs Planned'!B7)</f>
        <v>4</v>
      </c>
      <c r="M7" s="166">
        <v>4</v>
      </c>
      <c r="N7" s="166">
        <v>16</v>
      </c>
      <c r="O7" s="162">
        <v>-2</v>
      </c>
      <c r="P7" s="167">
        <v>0.70175438596491224</v>
      </c>
    </row>
    <row r="8" spans="2:16" x14ac:dyDescent="0.25">
      <c r="B8" s="175" t="s">
        <v>38</v>
      </c>
      <c r="C8" s="161" t="s">
        <v>29</v>
      </c>
      <c r="D8" s="179" t="s">
        <v>30</v>
      </c>
      <c r="E8" s="160" t="s">
        <v>39</v>
      </c>
      <c r="F8" s="160" t="s">
        <v>40</v>
      </c>
      <c r="G8" s="162">
        <v>197</v>
      </c>
      <c r="H8" s="163">
        <v>25</v>
      </c>
      <c r="I8" s="164">
        <v>7.88</v>
      </c>
      <c r="J8" s="165">
        <v>8</v>
      </c>
      <c r="K8" s="166">
        <v>2</v>
      </c>
      <c r="L8" s="186">
        <f>COUNTIF('FY 2026 Schedule'!$C$3:$C$689,'Planning-Need vs Planned'!B8)</f>
        <v>2</v>
      </c>
      <c r="M8" s="166">
        <v>40</v>
      </c>
      <c r="N8" s="166">
        <v>80</v>
      </c>
      <c r="O8" s="162">
        <v>-6</v>
      </c>
      <c r="P8" s="167">
        <v>0.25380710659898476</v>
      </c>
    </row>
    <row r="9" spans="2:16" x14ac:dyDescent="0.25">
      <c r="B9" s="175" t="s">
        <v>41</v>
      </c>
      <c r="C9" s="161" t="s">
        <v>29</v>
      </c>
      <c r="D9" s="179" t="s">
        <v>30</v>
      </c>
      <c r="E9" s="160" t="s">
        <v>42</v>
      </c>
      <c r="F9" s="160" t="s">
        <v>43</v>
      </c>
      <c r="G9" s="162">
        <v>258</v>
      </c>
      <c r="H9" s="163">
        <v>30</v>
      </c>
      <c r="I9" s="164">
        <v>8.6</v>
      </c>
      <c r="J9" s="165">
        <v>9</v>
      </c>
      <c r="K9" s="166">
        <v>4</v>
      </c>
      <c r="L9" s="186">
        <f>COUNTIF('FY 2026 Schedule'!$C$3:$C$689,'Planning-Need vs Planned'!B9)</f>
        <v>4</v>
      </c>
      <c r="M9" s="166">
        <v>8</v>
      </c>
      <c r="N9" s="166">
        <v>32</v>
      </c>
      <c r="O9" s="162">
        <v>-5</v>
      </c>
      <c r="P9" s="167">
        <v>0.46511627906976744</v>
      </c>
    </row>
    <row r="10" spans="2:16" x14ac:dyDescent="0.25">
      <c r="B10" s="175" t="s">
        <v>44</v>
      </c>
      <c r="C10" s="161" t="s">
        <v>45</v>
      </c>
      <c r="D10" s="178" t="s">
        <v>25</v>
      </c>
      <c r="E10" s="160" t="s">
        <v>46</v>
      </c>
      <c r="F10" s="160" t="s">
        <v>47</v>
      </c>
      <c r="G10" s="162">
        <v>464</v>
      </c>
      <c r="H10" s="163">
        <v>45</v>
      </c>
      <c r="I10" s="164">
        <v>10.311111111111112</v>
      </c>
      <c r="J10" s="165">
        <v>11</v>
      </c>
      <c r="K10" s="166">
        <v>11</v>
      </c>
      <c r="L10" s="186">
        <f>COUNTIF('FY 2026 Schedule'!$C$3:$C$689,'Planning-Need vs Planned'!B10)</f>
        <v>10</v>
      </c>
      <c r="M10" s="166">
        <v>24</v>
      </c>
      <c r="N10" s="166">
        <v>264</v>
      </c>
      <c r="O10" s="162">
        <v>0</v>
      </c>
      <c r="P10" s="167">
        <v>1.0668103448275863</v>
      </c>
    </row>
    <row r="11" spans="2:16" x14ac:dyDescent="0.25">
      <c r="B11" s="176" t="s">
        <v>48</v>
      </c>
      <c r="C11" s="161" t="s">
        <v>49</v>
      </c>
      <c r="D11" s="179" t="s">
        <v>30</v>
      </c>
      <c r="E11" s="160" t="s">
        <v>50</v>
      </c>
      <c r="F11" s="160" t="s">
        <v>51</v>
      </c>
      <c r="G11" s="162">
        <v>2046</v>
      </c>
      <c r="H11" s="163">
        <v>25</v>
      </c>
      <c r="I11" s="164">
        <v>81.84</v>
      </c>
      <c r="J11" s="165">
        <v>82</v>
      </c>
      <c r="K11" s="166">
        <v>50</v>
      </c>
      <c r="L11" s="186">
        <f>COUNTIF('FY 2026 Schedule'!$C$3:$C$689,'Planning-Need vs Planned'!B11)</f>
        <v>49</v>
      </c>
      <c r="M11" s="166">
        <v>40</v>
      </c>
      <c r="N11" s="166">
        <v>2000</v>
      </c>
      <c r="O11" s="162">
        <v>-32</v>
      </c>
      <c r="P11" s="167">
        <v>0.6109481915933529</v>
      </c>
    </row>
    <row r="12" spans="2:16" x14ac:dyDescent="0.25">
      <c r="B12" s="176" t="s">
        <v>52</v>
      </c>
      <c r="C12" s="161" t="s">
        <v>29</v>
      </c>
      <c r="D12" s="179" t="s">
        <v>30</v>
      </c>
      <c r="E12" s="160" t="s">
        <v>53</v>
      </c>
      <c r="F12" s="160" t="s">
        <v>54</v>
      </c>
      <c r="G12" s="162">
        <v>707</v>
      </c>
      <c r="H12" s="163">
        <v>25</v>
      </c>
      <c r="I12" s="164">
        <v>28.28</v>
      </c>
      <c r="J12" s="165">
        <v>29</v>
      </c>
      <c r="K12" s="166">
        <v>6</v>
      </c>
      <c r="L12" s="186">
        <f>COUNTIF('FY 2026 Schedule'!$C$3:$C$689,'Planning-Need vs Planned'!B12)</f>
        <v>5</v>
      </c>
      <c r="M12" s="166">
        <v>40</v>
      </c>
      <c r="N12" s="166">
        <v>400</v>
      </c>
      <c r="O12" s="162">
        <v>-19</v>
      </c>
      <c r="P12" s="167">
        <v>0.3536067892503536</v>
      </c>
    </row>
    <row r="13" spans="2:16" x14ac:dyDescent="0.25">
      <c r="B13" s="176" t="s">
        <v>55</v>
      </c>
      <c r="C13" s="161" t="s">
        <v>49</v>
      </c>
      <c r="D13" s="179" t="s">
        <v>30</v>
      </c>
      <c r="E13" s="160" t="s">
        <v>56</v>
      </c>
      <c r="F13" s="160" t="s">
        <v>57</v>
      </c>
      <c r="G13" s="162">
        <v>620</v>
      </c>
      <c r="H13" s="163">
        <v>35</v>
      </c>
      <c r="I13" s="164">
        <v>17.714285714285715</v>
      </c>
      <c r="J13" s="165">
        <v>18</v>
      </c>
      <c r="K13" s="166">
        <v>5</v>
      </c>
      <c r="L13" s="186">
        <f>COUNTIF('FY 2026 Schedule'!$C$3:$C$689,'Planning-Need vs Planned'!B13)</f>
        <v>5</v>
      </c>
      <c r="M13" s="166">
        <v>30</v>
      </c>
      <c r="N13" s="166">
        <v>150</v>
      </c>
      <c r="O13" s="162">
        <v>-13</v>
      </c>
      <c r="P13" s="167">
        <v>0.28225806451612906</v>
      </c>
    </row>
    <row r="14" spans="2:16" x14ac:dyDescent="0.25">
      <c r="B14" s="175" t="s">
        <v>58</v>
      </c>
      <c r="C14" s="161" t="s">
        <v>29</v>
      </c>
      <c r="D14" s="179" t="s">
        <v>30</v>
      </c>
      <c r="E14" s="160" t="s">
        <v>59</v>
      </c>
      <c r="F14" s="160" t="s">
        <v>60</v>
      </c>
      <c r="G14" s="162">
        <v>61</v>
      </c>
      <c r="H14" s="163">
        <v>25</v>
      </c>
      <c r="I14" s="164">
        <v>2.44</v>
      </c>
      <c r="J14" s="165">
        <v>3</v>
      </c>
      <c r="K14" s="166">
        <v>2</v>
      </c>
      <c r="L14" s="186">
        <f>COUNTIF('FY 2026 Schedule'!$C$3:$C$689,'Planning-Need vs Planned'!B14)</f>
        <v>3</v>
      </c>
      <c r="M14" s="166">
        <v>16</v>
      </c>
      <c r="N14" s="166">
        <v>32</v>
      </c>
      <c r="O14" s="162">
        <v>-1</v>
      </c>
      <c r="P14" s="167">
        <v>0.81967213114754101</v>
      </c>
    </row>
    <row r="15" spans="2:16" x14ac:dyDescent="0.25">
      <c r="B15" s="176" t="s">
        <v>61</v>
      </c>
      <c r="C15" s="161" t="s">
        <v>24</v>
      </c>
      <c r="D15" s="179" t="s">
        <v>30</v>
      </c>
      <c r="E15" s="160" t="s">
        <v>62</v>
      </c>
      <c r="F15" s="160">
        <v>3682</v>
      </c>
      <c r="G15" s="162">
        <v>661</v>
      </c>
      <c r="H15" s="163">
        <v>40</v>
      </c>
      <c r="I15" s="164">
        <v>16.524999999999999</v>
      </c>
      <c r="J15" s="165">
        <v>17</v>
      </c>
      <c r="K15" s="166">
        <v>23</v>
      </c>
      <c r="L15" s="186">
        <f>COUNTIF('FY 2026 Schedule'!$C$3:$C$689,'Planning-Need vs Planned'!B15)</f>
        <v>31</v>
      </c>
      <c r="M15" s="166">
        <v>40</v>
      </c>
      <c r="N15" s="166">
        <v>920</v>
      </c>
      <c r="O15" s="162">
        <v>6</v>
      </c>
      <c r="P15" s="167">
        <v>1.3918305597579426</v>
      </c>
    </row>
    <row r="16" spans="2:16" x14ac:dyDescent="0.25">
      <c r="B16" s="176" t="s">
        <v>63</v>
      </c>
      <c r="C16" s="161" t="s">
        <v>24</v>
      </c>
      <c r="D16" s="179" t="s">
        <v>30</v>
      </c>
      <c r="E16" s="160" t="s">
        <v>64</v>
      </c>
      <c r="F16" s="160">
        <v>3683</v>
      </c>
      <c r="G16" s="162">
        <v>787</v>
      </c>
      <c r="H16" s="163">
        <v>40</v>
      </c>
      <c r="I16" s="164">
        <v>19.675000000000001</v>
      </c>
      <c r="J16" s="165">
        <v>20</v>
      </c>
      <c r="K16" s="166">
        <v>22</v>
      </c>
      <c r="L16" s="186">
        <f>COUNTIF('FY 2026 Schedule'!$C$3:$C$689,'Planning-Need vs Planned'!B16)</f>
        <v>20</v>
      </c>
      <c r="M16" s="166">
        <v>24</v>
      </c>
      <c r="N16" s="166">
        <v>408</v>
      </c>
      <c r="O16" s="162">
        <v>-3</v>
      </c>
      <c r="P16" s="167">
        <v>0.86404066073697583</v>
      </c>
    </row>
    <row r="17" spans="2:16" x14ac:dyDescent="0.25">
      <c r="B17" s="175" t="s">
        <v>65</v>
      </c>
      <c r="C17" s="161" t="s">
        <v>49</v>
      </c>
      <c r="D17" s="178" t="s">
        <v>25</v>
      </c>
      <c r="E17" s="160" t="s">
        <v>66</v>
      </c>
      <c r="F17" s="160" t="s">
        <v>67</v>
      </c>
      <c r="G17" s="162">
        <v>915</v>
      </c>
      <c r="H17" s="163">
        <v>45</v>
      </c>
      <c r="I17" s="164">
        <v>20.333333333333332</v>
      </c>
      <c r="J17" s="165">
        <v>21</v>
      </c>
      <c r="K17" s="166">
        <v>21</v>
      </c>
      <c r="L17" s="186">
        <f>COUNTIF('FY 2026 Schedule'!$C$3:$C$689,'Planning-Need vs Planned'!B17)</f>
        <v>21</v>
      </c>
      <c r="M17" s="166">
        <v>24</v>
      </c>
      <c r="N17" s="166">
        <v>504</v>
      </c>
      <c r="O17" s="162">
        <v>0</v>
      </c>
      <c r="P17" s="167">
        <v>1.0327868852459017</v>
      </c>
    </row>
    <row r="18" spans="2:16" x14ac:dyDescent="0.25">
      <c r="B18" s="176" t="s">
        <v>68</v>
      </c>
      <c r="C18" s="161" t="s">
        <v>49</v>
      </c>
      <c r="D18" s="179" t="s">
        <v>30</v>
      </c>
      <c r="E18" s="160" t="s">
        <v>69</v>
      </c>
      <c r="F18" s="160" t="s">
        <v>70</v>
      </c>
      <c r="G18" s="162">
        <v>883</v>
      </c>
      <c r="H18" s="163">
        <v>30</v>
      </c>
      <c r="I18" s="164">
        <v>29.433333333333334</v>
      </c>
      <c r="J18" s="165">
        <v>30</v>
      </c>
      <c r="K18" s="166">
        <v>14</v>
      </c>
      <c r="L18" s="186">
        <f>COUNTIF('FY 2026 Schedule'!$C$3:$C$689,'Planning-Need vs Planned'!B18)</f>
        <v>1</v>
      </c>
      <c r="M18" s="166">
        <v>32</v>
      </c>
      <c r="N18" s="166">
        <v>448</v>
      </c>
      <c r="O18" s="162">
        <v>-16</v>
      </c>
      <c r="P18" s="167">
        <v>0.47565118912797283</v>
      </c>
    </row>
    <row r="19" spans="2:16" x14ac:dyDescent="0.25">
      <c r="B19" s="175" t="s">
        <v>71</v>
      </c>
      <c r="C19" s="161" t="s">
        <v>49</v>
      </c>
      <c r="D19" s="178" t="s">
        <v>25</v>
      </c>
      <c r="E19" s="160" t="s">
        <v>72</v>
      </c>
      <c r="F19" s="160" t="s">
        <v>73</v>
      </c>
      <c r="G19" s="162">
        <v>721</v>
      </c>
      <c r="H19" s="163">
        <v>45</v>
      </c>
      <c r="I19" s="164">
        <v>16.022222222222222</v>
      </c>
      <c r="J19" s="165">
        <v>17</v>
      </c>
      <c r="K19" s="166">
        <v>17</v>
      </c>
      <c r="L19" s="186">
        <f>COUNTIF('FY 2026 Schedule'!$C$3:$C$689,'Planning-Need vs Planned'!B19)</f>
        <v>17</v>
      </c>
      <c r="M19" s="166">
        <v>30</v>
      </c>
      <c r="N19" s="166">
        <v>510</v>
      </c>
      <c r="O19" s="162">
        <v>0</v>
      </c>
      <c r="P19" s="167">
        <v>1.0610263522884882</v>
      </c>
    </row>
    <row r="20" spans="2:16" x14ac:dyDescent="0.25">
      <c r="B20" s="175" t="s">
        <v>74</v>
      </c>
      <c r="C20" s="161" t="s">
        <v>45</v>
      </c>
      <c r="D20" s="178" t="s">
        <v>25</v>
      </c>
      <c r="E20" s="160" t="s">
        <v>75</v>
      </c>
      <c r="F20" s="160" t="s">
        <v>76</v>
      </c>
      <c r="G20" s="162">
        <v>791</v>
      </c>
      <c r="H20" s="163">
        <v>45</v>
      </c>
      <c r="I20" s="164">
        <v>17.577777777777779</v>
      </c>
      <c r="J20" s="165">
        <v>18</v>
      </c>
      <c r="K20" s="166">
        <v>18</v>
      </c>
      <c r="L20" s="186">
        <f>COUNTIF('FY 2026 Schedule'!$C$3:$C$689,'Planning-Need vs Planned'!B20)</f>
        <v>20</v>
      </c>
      <c r="M20" s="166">
        <v>24</v>
      </c>
      <c r="N20" s="166">
        <v>432</v>
      </c>
      <c r="O20" s="162">
        <v>0</v>
      </c>
      <c r="P20" s="167">
        <v>1.0240202275600505</v>
      </c>
    </row>
    <row r="21" spans="2:16" x14ac:dyDescent="0.25">
      <c r="B21" s="176" t="s">
        <v>77</v>
      </c>
      <c r="C21" s="161" t="s">
        <v>24</v>
      </c>
      <c r="D21" s="179" t="s">
        <v>30</v>
      </c>
      <c r="E21" s="160" t="s">
        <v>78</v>
      </c>
      <c r="F21" s="168" t="s">
        <v>79</v>
      </c>
      <c r="G21" s="162">
        <v>1042</v>
      </c>
      <c r="H21" s="163">
        <v>25</v>
      </c>
      <c r="I21" s="164">
        <v>41.68</v>
      </c>
      <c r="J21" s="165">
        <v>42</v>
      </c>
      <c r="K21" s="166">
        <v>18</v>
      </c>
      <c r="L21" s="186">
        <f>COUNTIF('FY 2026 Schedule'!$C$3:$C$689,'Planning-Need vs Planned'!B21)</f>
        <v>35</v>
      </c>
      <c r="M21" s="166">
        <v>24</v>
      </c>
      <c r="N21" s="166">
        <v>408</v>
      </c>
      <c r="O21" s="162">
        <v>-25</v>
      </c>
      <c r="P21" s="167">
        <v>0.40786948176583493</v>
      </c>
    </row>
    <row r="22" spans="2:16" x14ac:dyDescent="0.25">
      <c r="B22" s="176" t="s">
        <v>80</v>
      </c>
      <c r="C22" s="161" t="s">
        <v>24</v>
      </c>
      <c r="D22" s="179" t="s">
        <v>30</v>
      </c>
      <c r="E22" s="160" t="s">
        <v>81</v>
      </c>
      <c r="F22" s="160" t="s">
        <v>82</v>
      </c>
      <c r="G22" s="162">
        <v>1705</v>
      </c>
      <c r="H22" s="163">
        <v>30</v>
      </c>
      <c r="I22" s="164">
        <v>56.833333333333336</v>
      </c>
      <c r="J22" s="165">
        <v>57</v>
      </c>
      <c r="K22" s="166">
        <v>25</v>
      </c>
      <c r="L22" s="186">
        <f>COUNTIF('FY 2026 Schedule'!$C$3:$C$689,'Planning-Need vs Planned'!B22)</f>
        <v>27</v>
      </c>
      <c r="M22" s="166">
        <v>8</v>
      </c>
      <c r="N22" s="166">
        <v>144</v>
      </c>
      <c r="O22" s="162">
        <v>-39</v>
      </c>
      <c r="P22" s="167">
        <v>0.31671554252199413</v>
      </c>
    </row>
    <row r="23" spans="2:16" x14ac:dyDescent="0.25">
      <c r="B23" s="176" t="s">
        <v>83</v>
      </c>
      <c r="C23" s="161" t="s">
        <v>24</v>
      </c>
      <c r="D23" s="179" t="s">
        <v>30</v>
      </c>
      <c r="E23" s="160" t="s">
        <v>84</v>
      </c>
      <c r="F23" s="160" t="s">
        <v>85</v>
      </c>
      <c r="G23" s="162">
        <v>614</v>
      </c>
      <c r="H23" s="163">
        <v>30</v>
      </c>
      <c r="I23" s="164">
        <v>20.466666666666665</v>
      </c>
      <c r="J23" s="165">
        <v>21</v>
      </c>
      <c r="K23" s="166">
        <v>9</v>
      </c>
      <c r="L23" s="186">
        <f>COUNTIF('FY 2026 Schedule'!$C$3:$C$689,'Planning-Need vs Planned'!B23)</f>
        <v>0</v>
      </c>
      <c r="M23" s="166">
        <v>16</v>
      </c>
      <c r="N23" s="166">
        <v>144</v>
      </c>
      <c r="O23" s="162">
        <v>-12</v>
      </c>
      <c r="P23" s="167">
        <v>0.43973941368078173</v>
      </c>
    </row>
    <row r="24" spans="2:16" x14ac:dyDescent="0.25">
      <c r="B24" s="176" t="s">
        <v>86</v>
      </c>
      <c r="C24" s="161" t="s">
        <v>24</v>
      </c>
      <c r="D24" s="179" t="s">
        <v>30</v>
      </c>
      <c r="E24" s="160" t="s">
        <v>87</v>
      </c>
      <c r="F24" s="160" t="s">
        <v>88</v>
      </c>
      <c r="G24" s="162">
        <v>824</v>
      </c>
      <c r="H24" s="163">
        <v>30</v>
      </c>
      <c r="I24" s="164">
        <v>27.466666666666665</v>
      </c>
      <c r="J24" s="165">
        <v>28</v>
      </c>
      <c r="K24" s="166">
        <v>15</v>
      </c>
      <c r="L24" s="186">
        <f>COUNTIF('FY 2026 Schedule'!$C$3:$C$689,'Planning-Need vs Planned'!B24)</f>
        <v>0</v>
      </c>
      <c r="M24" s="166">
        <v>8</v>
      </c>
      <c r="N24" s="166">
        <v>120</v>
      </c>
      <c r="O24" s="162">
        <v>-13</v>
      </c>
      <c r="P24" s="167">
        <v>0.54611650485436891</v>
      </c>
    </row>
    <row r="25" spans="2:16" x14ac:dyDescent="0.25">
      <c r="B25" s="176" t="s">
        <v>89</v>
      </c>
      <c r="C25" s="161" t="s">
        <v>24</v>
      </c>
      <c r="D25" s="179" t="s">
        <v>30</v>
      </c>
      <c r="E25" s="160" t="s">
        <v>90</v>
      </c>
      <c r="F25" s="160" t="s">
        <v>91</v>
      </c>
      <c r="G25" s="162">
        <v>436</v>
      </c>
      <c r="H25" s="163">
        <v>30</v>
      </c>
      <c r="I25" s="164">
        <v>14.533333333333333</v>
      </c>
      <c r="J25" s="165">
        <v>15</v>
      </c>
      <c r="K25" s="166">
        <v>8</v>
      </c>
      <c r="L25" s="186">
        <f>COUNTIF('FY 2026 Schedule'!$C$3:$C$689,'Planning-Need vs Planned'!B25)</f>
        <v>0</v>
      </c>
      <c r="M25" s="166">
        <v>8</v>
      </c>
      <c r="N25" s="166">
        <v>72</v>
      </c>
      <c r="O25" s="162">
        <v>-6</v>
      </c>
      <c r="P25" s="167">
        <v>0.61926605504587151</v>
      </c>
    </row>
    <row r="26" spans="2:16" x14ac:dyDescent="0.25">
      <c r="B26" s="175" t="s">
        <v>92</v>
      </c>
      <c r="C26" s="161" t="s">
        <v>29</v>
      </c>
      <c r="D26" s="179" t="s">
        <v>30</v>
      </c>
      <c r="E26" s="160" t="s">
        <v>93</v>
      </c>
      <c r="F26" s="160">
        <v>5891</v>
      </c>
      <c r="G26" s="162">
        <v>813</v>
      </c>
      <c r="H26" s="163">
        <v>25</v>
      </c>
      <c r="I26" s="164">
        <v>32.520000000000003</v>
      </c>
      <c r="J26" s="165">
        <v>33</v>
      </c>
      <c r="K26" s="166">
        <v>11</v>
      </c>
      <c r="L26" s="186">
        <f>COUNTIF('FY 2026 Schedule'!$C$3:$C$689,'Planning-Need vs Planned'!B26)</f>
        <v>7</v>
      </c>
      <c r="M26" s="166">
        <v>24</v>
      </c>
      <c r="N26" s="166">
        <v>264</v>
      </c>
      <c r="O26" s="162">
        <v>-22</v>
      </c>
      <c r="P26" s="167">
        <v>0.33825338253382536</v>
      </c>
    </row>
    <row r="27" spans="2:16" x14ac:dyDescent="0.25">
      <c r="B27" s="175" t="s">
        <v>94</v>
      </c>
      <c r="C27" s="161" t="s">
        <v>29</v>
      </c>
      <c r="D27" s="178" t="s">
        <v>25</v>
      </c>
      <c r="E27" s="160" t="s">
        <v>95</v>
      </c>
      <c r="F27" s="160" t="s">
        <v>96</v>
      </c>
      <c r="G27" s="162">
        <v>1075</v>
      </c>
      <c r="H27" s="163">
        <v>40</v>
      </c>
      <c r="I27" s="164">
        <v>26.875</v>
      </c>
      <c r="J27" s="165">
        <v>27</v>
      </c>
      <c r="K27" s="166">
        <v>19</v>
      </c>
      <c r="L27" s="186">
        <f>COUNTIF('FY 2026 Schedule'!$C$3:$C$689,'Planning-Need vs Planned'!B27)</f>
        <v>21</v>
      </c>
      <c r="M27" s="166">
        <v>24</v>
      </c>
      <c r="N27" s="166">
        <v>456</v>
      </c>
      <c r="O27" s="162">
        <v>-8</v>
      </c>
      <c r="P27" s="167">
        <v>0.7069767441860465</v>
      </c>
    </row>
    <row r="28" spans="2:16" x14ac:dyDescent="0.25">
      <c r="B28" s="175" t="s">
        <v>97</v>
      </c>
      <c r="C28" s="161" t="s">
        <v>29</v>
      </c>
      <c r="D28" s="178" t="s">
        <v>25</v>
      </c>
      <c r="E28" s="160" t="s">
        <v>98</v>
      </c>
      <c r="F28" s="160" t="s">
        <v>99</v>
      </c>
      <c r="G28" s="162">
        <v>553</v>
      </c>
      <c r="H28" s="163">
        <v>30</v>
      </c>
      <c r="I28" s="164">
        <v>18.433333333333334</v>
      </c>
      <c r="J28" s="165">
        <v>19</v>
      </c>
      <c r="K28" s="166">
        <v>16</v>
      </c>
      <c r="L28" s="186">
        <f>COUNTIF('FY 2026 Schedule'!$C$3:$C$689,'Planning-Need vs Planned'!B28)</f>
        <v>9</v>
      </c>
      <c r="M28" s="166">
        <v>32</v>
      </c>
      <c r="N28" s="166">
        <v>512</v>
      </c>
      <c r="O28" s="162">
        <v>-3</v>
      </c>
      <c r="P28" s="167">
        <v>0.86799276672694392</v>
      </c>
    </row>
    <row r="29" spans="2:16" x14ac:dyDescent="0.25">
      <c r="B29" s="175" t="s">
        <v>100</v>
      </c>
      <c r="C29" s="161" t="s">
        <v>49</v>
      </c>
      <c r="D29" s="178" t="s">
        <v>25</v>
      </c>
      <c r="E29" s="160" t="s">
        <v>101</v>
      </c>
      <c r="F29" s="160" t="s">
        <v>102</v>
      </c>
      <c r="G29" s="162">
        <v>1606</v>
      </c>
      <c r="H29" s="163">
        <v>30</v>
      </c>
      <c r="I29" s="164">
        <v>53.533333333333331</v>
      </c>
      <c r="J29" s="165">
        <v>54</v>
      </c>
      <c r="K29" s="166">
        <v>27</v>
      </c>
      <c r="L29" s="186">
        <f>COUNTIF('FY 2026 Schedule'!$C$3:$C$689,'Planning-Need vs Planned'!B29)</f>
        <v>23</v>
      </c>
      <c r="M29" s="166">
        <v>32</v>
      </c>
      <c r="N29" s="166">
        <v>960</v>
      </c>
      <c r="O29" s="162">
        <v>-24</v>
      </c>
      <c r="P29" s="167">
        <v>0.56039850560398508</v>
      </c>
    </row>
    <row r="30" spans="2:16" x14ac:dyDescent="0.25">
      <c r="B30" s="176" t="s">
        <v>103</v>
      </c>
      <c r="C30" s="161" t="s">
        <v>49</v>
      </c>
      <c r="D30" s="179" t="s">
        <v>25</v>
      </c>
      <c r="E30" s="160" t="s">
        <v>104</v>
      </c>
      <c r="F30" s="160" t="s">
        <v>105</v>
      </c>
      <c r="G30" s="162">
        <v>614</v>
      </c>
      <c r="H30" s="163">
        <v>30</v>
      </c>
      <c r="I30" s="164">
        <v>20.466666666666665</v>
      </c>
      <c r="J30" s="165">
        <v>21</v>
      </c>
      <c r="K30" s="166">
        <v>10</v>
      </c>
      <c r="L30" s="186">
        <f>COUNTIF('FY 2026 Schedule'!$C$3:$C$689,'Planning-Need vs Planned'!B30)</f>
        <v>0</v>
      </c>
      <c r="M30" s="166">
        <v>32</v>
      </c>
      <c r="N30" s="166">
        <v>320</v>
      </c>
      <c r="O30" s="162">
        <v>-11</v>
      </c>
      <c r="P30" s="167">
        <v>0.48859934853420195</v>
      </c>
    </row>
    <row r="31" spans="2:16" x14ac:dyDescent="0.25">
      <c r="B31" s="175" t="s">
        <v>106</v>
      </c>
      <c r="C31" s="161" t="s">
        <v>49</v>
      </c>
      <c r="D31" s="178" t="s">
        <v>25</v>
      </c>
      <c r="E31" s="160" t="s">
        <v>107</v>
      </c>
      <c r="F31" s="160">
        <v>1228</v>
      </c>
      <c r="G31" s="162">
        <v>1162</v>
      </c>
      <c r="H31" s="163">
        <v>45</v>
      </c>
      <c r="I31" s="164">
        <v>25.822222222222223</v>
      </c>
      <c r="J31" s="165">
        <v>26</v>
      </c>
      <c r="K31" s="166">
        <v>23</v>
      </c>
      <c r="L31" s="186">
        <f>COUNTIF('FY 2026 Schedule'!$C$3:$C$689,'Planning-Need vs Planned'!B31)</f>
        <v>19</v>
      </c>
      <c r="M31" s="166">
        <v>40</v>
      </c>
      <c r="N31" s="166">
        <v>920</v>
      </c>
      <c r="O31" s="162">
        <v>-3</v>
      </c>
      <c r="P31" s="167">
        <v>0.89070567986230642</v>
      </c>
    </row>
    <row r="32" spans="2:16" x14ac:dyDescent="0.25">
      <c r="B32" s="175" t="s">
        <v>108</v>
      </c>
      <c r="C32" s="161" t="s">
        <v>29</v>
      </c>
      <c r="D32" s="178" t="s">
        <v>25</v>
      </c>
      <c r="E32" s="160" t="s">
        <v>109</v>
      </c>
      <c r="F32" s="160">
        <v>3555</v>
      </c>
      <c r="G32" s="162">
        <v>685</v>
      </c>
      <c r="H32" s="163">
        <v>30</v>
      </c>
      <c r="I32" s="164">
        <v>22.833333333333332</v>
      </c>
      <c r="J32" s="165">
        <v>23</v>
      </c>
      <c r="K32" s="166">
        <v>16</v>
      </c>
      <c r="L32" s="186">
        <f>COUNTIF('FY 2026 Schedule'!$C$3:$C$689,'Planning-Need vs Planned'!B32)</f>
        <v>9</v>
      </c>
      <c r="M32" s="166">
        <v>32</v>
      </c>
      <c r="N32" s="166">
        <v>512</v>
      </c>
      <c r="O32" s="162">
        <v>-7</v>
      </c>
      <c r="P32" s="167">
        <v>0.7007299270072993</v>
      </c>
    </row>
    <row r="33" spans="2:16" x14ac:dyDescent="0.25">
      <c r="B33" s="176" t="s">
        <v>110</v>
      </c>
      <c r="C33" s="161" t="s">
        <v>24</v>
      </c>
      <c r="D33" s="179" t="s">
        <v>30</v>
      </c>
      <c r="E33" s="160" t="s">
        <v>111</v>
      </c>
      <c r="F33" s="160" t="s">
        <v>112</v>
      </c>
      <c r="G33" s="162">
        <v>987</v>
      </c>
      <c r="H33" s="163">
        <v>25</v>
      </c>
      <c r="I33" s="164">
        <v>39.479999999999997</v>
      </c>
      <c r="J33" s="164">
        <v>40</v>
      </c>
      <c r="K33" s="166">
        <v>22</v>
      </c>
      <c r="L33" s="186">
        <f>COUNTIF('FY 2026 Schedule'!$C$3:$C$689,'Planning-Need vs Planned'!B33)</f>
        <v>31</v>
      </c>
      <c r="M33" s="166">
        <v>8</v>
      </c>
      <c r="N33" s="166">
        <v>176</v>
      </c>
      <c r="O33" s="162">
        <v>-18</v>
      </c>
      <c r="P33" s="167">
        <v>0.55724417426545081</v>
      </c>
    </row>
    <row r="34" spans="2:16" x14ac:dyDescent="0.25">
      <c r="B34" s="175" t="s">
        <v>113</v>
      </c>
      <c r="C34" s="161" t="s">
        <v>45</v>
      </c>
      <c r="D34" s="178" t="s">
        <v>25</v>
      </c>
      <c r="E34" s="160" t="s">
        <v>114</v>
      </c>
      <c r="F34" s="160" t="s">
        <v>115</v>
      </c>
      <c r="G34" s="162">
        <v>808</v>
      </c>
      <c r="H34" s="163">
        <v>45</v>
      </c>
      <c r="I34" s="164">
        <v>17.955555555555556</v>
      </c>
      <c r="J34" s="165">
        <v>18</v>
      </c>
      <c r="K34" s="166">
        <v>18</v>
      </c>
      <c r="L34" s="186">
        <f>COUNTIF('FY 2026 Schedule'!$C$3:$C$689,'Planning-Need vs Planned'!B34)</f>
        <v>17</v>
      </c>
      <c r="M34" s="166">
        <v>16</v>
      </c>
      <c r="N34" s="166">
        <v>288</v>
      </c>
      <c r="O34" s="162">
        <v>0</v>
      </c>
      <c r="P34" s="167">
        <v>1.0024752475247525</v>
      </c>
    </row>
    <row r="35" spans="2:16" x14ac:dyDescent="0.25">
      <c r="B35" s="175" t="s">
        <v>116</v>
      </c>
      <c r="C35" s="161" t="s">
        <v>29</v>
      </c>
      <c r="D35" s="179" t="s">
        <v>30</v>
      </c>
      <c r="E35" s="160" t="s">
        <v>117</v>
      </c>
      <c r="F35" s="160" t="s">
        <v>118</v>
      </c>
      <c r="G35" s="162">
        <v>1437</v>
      </c>
      <c r="H35" s="163">
        <v>30</v>
      </c>
      <c r="I35" s="164">
        <v>47.9</v>
      </c>
      <c r="J35" s="165">
        <v>48</v>
      </c>
      <c r="K35" s="166">
        <v>22</v>
      </c>
      <c r="L35" s="186">
        <f>COUNTIF('FY 2026 Schedule'!$C$3:$C$689,'Planning-Need vs Planned'!B35)</f>
        <v>25</v>
      </c>
      <c r="M35" s="166">
        <v>40</v>
      </c>
      <c r="N35" s="166">
        <v>920</v>
      </c>
      <c r="O35" s="162">
        <v>-25</v>
      </c>
      <c r="P35" s="167">
        <v>0.4801670146137787</v>
      </c>
    </row>
    <row r="36" spans="2:16" x14ac:dyDescent="0.25">
      <c r="B36" s="175" t="s">
        <v>119</v>
      </c>
      <c r="C36" s="161" t="s">
        <v>45</v>
      </c>
      <c r="D36" s="178" t="s">
        <v>25</v>
      </c>
      <c r="E36" s="160" t="s">
        <v>120</v>
      </c>
      <c r="F36" s="160" t="s">
        <v>121</v>
      </c>
      <c r="G36" s="162">
        <v>1601</v>
      </c>
      <c r="H36" s="163">
        <v>100</v>
      </c>
      <c r="I36" s="164">
        <v>16.010000000000002</v>
      </c>
      <c r="J36" s="164">
        <v>17</v>
      </c>
      <c r="K36" s="166">
        <v>17</v>
      </c>
      <c r="L36" s="186">
        <f>COUNTIF('FY 2026 Schedule'!$C$3:$C$689,'Planning-Need vs Planned'!B36)</f>
        <v>19</v>
      </c>
      <c r="M36" s="166">
        <v>16</v>
      </c>
      <c r="N36" s="166">
        <v>272</v>
      </c>
      <c r="O36" s="162">
        <v>0</v>
      </c>
      <c r="P36" s="167">
        <v>1.0618363522798251</v>
      </c>
    </row>
    <row r="37" spans="2:16" x14ac:dyDescent="0.25">
      <c r="B37" s="175" t="s">
        <v>122</v>
      </c>
      <c r="C37" s="161" t="s">
        <v>45</v>
      </c>
      <c r="D37" s="178" t="s">
        <v>25</v>
      </c>
      <c r="E37" s="160" t="s">
        <v>123</v>
      </c>
      <c r="F37" s="160" t="s">
        <v>124</v>
      </c>
      <c r="G37" s="162">
        <v>92</v>
      </c>
      <c r="H37" s="163">
        <v>25</v>
      </c>
      <c r="I37" s="164">
        <v>3.68</v>
      </c>
      <c r="J37" s="165">
        <v>4</v>
      </c>
      <c r="K37" s="166">
        <v>4</v>
      </c>
      <c r="L37" s="186">
        <f>COUNTIF('FY 2026 Schedule'!$C$3:$C$689,'Planning-Need vs Planned'!B37)</f>
        <v>5</v>
      </c>
      <c r="M37" s="166">
        <v>16</v>
      </c>
      <c r="N37" s="166">
        <v>64</v>
      </c>
      <c r="O37" s="162">
        <v>0</v>
      </c>
      <c r="P37" s="167">
        <v>1.0869565217391304</v>
      </c>
    </row>
    <row r="38" spans="2:16" x14ac:dyDescent="0.25">
      <c r="B38" s="176" t="s">
        <v>125</v>
      </c>
      <c r="C38" s="161" t="s">
        <v>24</v>
      </c>
      <c r="D38" s="179" t="s">
        <v>30</v>
      </c>
      <c r="E38" s="160" t="s">
        <v>126</v>
      </c>
      <c r="F38" s="160" t="s">
        <v>127</v>
      </c>
      <c r="G38" s="162">
        <v>397</v>
      </c>
      <c r="H38" s="163">
        <v>25</v>
      </c>
      <c r="I38" s="164">
        <v>15.88</v>
      </c>
      <c r="J38" s="165">
        <v>16</v>
      </c>
      <c r="K38" s="169">
        <v>2</v>
      </c>
      <c r="L38" s="186">
        <f>COUNTIF('FY 2026 Schedule'!$C$3:$C$689,'Planning-Need vs Planned'!B38)</f>
        <v>9</v>
      </c>
      <c r="M38" s="169">
        <v>40</v>
      </c>
      <c r="N38" s="169">
        <v>80</v>
      </c>
      <c r="O38" s="170">
        <v>-14</v>
      </c>
      <c r="P38" s="171">
        <v>0.12594458438287154</v>
      </c>
    </row>
    <row r="39" spans="2:16" x14ac:dyDescent="0.25">
      <c r="B39" s="177" t="s">
        <v>128</v>
      </c>
      <c r="C39" s="172"/>
      <c r="D39" s="180"/>
      <c r="E39" s="172"/>
      <c r="F39" s="172"/>
      <c r="G39" s="173">
        <v>26864</v>
      </c>
      <c r="H39" s="174"/>
      <c r="I39" s="174"/>
      <c r="J39" s="174">
        <v>837</v>
      </c>
      <c r="K39" s="174">
        <f>SUM(K3:K38)</f>
        <v>497</v>
      </c>
      <c r="L39" s="190">
        <f>SUM(L3:L38)</f>
        <v>466</v>
      </c>
      <c r="M39" s="174"/>
      <c r="N39" s="174"/>
      <c r="O39" s="174">
        <v>-344</v>
      </c>
      <c r="P39" s="174"/>
    </row>
    <row r="40" spans="2:16" x14ac:dyDescent="0.25">
      <c r="K40" s="188"/>
    </row>
  </sheetData>
  <autoFilter ref="B2:L39" xr:uid="{D3997591-2F1C-4C8A-A240-F590D5790C51}"/>
  <conditionalFormatting sqref="L3:L38">
    <cfRule type="expression" dxfId="1665" priority="1">
      <formula>L3&gt;K3</formula>
    </cfRule>
    <cfRule type="expression" dxfId="1664" priority="2">
      <formula>L3&lt;K3</formula>
    </cfRule>
  </conditionalFormatting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8777B9-2D24-48B7-AAA7-AD88E888B4CA}">
  <sheetPr>
    <tabColor theme="9" tint="0.79998168889431442"/>
  </sheetPr>
  <dimension ref="A1:CV17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1" sqref="B1"/>
    </sheetView>
  </sheetViews>
  <sheetFormatPr defaultRowHeight="15" x14ac:dyDescent="0.25"/>
  <cols>
    <col min="1" max="1" width="66.28515625" bestFit="1" customWidth="1"/>
    <col min="2" max="2" width="17.28515625" bestFit="1" customWidth="1"/>
    <col min="3" max="8" width="3.28515625" bestFit="1" customWidth="1"/>
    <col min="9" max="11" width="3" bestFit="1" customWidth="1"/>
    <col min="12" max="12" width="3.28515625" bestFit="1" customWidth="1"/>
    <col min="13" max="13" width="3" bestFit="1" customWidth="1"/>
    <col min="14" max="19" width="3.28515625" bestFit="1" customWidth="1"/>
    <col min="20" max="20" width="3" bestFit="1" customWidth="1"/>
    <col min="21" max="34" width="3.28515625" bestFit="1" customWidth="1"/>
    <col min="35" max="35" width="3" bestFit="1" customWidth="1"/>
    <col min="36" max="36" width="3.28515625" bestFit="1" customWidth="1"/>
    <col min="37" max="37" width="3" bestFit="1" customWidth="1"/>
    <col min="38" max="41" width="3.28515625" bestFit="1" customWidth="1"/>
    <col min="42" max="42" width="3" bestFit="1" customWidth="1"/>
    <col min="43" max="46" width="3.28515625" bestFit="1" customWidth="1"/>
    <col min="47" max="47" width="3" bestFit="1" customWidth="1"/>
    <col min="48" max="53" width="3.28515625" bestFit="1" customWidth="1"/>
    <col min="54" max="54" width="3" bestFit="1" customWidth="1"/>
    <col min="55" max="56" width="3.28515625" bestFit="1" customWidth="1"/>
    <col min="57" max="57" width="3" bestFit="1" customWidth="1"/>
    <col min="58" max="58" width="3.28515625" bestFit="1" customWidth="1"/>
    <col min="59" max="64" width="3" bestFit="1" customWidth="1"/>
    <col min="65" max="66" width="3.28515625" bestFit="1" customWidth="1"/>
    <col min="67" max="67" width="3" bestFit="1" customWidth="1"/>
    <col min="68" max="79" width="3.28515625" bestFit="1" customWidth="1"/>
    <col min="80" max="80" width="3" bestFit="1" customWidth="1"/>
    <col min="81" max="82" width="3.28515625" bestFit="1" customWidth="1"/>
    <col min="83" max="83" width="3" bestFit="1" customWidth="1"/>
    <col min="84" max="85" width="3.28515625" bestFit="1" customWidth="1"/>
    <col min="86" max="86" width="3" bestFit="1" customWidth="1"/>
    <col min="87" max="89" width="3.28515625" bestFit="1" customWidth="1"/>
    <col min="90" max="90" width="3" bestFit="1" customWidth="1"/>
    <col min="91" max="96" width="3.28515625" bestFit="1" customWidth="1"/>
    <col min="97" max="97" width="3" bestFit="1" customWidth="1"/>
    <col min="98" max="98" width="11.7109375" bestFit="1" customWidth="1"/>
    <col min="99" max="99" width="2.28515625" bestFit="1" customWidth="1"/>
    <col min="100" max="100" width="28.7109375" customWidth="1"/>
    <col min="101" max="477" width="66.5703125" bestFit="1" customWidth="1"/>
    <col min="478" max="478" width="41.7109375" bestFit="1" customWidth="1"/>
    <col min="479" max="479" width="43.42578125" bestFit="1" customWidth="1"/>
    <col min="480" max="480" width="61.7109375" bestFit="1" customWidth="1"/>
    <col min="481" max="481" width="71.7109375" bestFit="1" customWidth="1"/>
    <col min="482" max="482" width="40.7109375" bestFit="1" customWidth="1"/>
    <col min="483" max="483" width="49.7109375" bestFit="1" customWidth="1"/>
    <col min="484" max="484" width="40.7109375" bestFit="1" customWidth="1"/>
    <col min="485" max="485" width="65.5703125" bestFit="1" customWidth="1"/>
    <col min="486" max="486" width="33" bestFit="1" customWidth="1"/>
  </cols>
  <sheetData>
    <row r="1" spans="1:98" x14ac:dyDescent="0.25">
      <c r="A1" s="6" t="s">
        <v>766</v>
      </c>
      <c r="B1" t="s">
        <v>699</v>
      </c>
    </row>
    <row r="3" spans="1:98" x14ac:dyDescent="0.25">
      <c r="B3" s="6" t="s">
        <v>719</v>
      </c>
    </row>
    <row r="4" spans="1:98" ht="162" x14ac:dyDescent="0.25">
      <c r="A4" s="325" t="s">
        <v>720</v>
      </c>
      <c r="B4" s="360" t="s">
        <v>314</v>
      </c>
      <c r="C4" s="360" t="s">
        <v>198</v>
      </c>
      <c r="D4" s="360" t="s">
        <v>211</v>
      </c>
      <c r="E4" s="360" t="s">
        <v>722</v>
      </c>
      <c r="F4" s="360" t="s">
        <v>294</v>
      </c>
      <c r="G4" s="360" t="s">
        <v>293</v>
      </c>
      <c r="H4" s="360" t="s">
        <v>340</v>
      </c>
      <c r="I4" s="360" t="s">
        <v>767</v>
      </c>
      <c r="J4" s="360" t="s">
        <v>724</v>
      </c>
      <c r="K4" s="360" t="s">
        <v>768</v>
      </c>
      <c r="L4" s="360" t="s">
        <v>476</v>
      </c>
      <c r="M4" s="360" t="s">
        <v>769</v>
      </c>
      <c r="N4" s="360" t="s">
        <v>330</v>
      </c>
      <c r="O4" s="360" t="s">
        <v>254</v>
      </c>
      <c r="P4" s="360" t="s">
        <v>357</v>
      </c>
      <c r="Q4" s="360" t="s">
        <v>343</v>
      </c>
      <c r="R4" s="360" t="s">
        <v>496</v>
      </c>
      <c r="S4" s="360" t="s">
        <v>286</v>
      </c>
      <c r="T4" s="360" t="s">
        <v>727</v>
      </c>
      <c r="U4" s="360" t="s">
        <v>255</v>
      </c>
      <c r="V4" s="360" t="s">
        <v>728</v>
      </c>
      <c r="W4" s="360" t="s">
        <v>770</v>
      </c>
      <c r="X4" s="360" t="s">
        <v>166</v>
      </c>
      <c r="Y4" s="360" t="s">
        <v>171</v>
      </c>
      <c r="Z4" s="360" t="s">
        <v>287</v>
      </c>
      <c r="AA4" s="360" t="s">
        <v>256</v>
      </c>
      <c r="AB4" s="360" t="s">
        <v>771</v>
      </c>
      <c r="AC4" s="360" t="s">
        <v>772</v>
      </c>
      <c r="AD4" s="360" t="s">
        <v>278</v>
      </c>
      <c r="AE4" s="360" t="s">
        <v>344</v>
      </c>
      <c r="AF4" s="360" t="s">
        <v>258</v>
      </c>
      <c r="AG4" s="360" t="s">
        <v>730</v>
      </c>
      <c r="AH4" s="360" t="s">
        <v>169</v>
      </c>
      <c r="AI4" s="360" t="s">
        <v>731</v>
      </c>
      <c r="AJ4" s="360" t="s">
        <v>732</v>
      </c>
      <c r="AK4" s="360" t="s">
        <v>628</v>
      </c>
      <c r="AL4" s="360" t="s">
        <v>259</v>
      </c>
      <c r="AM4" s="360" t="s">
        <v>300</v>
      </c>
      <c r="AN4" s="360" t="s">
        <v>162</v>
      </c>
      <c r="AO4" s="350" t="s">
        <v>773</v>
      </c>
      <c r="AP4" s="360" t="s">
        <v>774</v>
      </c>
      <c r="AQ4" s="360" t="s">
        <v>310</v>
      </c>
      <c r="AR4" s="360" t="s">
        <v>338</v>
      </c>
      <c r="AS4" s="360" t="s">
        <v>734</v>
      </c>
      <c r="AT4" s="360" t="s">
        <v>485</v>
      </c>
      <c r="AU4" s="360" t="s">
        <v>735</v>
      </c>
      <c r="AV4" s="308" t="s">
        <v>736</v>
      </c>
      <c r="AW4" s="310" t="s">
        <v>775</v>
      </c>
      <c r="AX4" s="360" t="s">
        <v>776</v>
      </c>
      <c r="AY4" s="360" t="s">
        <v>777</v>
      </c>
      <c r="AZ4" s="360" t="s">
        <v>308</v>
      </c>
      <c r="BA4" s="350" t="s">
        <v>778</v>
      </c>
      <c r="BB4" s="360" t="s">
        <v>779</v>
      </c>
      <c r="BC4" s="308" t="s">
        <v>780</v>
      </c>
      <c r="BD4" s="310" t="s">
        <v>781</v>
      </c>
      <c r="BE4" s="360" t="s">
        <v>782</v>
      </c>
      <c r="BF4" s="360" t="s">
        <v>783</v>
      </c>
      <c r="BG4" s="360" t="s">
        <v>784</v>
      </c>
      <c r="BH4" s="360" t="s">
        <v>737</v>
      </c>
      <c r="BI4" s="360" t="s">
        <v>739</v>
      </c>
      <c r="BJ4" s="360" t="s">
        <v>741</v>
      </c>
      <c r="BK4" s="360" t="s">
        <v>642</v>
      </c>
      <c r="BL4" s="360" t="s">
        <v>742</v>
      </c>
      <c r="BM4" s="360" t="s">
        <v>337</v>
      </c>
      <c r="BN4" s="360" t="s">
        <v>743</v>
      </c>
      <c r="BO4" s="360" t="s">
        <v>260</v>
      </c>
      <c r="BP4" s="360" t="s">
        <v>327</v>
      </c>
      <c r="BQ4" s="360" t="s">
        <v>274</v>
      </c>
      <c r="BR4" s="360" t="s">
        <v>298</v>
      </c>
      <c r="BS4" s="360" t="s">
        <v>288</v>
      </c>
      <c r="BT4" s="360" t="s">
        <v>744</v>
      </c>
      <c r="BU4" s="360" t="s">
        <v>263</v>
      </c>
      <c r="BV4" s="360" t="s">
        <v>316</v>
      </c>
      <c r="BW4" s="360" t="s">
        <v>303</v>
      </c>
      <c r="BX4" s="360" t="s">
        <v>279</v>
      </c>
      <c r="BY4" s="360" t="s">
        <v>295</v>
      </c>
      <c r="BZ4" s="360" t="s">
        <v>494</v>
      </c>
      <c r="CA4" s="360" t="s">
        <v>305</v>
      </c>
      <c r="CB4" s="360" t="s">
        <v>335</v>
      </c>
      <c r="CC4" s="360" t="s">
        <v>264</v>
      </c>
      <c r="CD4" s="360" t="s">
        <v>290</v>
      </c>
      <c r="CE4" s="360" t="s">
        <v>415</v>
      </c>
      <c r="CF4" s="360" t="s">
        <v>470</v>
      </c>
      <c r="CG4" s="360" t="s">
        <v>350</v>
      </c>
      <c r="CH4" s="360" t="s">
        <v>747</v>
      </c>
      <c r="CI4" s="360" t="s">
        <v>307</v>
      </c>
      <c r="CJ4" s="360" t="s">
        <v>785</v>
      </c>
      <c r="CK4" s="360" t="s">
        <v>786</v>
      </c>
      <c r="CL4" s="360" t="s">
        <v>696</v>
      </c>
      <c r="CM4" s="360" t="s">
        <v>265</v>
      </c>
      <c r="CN4" s="360" t="s">
        <v>177</v>
      </c>
      <c r="CO4" s="360" t="s">
        <v>266</v>
      </c>
      <c r="CP4" s="360" t="s">
        <v>698</v>
      </c>
      <c r="CQ4" s="360" t="s">
        <v>170</v>
      </c>
      <c r="CR4" s="360" t="s">
        <v>787</v>
      </c>
      <c r="CS4" s="360" t="s">
        <v>788</v>
      </c>
      <c r="CT4" s="351" t="s">
        <v>416</v>
      </c>
    </row>
    <row r="5" spans="1:98" x14ac:dyDescent="0.25">
      <c r="A5" s="352" t="s">
        <v>789</v>
      </c>
      <c r="B5" s="359"/>
      <c r="C5" s="359">
        <v>30</v>
      </c>
      <c r="D5" s="359">
        <v>28</v>
      </c>
      <c r="E5" s="359">
        <v>6</v>
      </c>
      <c r="F5" s="359">
        <v>20</v>
      </c>
      <c r="G5" s="359">
        <v>20</v>
      </c>
      <c r="H5" s="359">
        <v>32</v>
      </c>
      <c r="I5" s="359"/>
      <c r="J5" s="359">
        <v>1</v>
      </c>
      <c r="K5" s="359"/>
      <c r="L5" s="359"/>
      <c r="M5" s="359"/>
      <c r="N5" s="359"/>
      <c r="O5" s="359">
        <v>38</v>
      </c>
      <c r="P5" s="359">
        <v>4</v>
      </c>
      <c r="Q5" s="359"/>
      <c r="R5" s="359"/>
      <c r="S5" s="359">
        <v>32</v>
      </c>
      <c r="T5" s="359"/>
      <c r="U5" s="359">
        <v>11</v>
      </c>
      <c r="V5" s="359"/>
      <c r="W5" s="359"/>
      <c r="X5" s="359"/>
      <c r="Y5" s="359">
        <v>42</v>
      </c>
      <c r="Z5" s="359">
        <v>30</v>
      </c>
      <c r="AA5" s="359"/>
      <c r="AB5" s="359"/>
      <c r="AC5" s="359"/>
      <c r="AD5" s="359"/>
      <c r="AE5" s="359"/>
      <c r="AF5" s="359"/>
      <c r="AG5" s="359"/>
      <c r="AH5" s="359">
        <v>30</v>
      </c>
      <c r="AI5" s="359"/>
      <c r="AJ5" s="359">
        <v>30</v>
      </c>
      <c r="AK5" s="359"/>
      <c r="AL5" s="359">
        <v>18</v>
      </c>
      <c r="AM5" s="359"/>
      <c r="AN5" s="359">
        <v>30</v>
      </c>
      <c r="AO5" s="359"/>
      <c r="AP5" s="359">
        <v>8</v>
      </c>
      <c r="AQ5" s="359">
        <v>40</v>
      </c>
      <c r="AR5" s="359">
        <v>80</v>
      </c>
      <c r="AS5" s="359">
        <v>45</v>
      </c>
      <c r="AT5" s="359">
        <v>10</v>
      </c>
      <c r="AU5" s="359"/>
      <c r="AV5" s="359"/>
      <c r="AW5" s="359"/>
      <c r="AX5" s="359">
        <v>70</v>
      </c>
      <c r="AY5" s="359">
        <v>40</v>
      </c>
      <c r="AZ5" s="359">
        <v>42</v>
      </c>
      <c r="BA5" s="359"/>
      <c r="BB5" s="359">
        <v>2</v>
      </c>
      <c r="BC5" s="359"/>
      <c r="BD5" s="359"/>
      <c r="BE5" s="359">
        <v>5</v>
      </c>
      <c r="BF5" s="359"/>
      <c r="BG5" s="359">
        <v>2</v>
      </c>
      <c r="BH5" s="359"/>
      <c r="BI5" s="359"/>
      <c r="BJ5" s="359"/>
      <c r="BK5" s="359"/>
      <c r="BL5" s="359"/>
      <c r="BM5" s="359"/>
      <c r="BN5" s="359">
        <v>30</v>
      </c>
      <c r="BO5" s="359"/>
      <c r="BP5" s="359"/>
      <c r="BQ5" s="359">
        <v>13</v>
      </c>
      <c r="BR5" s="359">
        <v>32</v>
      </c>
      <c r="BS5" s="359"/>
      <c r="BT5" s="359"/>
      <c r="BU5" s="359">
        <v>45</v>
      </c>
      <c r="BV5" s="359">
        <v>6</v>
      </c>
      <c r="BW5" s="359">
        <v>10</v>
      </c>
      <c r="BX5" s="359">
        <v>10</v>
      </c>
      <c r="BY5" s="359">
        <v>30</v>
      </c>
      <c r="BZ5" s="359"/>
      <c r="CA5" s="359">
        <v>30</v>
      </c>
      <c r="CB5" s="359"/>
      <c r="CC5" s="359">
        <v>63</v>
      </c>
      <c r="CD5" s="359">
        <v>51</v>
      </c>
      <c r="CE5" s="359"/>
      <c r="CF5" s="359"/>
      <c r="CG5" s="359">
        <v>10</v>
      </c>
      <c r="CH5" s="359"/>
      <c r="CI5" s="359"/>
      <c r="CJ5" s="359">
        <v>20</v>
      </c>
      <c r="CK5" s="359"/>
      <c r="CL5" s="359"/>
      <c r="CM5" s="359"/>
      <c r="CN5" s="359">
        <v>8</v>
      </c>
      <c r="CO5" s="359">
        <v>6</v>
      </c>
      <c r="CP5" s="359"/>
      <c r="CQ5" s="359">
        <v>28</v>
      </c>
      <c r="CR5" s="359"/>
      <c r="CS5" s="359"/>
      <c r="CT5" s="361">
        <v>1138</v>
      </c>
    </row>
    <row r="6" spans="1:98" x14ac:dyDescent="0.25">
      <c r="A6" s="352" t="s">
        <v>790</v>
      </c>
      <c r="B6" s="359">
        <v>20</v>
      </c>
      <c r="C6" s="359"/>
      <c r="D6" s="359">
        <v>30</v>
      </c>
      <c r="E6" s="359">
        <v>10</v>
      </c>
      <c r="F6" s="359">
        <v>30</v>
      </c>
      <c r="G6" s="359">
        <v>20</v>
      </c>
      <c r="H6" s="359"/>
      <c r="I6" s="359"/>
      <c r="J6" s="359">
        <v>1</v>
      </c>
      <c r="K6" s="359"/>
      <c r="L6" s="359"/>
      <c r="M6" s="359"/>
      <c r="N6" s="359">
        <v>30</v>
      </c>
      <c r="O6" s="359">
        <v>40</v>
      </c>
      <c r="P6" s="359">
        <v>2</v>
      </c>
      <c r="Q6" s="359"/>
      <c r="R6" s="359"/>
      <c r="S6" s="359"/>
      <c r="T6" s="359"/>
      <c r="U6" s="359">
        <v>8</v>
      </c>
      <c r="V6" s="359"/>
      <c r="W6" s="359"/>
      <c r="X6" s="359">
        <v>30</v>
      </c>
      <c r="Y6" s="359">
        <v>44</v>
      </c>
      <c r="Z6" s="359"/>
      <c r="AA6" s="359"/>
      <c r="AB6" s="359">
        <v>30</v>
      </c>
      <c r="AC6" s="359">
        <v>30</v>
      </c>
      <c r="AD6" s="359">
        <v>30</v>
      </c>
      <c r="AE6" s="359">
        <v>20</v>
      </c>
      <c r="AF6" s="359"/>
      <c r="AG6" s="359">
        <v>30</v>
      </c>
      <c r="AH6" s="359"/>
      <c r="AI6" s="359"/>
      <c r="AJ6" s="359"/>
      <c r="AK6" s="359"/>
      <c r="AL6" s="359">
        <v>10</v>
      </c>
      <c r="AM6" s="359">
        <v>30</v>
      </c>
      <c r="AN6" s="359"/>
      <c r="AO6" s="359">
        <v>40</v>
      </c>
      <c r="AP6" s="359">
        <v>8</v>
      </c>
      <c r="AQ6" s="359"/>
      <c r="AR6" s="359"/>
      <c r="AS6" s="359">
        <v>1</v>
      </c>
      <c r="AT6" s="359">
        <v>40</v>
      </c>
      <c r="AU6" s="359"/>
      <c r="AV6" s="359">
        <v>40</v>
      </c>
      <c r="AW6" s="359">
        <v>40</v>
      </c>
      <c r="AX6" s="359">
        <v>0</v>
      </c>
      <c r="AY6" s="359"/>
      <c r="AZ6" s="359"/>
      <c r="BA6" s="359">
        <v>40</v>
      </c>
      <c r="BB6" s="359">
        <v>1</v>
      </c>
      <c r="BC6" s="359">
        <v>40</v>
      </c>
      <c r="BD6" s="359">
        <v>40</v>
      </c>
      <c r="BE6" s="359">
        <v>5</v>
      </c>
      <c r="BF6" s="359"/>
      <c r="BG6" s="359"/>
      <c r="BH6" s="359"/>
      <c r="BI6" s="359"/>
      <c r="BJ6" s="359"/>
      <c r="BK6" s="359"/>
      <c r="BL6" s="359"/>
      <c r="BM6" s="359">
        <v>15</v>
      </c>
      <c r="BN6" s="359"/>
      <c r="BO6" s="359"/>
      <c r="BP6" s="359">
        <v>32</v>
      </c>
      <c r="BQ6" s="359">
        <v>50</v>
      </c>
      <c r="BR6" s="359">
        <v>4</v>
      </c>
      <c r="BS6" s="359">
        <v>20</v>
      </c>
      <c r="BT6" s="359">
        <v>30</v>
      </c>
      <c r="BU6" s="359">
        <v>23</v>
      </c>
      <c r="BV6" s="359">
        <v>28</v>
      </c>
      <c r="BW6" s="359">
        <v>10</v>
      </c>
      <c r="BX6" s="359"/>
      <c r="BY6" s="359"/>
      <c r="BZ6" s="359"/>
      <c r="CA6" s="359"/>
      <c r="CB6" s="359"/>
      <c r="CC6" s="359">
        <v>23</v>
      </c>
      <c r="CD6" s="359">
        <v>72</v>
      </c>
      <c r="CE6" s="359"/>
      <c r="CF6" s="359"/>
      <c r="CG6" s="359">
        <v>10</v>
      </c>
      <c r="CH6" s="359"/>
      <c r="CI6" s="359">
        <v>25</v>
      </c>
      <c r="CJ6" s="359">
        <v>20</v>
      </c>
      <c r="CK6" s="359">
        <v>30</v>
      </c>
      <c r="CL6" s="359"/>
      <c r="CM6" s="359">
        <v>30</v>
      </c>
      <c r="CN6" s="359">
        <v>8</v>
      </c>
      <c r="CO6" s="359">
        <v>29</v>
      </c>
      <c r="CP6" s="359"/>
      <c r="CQ6" s="359">
        <v>32</v>
      </c>
      <c r="CR6" s="359"/>
      <c r="CS6" s="359"/>
      <c r="CT6" s="361">
        <v>1231</v>
      </c>
    </row>
    <row r="7" spans="1:98" x14ac:dyDescent="0.25">
      <c r="A7" s="352" t="s">
        <v>791</v>
      </c>
      <c r="B7" s="359"/>
      <c r="C7" s="359">
        <v>27</v>
      </c>
      <c r="D7" s="359">
        <v>32</v>
      </c>
      <c r="E7" s="359">
        <v>59</v>
      </c>
      <c r="F7" s="359">
        <v>31</v>
      </c>
      <c r="G7" s="359">
        <v>63</v>
      </c>
      <c r="H7" s="359">
        <v>32</v>
      </c>
      <c r="I7" s="359">
        <v>4</v>
      </c>
      <c r="J7" s="359"/>
      <c r="K7" s="359">
        <v>2</v>
      </c>
      <c r="L7" s="359">
        <v>16</v>
      </c>
      <c r="M7" s="359">
        <v>2</v>
      </c>
      <c r="N7" s="359">
        <v>25</v>
      </c>
      <c r="O7" s="359">
        <v>49</v>
      </c>
      <c r="P7" s="359">
        <v>4</v>
      </c>
      <c r="Q7" s="359">
        <v>35</v>
      </c>
      <c r="R7" s="359">
        <v>21</v>
      </c>
      <c r="S7" s="359">
        <v>33</v>
      </c>
      <c r="T7" s="359">
        <v>2</v>
      </c>
      <c r="U7" s="359">
        <v>14</v>
      </c>
      <c r="V7" s="359">
        <v>23</v>
      </c>
      <c r="W7" s="359">
        <v>3</v>
      </c>
      <c r="X7" s="359">
        <v>25</v>
      </c>
      <c r="Y7" s="359">
        <v>42</v>
      </c>
      <c r="Z7" s="359">
        <v>1</v>
      </c>
      <c r="AA7" s="359">
        <v>0</v>
      </c>
      <c r="AB7" s="359"/>
      <c r="AC7" s="359"/>
      <c r="AD7" s="359"/>
      <c r="AE7" s="359"/>
      <c r="AF7" s="359">
        <v>17</v>
      </c>
      <c r="AG7" s="359">
        <v>3</v>
      </c>
      <c r="AH7" s="359">
        <v>1</v>
      </c>
      <c r="AI7" s="359"/>
      <c r="AJ7" s="359">
        <v>0</v>
      </c>
      <c r="AK7" s="359">
        <v>0</v>
      </c>
      <c r="AL7" s="359">
        <v>24</v>
      </c>
      <c r="AM7" s="359">
        <v>2</v>
      </c>
      <c r="AN7" s="359">
        <v>5</v>
      </c>
      <c r="AO7" s="359"/>
      <c r="AP7" s="359"/>
      <c r="AQ7" s="359"/>
      <c r="AR7" s="359"/>
      <c r="AS7" s="359">
        <v>25</v>
      </c>
      <c r="AT7" s="359">
        <v>10</v>
      </c>
      <c r="AU7" s="359">
        <v>3</v>
      </c>
      <c r="AV7" s="359"/>
      <c r="AW7" s="359"/>
      <c r="AX7" s="359">
        <v>50</v>
      </c>
      <c r="AY7" s="359"/>
      <c r="AZ7" s="359">
        <v>2</v>
      </c>
      <c r="BA7" s="359"/>
      <c r="BB7" s="359">
        <v>3</v>
      </c>
      <c r="BC7" s="359"/>
      <c r="BD7" s="359"/>
      <c r="BE7" s="359">
        <v>5</v>
      </c>
      <c r="BF7" s="359">
        <v>10</v>
      </c>
      <c r="BG7" s="359">
        <v>2</v>
      </c>
      <c r="BH7" s="359"/>
      <c r="BI7" s="359"/>
      <c r="BJ7" s="359"/>
      <c r="BK7" s="359"/>
      <c r="BL7" s="359">
        <v>2</v>
      </c>
      <c r="BM7" s="359">
        <v>32</v>
      </c>
      <c r="BN7" s="359">
        <v>28</v>
      </c>
      <c r="BO7" s="359">
        <v>3</v>
      </c>
      <c r="BP7" s="359">
        <v>31</v>
      </c>
      <c r="BQ7" s="359">
        <v>72</v>
      </c>
      <c r="BR7" s="359">
        <v>34</v>
      </c>
      <c r="BS7" s="359">
        <v>0</v>
      </c>
      <c r="BT7" s="359">
        <v>28</v>
      </c>
      <c r="BU7" s="359">
        <v>60</v>
      </c>
      <c r="BV7" s="359">
        <v>7</v>
      </c>
      <c r="BW7" s="359">
        <v>10</v>
      </c>
      <c r="BX7" s="359">
        <v>11</v>
      </c>
      <c r="BY7" s="359">
        <v>28</v>
      </c>
      <c r="BZ7" s="359">
        <v>22</v>
      </c>
      <c r="CA7" s="359">
        <v>37</v>
      </c>
      <c r="CB7" s="359"/>
      <c r="CC7" s="359">
        <v>82</v>
      </c>
      <c r="CD7" s="359">
        <v>52</v>
      </c>
      <c r="CE7" s="359"/>
      <c r="CF7" s="359">
        <v>37</v>
      </c>
      <c r="CG7" s="359">
        <v>5</v>
      </c>
      <c r="CH7" s="359">
        <v>2</v>
      </c>
      <c r="CI7" s="359">
        <v>25</v>
      </c>
      <c r="CJ7" s="359">
        <v>20</v>
      </c>
      <c r="CK7" s="359"/>
      <c r="CL7" s="359">
        <v>5</v>
      </c>
      <c r="CM7" s="359">
        <v>0</v>
      </c>
      <c r="CN7" s="359">
        <v>12</v>
      </c>
      <c r="CO7" s="359">
        <v>11</v>
      </c>
      <c r="CP7" s="359"/>
      <c r="CQ7" s="359">
        <v>51</v>
      </c>
      <c r="CR7" s="359"/>
      <c r="CS7" s="359"/>
      <c r="CT7" s="361">
        <v>1414</v>
      </c>
    </row>
    <row r="8" spans="1:98" x14ac:dyDescent="0.25">
      <c r="A8" s="352" t="s">
        <v>792</v>
      </c>
      <c r="B8" s="359"/>
      <c r="C8" s="359">
        <v>0</v>
      </c>
      <c r="D8" s="359">
        <v>22</v>
      </c>
      <c r="E8" s="359">
        <v>32</v>
      </c>
      <c r="F8" s="359">
        <v>32</v>
      </c>
      <c r="G8" s="359">
        <v>54</v>
      </c>
      <c r="H8" s="359">
        <v>32</v>
      </c>
      <c r="I8" s="359"/>
      <c r="J8" s="359">
        <v>2</v>
      </c>
      <c r="K8" s="359">
        <v>0</v>
      </c>
      <c r="L8" s="359">
        <v>17</v>
      </c>
      <c r="M8" s="359">
        <v>8</v>
      </c>
      <c r="N8" s="359">
        <v>30</v>
      </c>
      <c r="O8" s="359">
        <v>30</v>
      </c>
      <c r="P8" s="359">
        <v>28</v>
      </c>
      <c r="Q8" s="359">
        <v>60</v>
      </c>
      <c r="R8" s="359">
        <v>16</v>
      </c>
      <c r="S8" s="359">
        <v>32</v>
      </c>
      <c r="T8" s="359">
        <v>0</v>
      </c>
      <c r="U8" s="359">
        <v>0</v>
      </c>
      <c r="V8" s="359">
        <v>0</v>
      </c>
      <c r="W8" s="359">
        <v>3</v>
      </c>
      <c r="X8" s="359">
        <v>30</v>
      </c>
      <c r="Y8" s="359">
        <v>30</v>
      </c>
      <c r="Z8" s="359">
        <v>4</v>
      </c>
      <c r="AA8" s="359">
        <v>29</v>
      </c>
      <c r="AB8" s="359"/>
      <c r="AC8" s="359"/>
      <c r="AD8" s="359"/>
      <c r="AE8" s="359">
        <v>20</v>
      </c>
      <c r="AF8" s="359">
        <v>19</v>
      </c>
      <c r="AG8" s="359">
        <v>0</v>
      </c>
      <c r="AH8" s="359">
        <v>2</v>
      </c>
      <c r="AI8" s="359"/>
      <c r="AJ8" s="359">
        <v>2</v>
      </c>
      <c r="AK8" s="359">
        <v>2</v>
      </c>
      <c r="AL8" s="359">
        <v>5</v>
      </c>
      <c r="AM8" s="359">
        <v>35</v>
      </c>
      <c r="AN8" s="359">
        <v>14</v>
      </c>
      <c r="AO8" s="359"/>
      <c r="AP8" s="359"/>
      <c r="AQ8" s="359"/>
      <c r="AR8" s="359"/>
      <c r="AS8" s="359">
        <v>3</v>
      </c>
      <c r="AT8" s="359">
        <v>10</v>
      </c>
      <c r="AU8" s="359"/>
      <c r="AV8" s="359"/>
      <c r="AW8" s="359"/>
      <c r="AX8" s="359">
        <v>50</v>
      </c>
      <c r="AY8" s="359"/>
      <c r="AZ8" s="359">
        <v>2</v>
      </c>
      <c r="BA8" s="359"/>
      <c r="BB8" s="359">
        <v>2</v>
      </c>
      <c r="BC8" s="359"/>
      <c r="BD8" s="359"/>
      <c r="BE8" s="359">
        <v>0</v>
      </c>
      <c r="BF8" s="359"/>
      <c r="BG8" s="359">
        <v>2</v>
      </c>
      <c r="BH8" s="359"/>
      <c r="BI8" s="359"/>
      <c r="BJ8" s="359"/>
      <c r="BK8" s="359"/>
      <c r="BL8" s="359">
        <v>0</v>
      </c>
      <c r="BM8" s="359">
        <v>32</v>
      </c>
      <c r="BN8" s="359">
        <v>30</v>
      </c>
      <c r="BO8" s="359">
        <v>0</v>
      </c>
      <c r="BP8" s="359">
        <v>30</v>
      </c>
      <c r="BQ8" s="359">
        <v>58</v>
      </c>
      <c r="BR8" s="359">
        <v>30</v>
      </c>
      <c r="BS8" s="359">
        <v>3</v>
      </c>
      <c r="BT8" s="359">
        <v>34</v>
      </c>
      <c r="BU8" s="359">
        <v>59</v>
      </c>
      <c r="BV8" s="359">
        <v>4</v>
      </c>
      <c r="BW8" s="359"/>
      <c r="BX8" s="359">
        <v>11</v>
      </c>
      <c r="BY8" s="359">
        <v>30</v>
      </c>
      <c r="BZ8" s="359">
        <v>15</v>
      </c>
      <c r="CA8" s="359">
        <v>31</v>
      </c>
      <c r="CB8" s="359"/>
      <c r="CC8" s="359">
        <v>37</v>
      </c>
      <c r="CD8" s="359">
        <v>36</v>
      </c>
      <c r="CE8" s="359"/>
      <c r="CF8" s="359">
        <v>35</v>
      </c>
      <c r="CG8" s="359">
        <v>5</v>
      </c>
      <c r="CH8" s="359">
        <v>0</v>
      </c>
      <c r="CI8" s="359">
        <v>27</v>
      </c>
      <c r="CJ8" s="359">
        <v>60</v>
      </c>
      <c r="CK8" s="359"/>
      <c r="CL8" s="359">
        <v>0</v>
      </c>
      <c r="CM8" s="359">
        <v>3</v>
      </c>
      <c r="CN8" s="359">
        <v>0</v>
      </c>
      <c r="CO8" s="359">
        <v>21</v>
      </c>
      <c r="CP8" s="359">
        <v>25</v>
      </c>
      <c r="CQ8" s="359">
        <v>48</v>
      </c>
      <c r="CR8" s="359"/>
      <c r="CS8" s="359"/>
      <c r="CT8" s="361">
        <v>1323</v>
      </c>
    </row>
    <row r="9" spans="1:98" x14ac:dyDescent="0.25">
      <c r="A9" s="352" t="s">
        <v>793</v>
      </c>
      <c r="B9" s="359"/>
      <c r="C9" s="359"/>
      <c r="D9" s="359">
        <v>20</v>
      </c>
      <c r="E9" s="359"/>
      <c r="F9" s="359">
        <v>30</v>
      </c>
      <c r="G9" s="359">
        <v>34</v>
      </c>
      <c r="H9" s="359">
        <v>32</v>
      </c>
      <c r="I9" s="359"/>
      <c r="J9" s="359">
        <v>2</v>
      </c>
      <c r="K9" s="359"/>
      <c r="L9" s="359">
        <v>15</v>
      </c>
      <c r="M9" s="359"/>
      <c r="N9" s="359"/>
      <c r="O9" s="359">
        <v>25</v>
      </c>
      <c r="P9" s="359"/>
      <c r="Q9" s="359"/>
      <c r="R9" s="359"/>
      <c r="S9" s="359">
        <v>30</v>
      </c>
      <c r="T9" s="359"/>
      <c r="U9" s="359"/>
      <c r="V9" s="359">
        <v>20</v>
      </c>
      <c r="W9" s="359">
        <v>30</v>
      </c>
      <c r="X9" s="359"/>
      <c r="Y9" s="359">
        <v>30</v>
      </c>
      <c r="Z9" s="359"/>
      <c r="AA9" s="359">
        <v>30</v>
      </c>
      <c r="AB9" s="359"/>
      <c r="AC9" s="359"/>
      <c r="AD9" s="359"/>
      <c r="AE9" s="359"/>
      <c r="AF9" s="359"/>
      <c r="AG9" s="359">
        <v>4</v>
      </c>
      <c r="AH9" s="359">
        <v>30</v>
      </c>
      <c r="AI9" s="359">
        <v>2</v>
      </c>
      <c r="AJ9" s="359"/>
      <c r="AK9" s="359"/>
      <c r="AL9" s="359">
        <v>10</v>
      </c>
      <c r="AM9" s="359">
        <v>2</v>
      </c>
      <c r="AN9" s="359">
        <v>32</v>
      </c>
      <c r="AO9" s="359"/>
      <c r="AP9" s="359"/>
      <c r="AQ9" s="359"/>
      <c r="AR9" s="359"/>
      <c r="AS9" s="359">
        <v>2</v>
      </c>
      <c r="AT9" s="359">
        <v>10</v>
      </c>
      <c r="AU9" s="359">
        <v>3</v>
      </c>
      <c r="AV9" s="359"/>
      <c r="AW9" s="359"/>
      <c r="AX9" s="359">
        <v>15</v>
      </c>
      <c r="AY9" s="359">
        <v>11</v>
      </c>
      <c r="AZ9" s="359">
        <v>2</v>
      </c>
      <c r="BA9" s="359"/>
      <c r="BB9" s="359">
        <v>3</v>
      </c>
      <c r="BC9" s="359"/>
      <c r="BD9" s="359"/>
      <c r="BE9" s="359">
        <v>3</v>
      </c>
      <c r="BF9" s="359"/>
      <c r="BG9" s="359">
        <v>2</v>
      </c>
      <c r="BH9" s="359">
        <v>1</v>
      </c>
      <c r="BI9" s="359"/>
      <c r="BJ9" s="359"/>
      <c r="BK9" s="359"/>
      <c r="BL9" s="359"/>
      <c r="BM9" s="359"/>
      <c r="BN9" s="359">
        <v>1</v>
      </c>
      <c r="BO9" s="359"/>
      <c r="BP9" s="359">
        <v>2</v>
      </c>
      <c r="BQ9" s="359">
        <v>28</v>
      </c>
      <c r="BR9" s="359">
        <v>30</v>
      </c>
      <c r="BS9" s="359"/>
      <c r="BT9" s="359"/>
      <c r="BU9" s="359">
        <v>51</v>
      </c>
      <c r="BV9" s="359"/>
      <c r="BW9" s="359"/>
      <c r="BX9" s="359">
        <v>15</v>
      </c>
      <c r="BY9" s="359">
        <v>5</v>
      </c>
      <c r="BZ9" s="359"/>
      <c r="CA9" s="359"/>
      <c r="CB9" s="359"/>
      <c r="CC9" s="359">
        <v>45</v>
      </c>
      <c r="CD9" s="359">
        <v>34</v>
      </c>
      <c r="CE9" s="359"/>
      <c r="CF9" s="359"/>
      <c r="CG9" s="359">
        <v>10</v>
      </c>
      <c r="CH9" s="359"/>
      <c r="CI9" s="359"/>
      <c r="CJ9" s="359">
        <v>20</v>
      </c>
      <c r="CK9" s="359"/>
      <c r="CL9" s="359"/>
      <c r="CM9" s="359"/>
      <c r="CN9" s="359">
        <v>5</v>
      </c>
      <c r="CO9" s="359"/>
      <c r="CP9" s="359">
        <v>30</v>
      </c>
      <c r="CQ9" s="359">
        <v>28</v>
      </c>
      <c r="CR9" s="359"/>
      <c r="CS9" s="359"/>
      <c r="CT9" s="361">
        <v>734</v>
      </c>
    </row>
    <row r="10" spans="1:98" x14ac:dyDescent="0.25">
      <c r="A10" s="352" t="s">
        <v>794</v>
      </c>
      <c r="B10" s="359"/>
      <c r="C10" s="359"/>
      <c r="D10" s="359">
        <v>20</v>
      </c>
      <c r="E10" s="359"/>
      <c r="F10" s="359">
        <v>30</v>
      </c>
      <c r="G10" s="359"/>
      <c r="H10" s="359">
        <v>30</v>
      </c>
      <c r="I10" s="359"/>
      <c r="J10" s="359">
        <v>2</v>
      </c>
      <c r="K10" s="359"/>
      <c r="L10" s="359">
        <v>15</v>
      </c>
      <c r="M10" s="359"/>
      <c r="N10" s="359">
        <v>30</v>
      </c>
      <c r="O10" s="359">
        <v>25</v>
      </c>
      <c r="P10" s="359"/>
      <c r="Q10" s="359">
        <v>60</v>
      </c>
      <c r="R10" s="359"/>
      <c r="S10" s="359">
        <v>30</v>
      </c>
      <c r="T10" s="359"/>
      <c r="U10" s="359">
        <v>5</v>
      </c>
      <c r="V10" s="359"/>
      <c r="W10" s="359"/>
      <c r="X10" s="359">
        <v>30</v>
      </c>
      <c r="Y10" s="359">
        <v>30</v>
      </c>
      <c r="Z10" s="359"/>
      <c r="AA10" s="359"/>
      <c r="AB10" s="359"/>
      <c r="AC10" s="359"/>
      <c r="AD10" s="359">
        <v>30</v>
      </c>
      <c r="AE10" s="359"/>
      <c r="AF10" s="359"/>
      <c r="AG10" s="359">
        <v>4</v>
      </c>
      <c r="AH10" s="359"/>
      <c r="AI10" s="359">
        <v>6</v>
      </c>
      <c r="AJ10" s="359"/>
      <c r="AK10" s="359"/>
      <c r="AL10" s="359">
        <v>15</v>
      </c>
      <c r="AM10" s="359">
        <v>6</v>
      </c>
      <c r="AN10" s="359">
        <v>2</v>
      </c>
      <c r="AO10" s="359"/>
      <c r="AP10" s="359"/>
      <c r="AQ10" s="359"/>
      <c r="AR10" s="359"/>
      <c r="AS10" s="359">
        <v>5</v>
      </c>
      <c r="AT10" s="359"/>
      <c r="AU10" s="359">
        <v>3</v>
      </c>
      <c r="AV10" s="359"/>
      <c r="AW10" s="359"/>
      <c r="AX10" s="359">
        <v>15</v>
      </c>
      <c r="AY10" s="359">
        <v>5</v>
      </c>
      <c r="AZ10" s="359"/>
      <c r="BA10" s="359"/>
      <c r="BB10" s="359">
        <v>1</v>
      </c>
      <c r="BC10" s="359"/>
      <c r="BD10" s="359"/>
      <c r="BE10" s="359">
        <v>0</v>
      </c>
      <c r="BF10" s="359">
        <v>10</v>
      </c>
      <c r="BG10" s="359"/>
      <c r="BH10" s="359"/>
      <c r="BI10" s="359"/>
      <c r="BJ10" s="359"/>
      <c r="BK10" s="359"/>
      <c r="BL10" s="359"/>
      <c r="BM10" s="359"/>
      <c r="BN10" s="359">
        <v>30</v>
      </c>
      <c r="BO10" s="359"/>
      <c r="BP10" s="359">
        <v>30</v>
      </c>
      <c r="BQ10" s="359">
        <v>39</v>
      </c>
      <c r="BR10" s="359">
        <v>30</v>
      </c>
      <c r="BS10" s="359"/>
      <c r="BT10" s="359">
        <v>30</v>
      </c>
      <c r="BU10" s="359">
        <v>41</v>
      </c>
      <c r="BV10" s="359"/>
      <c r="BW10" s="359"/>
      <c r="BX10" s="359">
        <v>10</v>
      </c>
      <c r="BY10" s="359">
        <v>30</v>
      </c>
      <c r="BZ10" s="359"/>
      <c r="CA10" s="359"/>
      <c r="CB10" s="359"/>
      <c r="CC10" s="359">
        <v>15</v>
      </c>
      <c r="CD10" s="359">
        <v>20</v>
      </c>
      <c r="CE10" s="359"/>
      <c r="CF10" s="359"/>
      <c r="CG10" s="359">
        <v>10</v>
      </c>
      <c r="CH10" s="359"/>
      <c r="CI10" s="359"/>
      <c r="CJ10" s="359">
        <v>20</v>
      </c>
      <c r="CK10" s="359"/>
      <c r="CL10" s="359"/>
      <c r="CM10" s="359">
        <v>30</v>
      </c>
      <c r="CN10" s="359">
        <v>0</v>
      </c>
      <c r="CO10" s="359">
        <v>21</v>
      </c>
      <c r="CP10" s="359"/>
      <c r="CQ10" s="359">
        <v>20</v>
      </c>
      <c r="CR10" s="359"/>
      <c r="CS10" s="359"/>
      <c r="CT10" s="361">
        <v>785</v>
      </c>
    </row>
    <row r="11" spans="1:98" x14ac:dyDescent="0.25">
      <c r="A11" s="353" t="s">
        <v>795</v>
      </c>
      <c r="B11" s="359"/>
      <c r="C11" s="359"/>
      <c r="D11" s="359">
        <v>20</v>
      </c>
      <c r="E11" s="359"/>
      <c r="F11" s="359">
        <v>30</v>
      </c>
      <c r="G11" s="359"/>
      <c r="H11" s="359">
        <v>20</v>
      </c>
      <c r="I11" s="359"/>
      <c r="J11" s="359"/>
      <c r="K11" s="359"/>
      <c r="L11" s="359"/>
      <c r="M11" s="359"/>
      <c r="N11" s="359"/>
      <c r="O11" s="359">
        <v>25</v>
      </c>
      <c r="P11" s="359"/>
      <c r="Q11" s="359"/>
      <c r="R11" s="359"/>
      <c r="S11" s="359">
        <v>30</v>
      </c>
      <c r="T11" s="359"/>
      <c r="U11" s="359">
        <v>5</v>
      </c>
      <c r="V11" s="359">
        <v>20</v>
      </c>
      <c r="W11" s="359">
        <v>30</v>
      </c>
      <c r="X11" s="359">
        <v>1</v>
      </c>
      <c r="Y11" s="359">
        <v>30</v>
      </c>
      <c r="Z11" s="359"/>
      <c r="AA11" s="359">
        <v>30</v>
      </c>
      <c r="AB11" s="359"/>
      <c r="AC11" s="359"/>
      <c r="AD11" s="359"/>
      <c r="AE11" s="359"/>
      <c r="AF11" s="359"/>
      <c r="AG11" s="359">
        <v>4</v>
      </c>
      <c r="AH11" s="359">
        <v>30</v>
      </c>
      <c r="AI11" s="359">
        <v>2</v>
      </c>
      <c r="AJ11" s="359"/>
      <c r="AK11" s="359"/>
      <c r="AL11" s="359">
        <v>15</v>
      </c>
      <c r="AM11" s="359">
        <v>5</v>
      </c>
      <c r="AN11" s="359">
        <v>32</v>
      </c>
      <c r="AO11" s="359"/>
      <c r="AP11" s="359"/>
      <c r="AQ11" s="359"/>
      <c r="AR11" s="359"/>
      <c r="AS11" s="359"/>
      <c r="AT11" s="359"/>
      <c r="AU11" s="359">
        <v>3</v>
      </c>
      <c r="AV11" s="359"/>
      <c r="AW11" s="359"/>
      <c r="AX11" s="359">
        <v>10</v>
      </c>
      <c r="AY11" s="359">
        <v>11</v>
      </c>
      <c r="AZ11" s="359"/>
      <c r="BA11" s="359"/>
      <c r="BB11" s="359">
        <v>1</v>
      </c>
      <c r="BC11" s="359"/>
      <c r="BD11" s="359"/>
      <c r="BE11" s="359">
        <v>3</v>
      </c>
      <c r="BF11" s="359"/>
      <c r="BG11" s="359"/>
      <c r="BH11" s="359"/>
      <c r="BI11" s="359"/>
      <c r="BJ11" s="359"/>
      <c r="BK11" s="359"/>
      <c r="BL11" s="359"/>
      <c r="BM11" s="359"/>
      <c r="BN11" s="359"/>
      <c r="BO11" s="359"/>
      <c r="BP11" s="359"/>
      <c r="BQ11" s="359">
        <v>24</v>
      </c>
      <c r="BR11" s="359">
        <v>30</v>
      </c>
      <c r="BS11" s="359"/>
      <c r="BT11" s="359"/>
      <c r="BU11" s="359">
        <v>54</v>
      </c>
      <c r="BV11" s="359"/>
      <c r="BW11" s="359"/>
      <c r="BX11" s="359">
        <v>10</v>
      </c>
      <c r="BY11" s="359">
        <v>30</v>
      </c>
      <c r="BZ11" s="359"/>
      <c r="CA11" s="359"/>
      <c r="CB11" s="359"/>
      <c r="CC11" s="359">
        <v>23</v>
      </c>
      <c r="CD11" s="359">
        <v>22</v>
      </c>
      <c r="CE11" s="359"/>
      <c r="CF11" s="359"/>
      <c r="CG11" s="359">
        <v>10</v>
      </c>
      <c r="CH11" s="359"/>
      <c r="CI11" s="359"/>
      <c r="CJ11" s="359">
        <v>20</v>
      </c>
      <c r="CK11" s="359"/>
      <c r="CL11" s="359"/>
      <c r="CM11" s="359"/>
      <c r="CN11" s="359">
        <v>5</v>
      </c>
      <c r="CO11" s="359">
        <v>5</v>
      </c>
      <c r="CP11" s="359">
        <v>30</v>
      </c>
      <c r="CQ11" s="359">
        <v>28</v>
      </c>
      <c r="CR11" s="359"/>
      <c r="CS11" s="359"/>
      <c r="CT11" s="361">
        <v>648</v>
      </c>
    </row>
    <row r="12" spans="1:98" x14ac:dyDescent="0.25">
      <c r="A12" s="352" t="s">
        <v>796</v>
      </c>
      <c r="B12" s="359"/>
      <c r="C12" s="359">
        <v>30</v>
      </c>
      <c r="D12" s="359">
        <v>30</v>
      </c>
      <c r="E12" s="359">
        <v>10</v>
      </c>
      <c r="F12" s="359">
        <v>30</v>
      </c>
      <c r="G12" s="359">
        <v>54</v>
      </c>
      <c r="H12" s="359">
        <v>32</v>
      </c>
      <c r="I12" s="359"/>
      <c r="J12" s="359">
        <v>1</v>
      </c>
      <c r="K12" s="359"/>
      <c r="L12" s="359">
        <v>16</v>
      </c>
      <c r="M12" s="359"/>
      <c r="N12" s="359">
        <v>30</v>
      </c>
      <c r="O12" s="359">
        <v>35</v>
      </c>
      <c r="P12" s="359">
        <v>4</v>
      </c>
      <c r="Q12" s="359">
        <v>60</v>
      </c>
      <c r="R12" s="359"/>
      <c r="S12" s="359">
        <v>31</v>
      </c>
      <c r="T12" s="359"/>
      <c r="U12" s="359">
        <v>6</v>
      </c>
      <c r="V12" s="359">
        <v>20</v>
      </c>
      <c r="W12" s="359"/>
      <c r="X12" s="359">
        <v>31</v>
      </c>
      <c r="Y12" s="359">
        <v>40</v>
      </c>
      <c r="Z12" s="359"/>
      <c r="AA12" s="359"/>
      <c r="AB12" s="359"/>
      <c r="AC12" s="359"/>
      <c r="AD12" s="359">
        <v>30</v>
      </c>
      <c r="AE12" s="359"/>
      <c r="AF12" s="359">
        <v>2</v>
      </c>
      <c r="AG12" s="359">
        <v>29</v>
      </c>
      <c r="AH12" s="359"/>
      <c r="AI12" s="359">
        <v>6</v>
      </c>
      <c r="AJ12" s="359"/>
      <c r="AK12" s="359"/>
      <c r="AL12" s="359">
        <v>25</v>
      </c>
      <c r="AM12" s="359">
        <v>5</v>
      </c>
      <c r="AN12" s="359">
        <v>4</v>
      </c>
      <c r="AO12" s="359"/>
      <c r="AP12" s="359"/>
      <c r="AQ12" s="359"/>
      <c r="AR12" s="359">
        <v>40</v>
      </c>
      <c r="AS12" s="359">
        <v>21</v>
      </c>
      <c r="AT12" s="359">
        <v>10</v>
      </c>
      <c r="AU12" s="359">
        <v>3</v>
      </c>
      <c r="AV12" s="359"/>
      <c r="AW12" s="359"/>
      <c r="AX12" s="359">
        <v>40</v>
      </c>
      <c r="AY12" s="359"/>
      <c r="AZ12" s="359">
        <v>2</v>
      </c>
      <c r="BA12" s="359"/>
      <c r="BB12" s="359">
        <v>2</v>
      </c>
      <c r="BC12" s="359"/>
      <c r="BD12" s="359"/>
      <c r="BE12" s="359">
        <v>5</v>
      </c>
      <c r="BF12" s="359"/>
      <c r="BG12" s="359">
        <v>2</v>
      </c>
      <c r="BH12" s="359"/>
      <c r="BI12" s="359"/>
      <c r="BJ12" s="359"/>
      <c r="BK12" s="359"/>
      <c r="BL12" s="359"/>
      <c r="BM12" s="359"/>
      <c r="BN12" s="359">
        <v>30</v>
      </c>
      <c r="BO12" s="359"/>
      <c r="BP12" s="359">
        <v>32</v>
      </c>
      <c r="BQ12" s="359">
        <v>58</v>
      </c>
      <c r="BR12" s="359">
        <v>34</v>
      </c>
      <c r="BS12" s="359"/>
      <c r="BT12" s="359">
        <v>30</v>
      </c>
      <c r="BU12" s="359">
        <v>47</v>
      </c>
      <c r="BV12" s="359">
        <v>6</v>
      </c>
      <c r="BW12" s="359">
        <v>10</v>
      </c>
      <c r="BX12" s="359">
        <v>15</v>
      </c>
      <c r="BY12" s="359">
        <v>30</v>
      </c>
      <c r="BZ12" s="359"/>
      <c r="CA12" s="359"/>
      <c r="CB12" s="359"/>
      <c r="CC12" s="359">
        <v>61</v>
      </c>
      <c r="CD12" s="359">
        <v>40</v>
      </c>
      <c r="CE12" s="359"/>
      <c r="CF12" s="359"/>
      <c r="CG12" s="359">
        <v>10</v>
      </c>
      <c r="CH12" s="359"/>
      <c r="CI12" s="359"/>
      <c r="CJ12" s="359">
        <v>20</v>
      </c>
      <c r="CK12" s="359"/>
      <c r="CL12" s="359"/>
      <c r="CM12" s="359">
        <v>30</v>
      </c>
      <c r="CN12" s="359">
        <v>5</v>
      </c>
      <c r="CO12" s="359">
        <v>31</v>
      </c>
      <c r="CP12" s="359"/>
      <c r="CQ12" s="359">
        <v>28</v>
      </c>
      <c r="CR12" s="359">
        <v>30</v>
      </c>
      <c r="CS12" s="359"/>
      <c r="CT12" s="361">
        <v>1233</v>
      </c>
    </row>
    <row r="13" spans="1:98" x14ac:dyDescent="0.25">
      <c r="A13" s="352" t="s">
        <v>797</v>
      </c>
      <c r="B13" s="359"/>
      <c r="C13" s="359"/>
      <c r="D13" s="359">
        <v>32</v>
      </c>
      <c r="E13" s="359">
        <v>4</v>
      </c>
      <c r="F13" s="359"/>
      <c r="G13" s="359">
        <v>8</v>
      </c>
      <c r="H13" s="359">
        <v>20</v>
      </c>
      <c r="I13" s="359">
        <v>3</v>
      </c>
      <c r="J13" s="359">
        <v>3</v>
      </c>
      <c r="K13" s="359"/>
      <c r="L13" s="359">
        <v>10</v>
      </c>
      <c r="M13" s="359"/>
      <c r="N13" s="359">
        <v>1</v>
      </c>
      <c r="O13" s="359">
        <v>17</v>
      </c>
      <c r="P13" s="359">
        <v>4</v>
      </c>
      <c r="Q13" s="359">
        <v>1</v>
      </c>
      <c r="R13" s="359"/>
      <c r="S13" s="359">
        <v>30</v>
      </c>
      <c r="T13" s="359"/>
      <c r="U13" s="359">
        <v>4</v>
      </c>
      <c r="V13" s="359">
        <v>10</v>
      </c>
      <c r="W13" s="359"/>
      <c r="X13" s="359"/>
      <c r="Y13" s="359">
        <v>36</v>
      </c>
      <c r="Z13" s="359"/>
      <c r="AA13" s="359">
        <v>1</v>
      </c>
      <c r="AB13" s="359"/>
      <c r="AC13" s="359"/>
      <c r="AD13" s="359"/>
      <c r="AE13" s="359"/>
      <c r="AF13" s="359">
        <v>3</v>
      </c>
      <c r="AG13" s="359"/>
      <c r="AH13" s="359"/>
      <c r="AI13" s="359"/>
      <c r="AJ13" s="359"/>
      <c r="AK13" s="359"/>
      <c r="AL13" s="359">
        <v>11</v>
      </c>
      <c r="AM13" s="359"/>
      <c r="AN13" s="359">
        <v>1</v>
      </c>
      <c r="AO13" s="359"/>
      <c r="AP13" s="359"/>
      <c r="AQ13" s="359"/>
      <c r="AR13" s="359"/>
      <c r="AS13" s="359">
        <v>4</v>
      </c>
      <c r="AT13" s="359"/>
      <c r="AU13" s="359">
        <v>3</v>
      </c>
      <c r="AV13" s="359"/>
      <c r="AW13" s="359">
        <v>25</v>
      </c>
      <c r="AX13" s="359">
        <v>45</v>
      </c>
      <c r="AY13" s="359">
        <v>25</v>
      </c>
      <c r="AZ13" s="359"/>
      <c r="BA13" s="359"/>
      <c r="BB13" s="359">
        <v>1</v>
      </c>
      <c r="BC13" s="359"/>
      <c r="BD13" s="359"/>
      <c r="BE13" s="359">
        <v>5</v>
      </c>
      <c r="BF13" s="359"/>
      <c r="BG13" s="359"/>
      <c r="BH13" s="359">
        <v>1</v>
      </c>
      <c r="BI13" s="359"/>
      <c r="BJ13" s="359"/>
      <c r="BK13" s="359"/>
      <c r="BL13" s="359"/>
      <c r="BM13" s="359">
        <v>1</v>
      </c>
      <c r="BN13" s="359">
        <v>2</v>
      </c>
      <c r="BO13" s="359"/>
      <c r="BP13" s="359">
        <v>2</v>
      </c>
      <c r="BQ13" s="359">
        <v>40</v>
      </c>
      <c r="BR13" s="359">
        <v>32</v>
      </c>
      <c r="BS13" s="359"/>
      <c r="BT13" s="359">
        <v>10</v>
      </c>
      <c r="BU13" s="359">
        <v>49</v>
      </c>
      <c r="BV13" s="359">
        <v>6</v>
      </c>
      <c r="BW13" s="359">
        <v>10</v>
      </c>
      <c r="BX13" s="359">
        <v>3</v>
      </c>
      <c r="BY13" s="359">
        <v>1</v>
      </c>
      <c r="BZ13" s="359"/>
      <c r="CA13" s="359">
        <v>30</v>
      </c>
      <c r="CB13" s="359"/>
      <c r="CC13" s="359">
        <v>38</v>
      </c>
      <c r="CD13" s="359">
        <v>20</v>
      </c>
      <c r="CE13" s="359"/>
      <c r="CF13" s="359">
        <v>30</v>
      </c>
      <c r="CG13" s="359">
        <v>5</v>
      </c>
      <c r="CH13" s="359"/>
      <c r="CI13" s="359">
        <v>2</v>
      </c>
      <c r="CJ13" s="359">
        <v>10</v>
      </c>
      <c r="CK13" s="359"/>
      <c r="CL13" s="359"/>
      <c r="CM13" s="359">
        <v>10</v>
      </c>
      <c r="CN13" s="359">
        <v>15</v>
      </c>
      <c r="CO13" s="359">
        <v>6</v>
      </c>
      <c r="CP13" s="359"/>
      <c r="CQ13" s="359">
        <v>20</v>
      </c>
      <c r="CR13" s="359">
        <v>5</v>
      </c>
      <c r="CS13" s="359"/>
      <c r="CT13" s="362">
        <v>655</v>
      </c>
    </row>
    <row r="14" spans="1:98" x14ac:dyDescent="0.25">
      <c r="A14" s="248" t="s">
        <v>416</v>
      </c>
      <c r="B14" s="249">
        <f>SUM(B5:B13)</f>
        <v>20</v>
      </c>
      <c r="C14" s="249">
        <f t="shared" ref="C14:BN14" si="0">SUM(C5:C13)</f>
        <v>87</v>
      </c>
      <c r="D14" s="249">
        <f t="shared" si="0"/>
        <v>234</v>
      </c>
      <c r="E14" s="249">
        <f t="shared" si="0"/>
        <v>121</v>
      </c>
      <c r="F14" s="249">
        <f t="shared" si="0"/>
        <v>233</v>
      </c>
      <c r="G14" s="249">
        <f t="shared" si="0"/>
        <v>253</v>
      </c>
      <c r="H14" s="249">
        <f t="shared" si="0"/>
        <v>230</v>
      </c>
      <c r="I14" s="249">
        <f t="shared" si="0"/>
        <v>7</v>
      </c>
      <c r="J14" s="249">
        <f t="shared" si="0"/>
        <v>12</v>
      </c>
      <c r="K14" s="249">
        <f t="shared" si="0"/>
        <v>2</v>
      </c>
      <c r="L14" s="249">
        <f t="shared" si="0"/>
        <v>89</v>
      </c>
      <c r="M14" s="249">
        <f t="shared" si="0"/>
        <v>10</v>
      </c>
      <c r="N14" s="249">
        <f t="shared" si="0"/>
        <v>146</v>
      </c>
      <c r="O14" s="249">
        <f t="shared" si="0"/>
        <v>284</v>
      </c>
      <c r="P14" s="249">
        <f t="shared" si="0"/>
        <v>46</v>
      </c>
      <c r="Q14" s="249">
        <f t="shared" si="0"/>
        <v>216</v>
      </c>
      <c r="R14" s="249">
        <f t="shared" si="0"/>
        <v>37</v>
      </c>
      <c r="S14" s="249">
        <f t="shared" si="0"/>
        <v>248</v>
      </c>
      <c r="T14" s="249">
        <f t="shared" si="0"/>
        <v>2</v>
      </c>
      <c r="U14" s="249">
        <f t="shared" si="0"/>
        <v>53</v>
      </c>
      <c r="V14" s="249">
        <f t="shared" si="0"/>
        <v>93</v>
      </c>
      <c r="W14" s="249">
        <f t="shared" si="0"/>
        <v>66</v>
      </c>
      <c r="X14" s="249">
        <f t="shared" si="0"/>
        <v>147</v>
      </c>
      <c r="Y14" s="249">
        <f t="shared" si="0"/>
        <v>324</v>
      </c>
      <c r="Z14" s="249">
        <f t="shared" si="0"/>
        <v>35</v>
      </c>
      <c r="AA14" s="249">
        <f t="shared" si="0"/>
        <v>90</v>
      </c>
      <c r="AB14" s="249">
        <f t="shared" si="0"/>
        <v>30</v>
      </c>
      <c r="AC14" s="249">
        <f t="shared" si="0"/>
        <v>30</v>
      </c>
      <c r="AD14" s="249">
        <f t="shared" si="0"/>
        <v>90</v>
      </c>
      <c r="AE14" s="249">
        <f t="shared" si="0"/>
        <v>40</v>
      </c>
      <c r="AF14" s="249">
        <f t="shared" si="0"/>
        <v>41</v>
      </c>
      <c r="AG14" s="249">
        <f t="shared" si="0"/>
        <v>74</v>
      </c>
      <c r="AH14" s="249">
        <f t="shared" si="0"/>
        <v>93</v>
      </c>
      <c r="AI14" s="249">
        <f t="shared" si="0"/>
        <v>16</v>
      </c>
      <c r="AJ14" s="249">
        <f t="shared" si="0"/>
        <v>32</v>
      </c>
      <c r="AK14" s="249">
        <f t="shared" si="0"/>
        <v>2</v>
      </c>
      <c r="AL14" s="249">
        <f t="shared" si="0"/>
        <v>133</v>
      </c>
      <c r="AM14" s="249">
        <f t="shared" si="0"/>
        <v>85</v>
      </c>
      <c r="AN14" s="249">
        <f t="shared" si="0"/>
        <v>120</v>
      </c>
      <c r="AO14" s="249">
        <f t="shared" si="0"/>
        <v>40</v>
      </c>
      <c r="AP14" s="249">
        <f t="shared" si="0"/>
        <v>16</v>
      </c>
      <c r="AQ14" s="249">
        <f t="shared" si="0"/>
        <v>40</v>
      </c>
      <c r="AR14" s="249">
        <f t="shared" si="0"/>
        <v>120</v>
      </c>
      <c r="AS14" s="249">
        <f t="shared" si="0"/>
        <v>106</v>
      </c>
      <c r="AT14" s="249">
        <f t="shared" si="0"/>
        <v>90</v>
      </c>
      <c r="AU14" s="249">
        <f t="shared" si="0"/>
        <v>18</v>
      </c>
      <c r="AV14" s="249">
        <f t="shared" si="0"/>
        <v>40</v>
      </c>
      <c r="AW14" s="249">
        <f t="shared" si="0"/>
        <v>65</v>
      </c>
      <c r="AX14" s="249">
        <f t="shared" si="0"/>
        <v>295</v>
      </c>
      <c r="AY14" s="249">
        <f t="shared" si="0"/>
        <v>92</v>
      </c>
      <c r="AZ14" s="249">
        <f t="shared" si="0"/>
        <v>50</v>
      </c>
      <c r="BA14" s="249">
        <f t="shared" si="0"/>
        <v>40</v>
      </c>
      <c r="BB14" s="249">
        <f t="shared" si="0"/>
        <v>16</v>
      </c>
      <c r="BC14" s="249">
        <f t="shared" si="0"/>
        <v>40</v>
      </c>
      <c r="BD14" s="249">
        <f t="shared" si="0"/>
        <v>40</v>
      </c>
      <c r="BE14" s="249">
        <f t="shared" si="0"/>
        <v>31</v>
      </c>
      <c r="BF14" s="249">
        <f t="shared" si="0"/>
        <v>20</v>
      </c>
      <c r="BG14" s="249">
        <f t="shared" si="0"/>
        <v>10</v>
      </c>
      <c r="BH14" s="249">
        <f t="shared" si="0"/>
        <v>2</v>
      </c>
      <c r="BI14" s="249">
        <f t="shared" si="0"/>
        <v>0</v>
      </c>
      <c r="BJ14" s="249">
        <f t="shared" si="0"/>
        <v>0</v>
      </c>
      <c r="BK14" s="249">
        <f t="shared" si="0"/>
        <v>0</v>
      </c>
      <c r="BL14" s="249">
        <f t="shared" si="0"/>
        <v>2</v>
      </c>
      <c r="BM14" s="249">
        <f t="shared" si="0"/>
        <v>80</v>
      </c>
      <c r="BN14" s="249">
        <f t="shared" si="0"/>
        <v>151</v>
      </c>
      <c r="BO14" s="249">
        <f t="shared" ref="BO14:CS14" si="1">SUM(BO5:BO13)</f>
        <v>3</v>
      </c>
      <c r="BP14" s="249">
        <f t="shared" si="1"/>
        <v>159</v>
      </c>
      <c r="BQ14" s="249">
        <f t="shared" si="1"/>
        <v>382</v>
      </c>
      <c r="BR14" s="249">
        <f t="shared" si="1"/>
        <v>256</v>
      </c>
      <c r="BS14" s="249">
        <f t="shared" si="1"/>
        <v>23</v>
      </c>
      <c r="BT14" s="249">
        <f t="shared" si="1"/>
        <v>162</v>
      </c>
      <c r="BU14" s="249">
        <f t="shared" si="1"/>
        <v>429</v>
      </c>
      <c r="BV14" s="249">
        <f t="shared" si="1"/>
        <v>57</v>
      </c>
      <c r="BW14" s="249">
        <f t="shared" si="1"/>
        <v>50</v>
      </c>
      <c r="BX14" s="249">
        <f t="shared" si="1"/>
        <v>85</v>
      </c>
      <c r="BY14" s="249">
        <f t="shared" si="1"/>
        <v>184</v>
      </c>
      <c r="BZ14" s="249">
        <f t="shared" si="1"/>
        <v>37</v>
      </c>
      <c r="CA14" s="249">
        <f t="shared" si="1"/>
        <v>128</v>
      </c>
      <c r="CB14" s="249">
        <f t="shared" si="1"/>
        <v>0</v>
      </c>
      <c r="CC14" s="249">
        <f t="shared" si="1"/>
        <v>387</v>
      </c>
      <c r="CD14" s="249">
        <f t="shared" si="1"/>
        <v>347</v>
      </c>
      <c r="CE14" s="249">
        <f t="shared" si="1"/>
        <v>0</v>
      </c>
      <c r="CF14" s="249">
        <f t="shared" si="1"/>
        <v>102</v>
      </c>
      <c r="CG14" s="249">
        <f t="shared" si="1"/>
        <v>75</v>
      </c>
      <c r="CH14" s="249">
        <f t="shared" si="1"/>
        <v>2</v>
      </c>
      <c r="CI14" s="249">
        <f t="shared" si="1"/>
        <v>79</v>
      </c>
      <c r="CJ14" s="249">
        <f t="shared" si="1"/>
        <v>210</v>
      </c>
      <c r="CK14" s="249">
        <f t="shared" si="1"/>
        <v>30</v>
      </c>
      <c r="CL14" s="249">
        <f t="shared" si="1"/>
        <v>5</v>
      </c>
      <c r="CM14" s="249">
        <f t="shared" si="1"/>
        <v>103</v>
      </c>
      <c r="CN14" s="249">
        <f t="shared" si="1"/>
        <v>58</v>
      </c>
      <c r="CO14" s="249">
        <f t="shared" si="1"/>
        <v>130</v>
      </c>
      <c r="CP14" s="249">
        <f t="shared" si="1"/>
        <v>85</v>
      </c>
      <c r="CQ14" s="249">
        <f t="shared" si="1"/>
        <v>283</v>
      </c>
      <c r="CR14" s="249">
        <f t="shared" si="1"/>
        <v>35</v>
      </c>
      <c r="CS14" s="249">
        <f t="shared" si="1"/>
        <v>0</v>
      </c>
    </row>
    <row r="17" spans="100:100" x14ac:dyDescent="0.25">
      <c r="CV17" s="7"/>
    </row>
  </sheetData>
  <pageMargins left="0.7" right="0.7" top="0.75" bottom="0.75" header="0.3" footer="0.3"/>
  <pageSetup orientation="portrait" horizontalDpi="1200" verticalDpi="1200"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3CDFA-67D6-4FE8-8F15-AD9172AFC53B}">
  <sheetPr>
    <tabColor theme="9" tint="0.79998168889431442"/>
  </sheetPr>
  <dimension ref="A1:H6"/>
  <sheetViews>
    <sheetView workbookViewId="0">
      <selection activeCell="A13" sqref="A13"/>
    </sheetView>
  </sheetViews>
  <sheetFormatPr defaultRowHeight="15" x14ac:dyDescent="0.25"/>
  <cols>
    <col min="1" max="1" width="67.28515625" bestFit="1" customWidth="1"/>
    <col min="2" max="2" width="10.7109375" bestFit="1" customWidth="1"/>
    <col min="3" max="3" width="15.7109375" bestFit="1" customWidth="1"/>
    <col min="4" max="4" width="14.7109375" bestFit="1" customWidth="1"/>
    <col min="5" max="5" width="10.7109375" bestFit="1" customWidth="1"/>
    <col min="6" max="6" width="10.28515625" bestFit="1" customWidth="1"/>
    <col min="7" max="7" width="15.5703125" bestFit="1" customWidth="1"/>
    <col min="8" max="8" width="6.28515625" bestFit="1" customWidth="1"/>
    <col min="9" max="24" width="67.42578125" bestFit="1" customWidth="1"/>
    <col min="25" max="25" width="15.7109375" bestFit="1" customWidth="1"/>
    <col min="26" max="26" width="20.7109375" bestFit="1" customWidth="1"/>
    <col min="27" max="27" width="19.7109375" bestFit="1" customWidth="1"/>
    <col min="28" max="28" width="15.7109375" bestFit="1" customWidth="1"/>
    <col min="29" max="29" width="15.28515625" bestFit="1" customWidth="1"/>
    <col min="30" max="30" width="20.5703125" bestFit="1" customWidth="1"/>
  </cols>
  <sheetData>
    <row r="1" spans="1:8" x14ac:dyDescent="0.25">
      <c r="A1" t="s">
        <v>766</v>
      </c>
      <c r="B1" t="s">
        <v>699</v>
      </c>
    </row>
    <row r="3" spans="1:8" x14ac:dyDescent="0.25">
      <c r="A3" t="s">
        <v>411</v>
      </c>
      <c r="B3" t="s">
        <v>700</v>
      </c>
      <c r="C3" t="s">
        <v>701</v>
      </c>
      <c r="D3" t="s">
        <v>702</v>
      </c>
      <c r="E3" t="s">
        <v>703</v>
      </c>
      <c r="F3" t="s">
        <v>704</v>
      </c>
      <c r="G3" t="s">
        <v>705</v>
      </c>
      <c r="H3" s="249" t="s">
        <v>196</v>
      </c>
    </row>
    <row r="4" spans="1:8" x14ac:dyDescent="0.25">
      <c r="A4" s="247" t="s">
        <v>798</v>
      </c>
      <c r="B4" s="63">
        <v>20</v>
      </c>
      <c r="C4" s="63">
        <v>35</v>
      </c>
      <c r="D4" s="63">
        <v>86</v>
      </c>
      <c r="E4" s="63">
        <v>49</v>
      </c>
      <c r="F4" s="63">
        <v>42</v>
      </c>
      <c r="G4" s="63">
        <v>84</v>
      </c>
      <c r="H4" s="249">
        <f>SUM(B4:G4)</f>
        <v>316</v>
      </c>
    </row>
    <row r="5" spans="1:8" x14ac:dyDescent="0.25">
      <c r="A5" s="247" t="s">
        <v>80</v>
      </c>
      <c r="B5" s="63">
        <v>26</v>
      </c>
      <c r="C5" s="63">
        <v>34</v>
      </c>
      <c r="D5" s="63">
        <v>106</v>
      </c>
      <c r="E5" s="63">
        <v>43</v>
      </c>
      <c r="F5" s="63">
        <v>30</v>
      </c>
      <c r="G5" s="63">
        <v>34</v>
      </c>
      <c r="H5" s="249">
        <f t="shared" ref="H5:H6" si="0">SUM(B5:G5)</f>
        <v>273</v>
      </c>
    </row>
    <row r="6" spans="1:8" x14ac:dyDescent="0.25">
      <c r="A6" s="250" t="s">
        <v>416</v>
      </c>
      <c r="B6" s="251">
        <v>46</v>
      </c>
      <c r="C6" s="251">
        <v>69</v>
      </c>
      <c r="D6" s="251">
        <v>192</v>
      </c>
      <c r="E6" s="251">
        <v>92</v>
      </c>
      <c r="F6" s="251">
        <v>72</v>
      </c>
      <c r="G6" s="252">
        <v>118</v>
      </c>
      <c r="H6" s="249">
        <f t="shared" si="0"/>
        <v>589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D6F9A-A355-4F96-9CE8-CD34FE99F395}">
  <dimension ref="A1:Y4"/>
  <sheetViews>
    <sheetView workbookViewId="0"/>
  </sheetViews>
  <sheetFormatPr defaultRowHeight="15" x14ac:dyDescent="0.25"/>
  <cols>
    <col min="1" max="1" width="22.28515625" bestFit="1" customWidth="1"/>
    <col min="2" max="2" width="31.2851562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799</v>
      </c>
    </row>
    <row r="3" spans="1:25" x14ac:dyDescent="0.25">
      <c r="A3" t="s">
        <v>179</v>
      </c>
      <c r="B3" t="s">
        <v>180</v>
      </c>
      <c r="C3" t="s">
        <v>181</v>
      </c>
      <c r="D3" t="s">
        <v>32</v>
      </c>
      <c r="E3" t="s">
        <v>182</v>
      </c>
      <c r="F3" t="s">
        <v>36</v>
      </c>
      <c r="G3" t="s">
        <v>38</v>
      </c>
      <c r="H3" t="s">
        <v>41</v>
      </c>
      <c r="I3" t="s">
        <v>183</v>
      </c>
      <c r="J3" t="s">
        <v>184</v>
      </c>
      <c r="K3" t="s">
        <v>55</v>
      </c>
      <c r="L3" t="s">
        <v>58</v>
      </c>
      <c r="M3" t="s">
        <v>185</v>
      </c>
      <c r="N3" t="s">
        <v>186</v>
      </c>
      <c r="O3" t="s">
        <v>187</v>
      </c>
      <c r="P3" t="s">
        <v>188</v>
      </c>
      <c r="Q3" t="s">
        <v>189</v>
      </c>
      <c r="R3" t="s">
        <v>190</v>
      </c>
      <c r="S3" t="s">
        <v>191</v>
      </c>
      <c r="T3" t="s">
        <v>192</v>
      </c>
      <c r="U3" t="s">
        <v>193</v>
      </c>
      <c r="V3" t="s">
        <v>194</v>
      </c>
      <c r="W3" t="s">
        <v>116</v>
      </c>
      <c r="X3" t="s">
        <v>195</v>
      </c>
      <c r="Y3" t="s">
        <v>196</v>
      </c>
    </row>
    <row r="4" spans="1:25" x14ac:dyDescent="0.25">
      <c r="A4" t="s">
        <v>200</v>
      </c>
      <c r="B4" t="s">
        <v>800</v>
      </c>
      <c r="C4" t="s">
        <v>801</v>
      </c>
      <c r="N4">
        <v>20</v>
      </c>
      <c r="S4">
        <v>5</v>
      </c>
      <c r="T4">
        <v>5</v>
      </c>
      <c r="Y4">
        <v>30</v>
      </c>
    </row>
  </sheetData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D5A3A-4960-406A-AACD-DCCCF53F6CA6}">
  <dimension ref="A1:Y16"/>
  <sheetViews>
    <sheetView workbookViewId="0"/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802</v>
      </c>
    </row>
    <row r="3" spans="1:25" x14ac:dyDescent="0.25">
      <c r="A3" t="s">
        <v>179</v>
      </c>
      <c r="B3" t="s">
        <v>180</v>
      </c>
      <c r="C3" t="s">
        <v>181</v>
      </c>
      <c r="D3" t="s">
        <v>32</v>
      </c>
      <c r="E3" t="s">
        <v>182</v>
      </c>
      <c r="F3" t="s">
        <v>36</v>
      </c>
      <c r="G3" t="s">
        <v>38</v>
      </c>
      <c r="H3" t="s">
        <v>41</v>
      </c>
      <c r="I3" t="s">
        <v>183</v>
      </c>
      <c r="J3" t="s">
        <v>184</v>
      </c>
      <c r="K3" t="s">
        <v>55</v>
      </c>
      <c r="L3" t="s">
        <v>58</v>
      </c>
      <c r="M3" t="s">
        <v>185</v>
      </c>
      <c r="N3" t="s">
        <v>186</v>
      </c>
      <c r="O3" t="s">
        <v>187</v>
      </c>
      <c r="P3" t="s">
        <v>188</v>
      </c>
      <c r="Q3" t="s">
        <v>189</v>
      </c>
      <c r="R3" t="s">
        <v>190</v>
      </c>
      <c r="S3" t="s">
        <v>191</v>
      </c>
      <c r="T3" t="s">
        <v>192</v>
      </c>
      <c r="U3" t="s">
        <v>193</v>
      </c>
      <c r="V3" t="s">
        <v>194</v>
      </c>
      <c r="W3" t="s">
        <v>116</v>
      </c>
      <c r="X3" t="s">
        <v>195</v>
      </c>
      <c r="Y3" t="s">
        <v>196</v>
      </c>
    </row>
    <row r="4" spans="1:25" x14ac:dyDescent="0.25">
      <c r="A4" t="s">
        <v>197</v>
      </c>
      <c r="B4" t="s">
        <v>263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209</v>
      </c>
      <c r="B5" t="s">
        <v>263</v>
      </c>
      <c r="C5">
        <v>6</v>
      </c>
      <c r="D5">
        <v>14</v>
      </c>
      <c r="E5">
        <v>1</v>
      </c>
      <c r="F5">
        <v>12</v>
      </c>
      <c r="G5">
        <v>1</v>
      </c>
      <c r="H5">
        <v>2</v>
      </c>
      <c r="I5">
        <v>0</v>
      </c>
      <c r="J5">
        <v>0</v>
      </c>
      <c r="K5">
        <v>3</v>
      </c>
      <c r="L5">
        <v>0</v>
      </c>
      <c r="M5">
        <v>0</v>
      </c>
      <c r="N5">
        <v>0</v>
      </c>
      <c r="O5">
        <v>3</v>
      </c>
      <c r="P5">
        <v>3</v>
      </c>
      <c r="Q5">
        <v>3</v>
      </c>
      <c r="R5">
        <v>0</v>
      </c>
      <c r="S5">
        <v>0</v>
      </c>
      <c r="T5">
        <v>0</v>
      </c>
      <c r="U5">
        <v>6</v>
      </c>
      <c r="V5">
        <v>0</v>
      </c>
      <c r="W5">
        <v>1</v>
      </c>
      <c r="X5">
        <v>0</v>
      </c>
      <c r="Y5">
        <v>55</v>
      </c>
    </row>
    <row r="6" spans="1:25" x14ac:dyDescent="0.25">
      <c r="A6" t="s">
        <v>205</v>
      </c>
      <c r="B6" t="s">
        <v>263</v>
      </c>
      <c r="C6">
        <v>1</v>
      </c>
      <c r="D6">
        <v>3</v>
      </c>
      <c r="E6">
        <v>1</v>
      </c>
      <c r="F6">
        <v>1</v>
      </c>
      <c r="G6">
        <v>1</v>
      </c>
      <c r="H6">
        <v>1</v>
      </c>
      <c r="I6">
        <v>2</v>
      </c>
      <c r="J6">
        <v>2</v>
      </c>
      <c r="O6">
        <v>5</v>
      </c>
      <c r="P6">
        <v>10</v>
      </c>
      <c r="Q6">
        <v>10</v>
      </c>
      <c r="R6">
        <v>4</v>
      </c>
      <c r="T6">
        <v>4</v>
      </c>
      <c r="V6">
        <v>2</v>
      </c>
      <c r="X6">
        <v>3</v>
      </c>
      <c r="Y6">
        <v>50</v>
      </c>
    </row>
    <row r="7" spans="1:25" x14ac:dyDescent="0.25">
      <c r="A7" t="s">
        <v>203</v>
      </c>
      <c r="B7" t="s">
        <v>263</v>
      </c>
      <c r="I7">
        <v>3</v>
      </c>
      <c r="J7">
        <v>1</v>
      </c>
      <c r="O7">
        <v>4</v>
      </c>
      <c r="U7">
        <v>2</v>
      </c>
      <c r="W7">
        <v>4</v>
      </c>
      <c r="Y7">
        <v>14</v>
      </c>
    </row>
    <row r="8" spans="1:25" x14ac:dyDescent="0.25">
      <c r="A8" t="s">
        <v>204</v>
      </c>
      <c r="B8" t="s">
        <v>263</v>
      </c>
      <c r="G8">
        <v>1</v>
      </c>
      <c r="I8">
        <v>3</v>
      </c>
      <c r="J8">
        <v>1</v>
      </c>
      <c r="O8">
        <v>1</v>
      </c>
      <c r="P8">
        <v>4</v>
      </c>
      <c r="Q8">
        <v>14</v>
      </c>
      <c r="R8">
        <v>1</v>
      </c>
      <c r="T8">
        <v>1</v>
      </c>
      <c r="U8">
        <v>1</v>
      </c>
      <c r="W8">
        <v>1</v>
      </c>
      <c r="Y8">
        <v>28</v>
      </c>
    </row>
    <row r="9" spans="1:25" x14ac:dyDescent="0.25">
      <c r="A9" t="s">
        <v>208</v>
      </c>
      <c r="B9" t="s">
        <v>263</v>
      </c>
      <c r="I9">
        <v>3</v>
      </c>
      <c r="J9">
        <v>3</v>
      </c>
      <c r="K9">
        <v>3</v>
      </c>
      <c r="M9">
        <v>3</v>
      </c>
      <c r="O9">
        <v>3</v>
      </c>
      <c r="P9">
        <v>4</v>
      </c>
      <c r="Q9">
        <v>4</v>
      </c>
      <c r="U9">
        <v>2</v>
      </c>
      <c r="W9">
        <v>3</v>
      </c>
      <c r="X9">
        <v>2</v>
      </c>
      <c r="Y9">
        <v>30</v>
      </c>
    </row>
    <row r="10" spans="1:25" x14ac:dyDescent="0.25">
      <c r="A10" t="s">
        <v>220</v>
      </c>
      <c r="B10" t="s">
        <v>263</v>
      </c>
      <c r="C10">
        <v>12</v>
      </c>
      <c r="D10">
        <v>4</v>
      </c>
      <c r="E10">
        <v>0</v>
      </c>
      <c r="F10">
        <v>0</v>
      </c>
      <c r="G10">
        <v>0</v>
      </c>
      <c r="H10">
        <v>0</v>
      </c>
      <c r="I10">
        <v>7</v>
      </c>
      <c r="J10">
        <v>9</v>
      </c>
      <c r="K10">
        <v>9</v>
      </c>
      <c r="L10">
        <v>0</v>
      </c>
      <c r="M10">
        <v>0</v>
      </c>
      <c r="N10">
        <v>0</v>
      </c>
      <c r="O10">
        <v>6</v>
      </c>
      <c r="P10">
        <v>6</v>
      </c>
      <c r="Q10">
        <v>11</v>
      </c>
      <c r="R10">
        <v>3</v>
      </c>
      <c r="S10">
        <v>2</v>
      </c>
      <c r="T10">
        <v>3</v>
      </c>
      <c r="U10">
        <v>9</v>
      </c>
      <c r="V10">
        <v>9</v>
      </c>
      <c r="W10">
        <v>6</v>
      </c>
      <c r="X10">
        <v>7</v>
      </c>
      <c r="Y10">
        <v>103</v>
      </c>
    </row>
    <row r="11" spans="1:25" x14ac:dyDescent="0.25">
      <c r="A11" t="s">
        <v>201</v>
      </c>
      <c r="B11" t="s">
        <v>263</v>
      </c>
      <c r="I11">
        <v>10</v>
      </c>
      <c r="K11">
        <v>10</v>
      </c>
      <c r="W11">
        <v>10</v>
      </c>
      <c r="Y11">
        <v>30</v>
      </c>
    </row>
    <row r="12" spans="1:25" x14ac:dyDescent="0.25">
      <c r="A12" t="s">
        <v>200</v>
      </c>
      <c r="B12" t="s">
        <v>263</v>
      </c>
      <c r="C12">
        <v>1</v>
      </c>
      <c r="D12">
        <v>23</v>
      </c>
      <c r="E12">
        <v>1</v>
      </c>
      <c r="F12">
        <v>11</v>
      </c>
      <c r="G12">
        <v>6</v>
      </c>
      <c r="H12">
        <v>10</v>
      </c>
      <c r="I12">
        <v>24</v>
      </c>
      <c r="J12">
        <v>47</v>
      </c>
      <c r="K12">
        <v>20</v>
      </c>
      <c r="M12">
        <v>24</v>
      </c>
      <c r="O12">
        <v>15</v>
      </c>
      <c r="P12">
        <v>11</v>
      </c>
      <c r="Q12">
        <v>95</v>
      </c>
      <c r="R12">
        <v>17</v>
      </c>
      <c r="S12">
        <v>3</v>
      </c>
      <c r="T12">
        <v>12</v>
      </c>
      <c r="U12">
        <v>5</v>
      </c>
      <c r="V12">
        <v>21</v>
      </c>
      <c r="W12">
        <v>89</v>
      </c>
      <c r="X12">
        <v>25</v>
      </c>
      <c r="Y12">
        <v>460</v>
      </c>
    </row>
    <row r="13" spans="1:25" x14ac:dyDescent="0.25">
      <c r="A13" t="s">
        <v>199</v>
      </c>
      <c r="B13" t="s">
        <v>263</v>
      </c>
      <c r="C13">
        <v>5</v>
      </c>
      <c r="D13">
        <v>9</v>
      </c>
      <c r="E13">
        <v>1</v>
      </c>
      <c r="F13">
        <v>2</v>
      </c>
      <c r="G13">
        <v>6</v>
      </c>
      <c r="H13">
        <v>12</v>
      </c>
      <c r="I13">
        <v>31</v>
      </c>
      <c r="J13">
        <v>13</v>
      </c>
      <c r="K13">
        <v>11</v>
      </c>
      <c r="N13">
        <v>2</v>
      </c>
      <c r="O13">
        <v>19</v>
      </c>
      <c r="P13">
        <v>5</v>
      </c>
      <c r="Q13">
        <v>6</v>
      </c>
      <c r="R13">
        <v>3</v>
      </c>
      <c r="S13">
        <v>5</v>
      </c>
      <c r="T13">
        <v>3</v>
      </c>
      <c r="U13">
        <v>6</v>
      </c>
      <c r="W13">
        <v>8</v>
      </c>
      <c r="Y13">
        <v>147</v>
      </c>
    </row>
    <row r="14" spans="1:25" x14ac:dyDescent="0.25">
      <c r="A14" t="s">
        <v>207</v>
      </c>
      <c r="B14" t="s">
        <v>263</v>
      </c>
      <c r="I14">
        <v>72</v>
      </c>
      <c r="J14">
        <v>11</v>
      </c>
      <c r="K14">
        <v>2</v>
      </c>
      <c r="O14">
        <v>1</v>
      </c>
      <c r="P14">
        <v>1</v>
      </c>
      <c r="U14">
        <v>11</v>
      </c>
      <c r="V14">
        <v>1</v>
      </c>
      <c r="W14">
        <v>30</v>
      </c>
      <c r="Y14">
        <v>129</v>
      </c>
    </row>
    <row r="15" spans="1:25" x14ac:dyDescent="0.25">
      <c r="A15" t="s">
        <v>202</v>
      </c>
      <c r="B15" t="s">
        <v>263</v>
      </c>
      <c r="Y15">
        <v>0</v>
      </c>
    </row>
    <row r="16" spans="1:25" x14ac:dyDescent="0.25">
      <c r="A16" t="s">
        <v>206</v>
      </c>
      <c r="B16" t="s">
        <v>263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70A6B-12D7-4919-A474-0D5AB46DF7F0}">
  <dimension ref="A1:Y16"/>
  <sheetViews>
    <sheetView workbookViewId="0"/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802</v>
      </c>
    </row>
    <row r="3" spans="1:25" x14ac:dyDescent="0.25">
      <c r="A3" t="s">
        <v>179</v>
      </c>
      <c r="B3" t="s">
        <v>180</v>
      </c>
      <c r="C3" t="s">
        <v>181</v>
      </c>
      <c r="D3" t="s">
        <v>32</v>
      </c>
      <c r="E3" t="s">
        <v>182</v>
      </c>
      <c r="F3" t="s">
        <v>36</v>
      </c>
      <c r="G3" t="s">
        <v>38</v>
      </c>
      <c r="H3" t="s">
        <v>41</v>
      </c>
      <c r="I3" t="s">
        <v>183</v>
      </c>
      <c r="J3" t="s">
        <v>184</v>
      </c>
      <c r="K3" t="s">
        <v>55</v>
      </c>
      <c r="L3" t="s">
        <v>58</v>
      </c>
      <c r="M3" t="s">
        <v>185</v>
      </c>
      <c r="N3" t="s">
        <v>186</v>
      </c>
      <c r="O3" t="s">
        <v>187</v>
      </c>
      <c r="P3" t="s">
        <v>188</v>
      </c>
      <c r="Q3" t="s">
        <v>189</v>
      </c>
      <c r="R3" t="s">
        <v>190</v>
      </c>
      <c r="S3" t="s">
        <v>191</v>
      </c>
      <c r="T3" t="s">
        <v>192</v>
      </c>
      <c r="U3" t="s">
        <v>193</v>
      </c>
      <c r="V3" t="s">
        <v>194</v>
      </c>
      <c r="W3" t="s">
        <v>116</v>
      </c>
      <c r="X3" t="s">
        <v>195</v>
      </c>
      <c r="Y3" t="s">
        <v>196</v>
      </c>
    </row>
    <row r="4" spans="1:25" x14ac:dyDescent="0.25">
      <c r="A4" t="s">
        <v>197</v>
      </c>
      <c r="B4" t="s">
        <v>263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209</v>
      </c>
      <c r="B5" t="s">
        <v>263</v>
      </c>
      <c r="C5">
        <v>6</v>
      </c>
      <c r="D5">
        <v>14</v>
      </c>
      <c r="E5">
        <v>1</v>
      </c>
      <c r="F5">
        <v>12</v>
      </c>
      <c r="G5">
        <v>1</v>
      </c>
      <c r="H5">
        <v>2</v>
      </c>
      <c r="I5">
        <v>0</v>
      </c>
      <c r="J5">
        <v>0</v>
      </c>
      <c r="K5">
        <v>3</v>
      </c>
      <c r="L5">
        <v>0</v>
      </c>
      <c r="M5">
        <v>0</v>
      </c>
      <c r="N5">
        <v>0</v>
      </c>
      <c r="O5">
        <v>3</v>
      </c>
      <c r="P5">
        <v>3</v>
      </c>
      <c r="Q5">
        <v>3</v>
      </c>
      <c r="R5">
        <v>0</v>
      </c>
      <c r="S5">
        <v>0</v>
      </c>
      <c r="T5">
        <v>0</v>
      </c>
      <c r="U5">
        <v>6</v>
      </c>
      <c r="V5">
        <v>0</v>
      </c>
      <c r="W5">
        <v>1</v>
      </c>
      <c r="X5">
        <v>0</v>
      </c>
      <c r="Y5">
        <v>55</v>
      </c>
    </row>
    <row r="6" spans="1:25" x14ac:dyDescent="0.25">
      <c r="A6" t="s">
        <v>205</v>
      </c>
      <c r="B6" t="s">
        <v>263</v>
      </c>
      <c r="C6">
        <v>1</v>
      </c>
      <c r="D6">
        <v>3</v>
      </c>
      <c r="E6">
        <v>1</v>
      </c>
      <c r="F6">
        <v>1</v>
      </c>
      <c r="G6">
        <v>1</v>
      </c>
      <c r="H6">
        <v>1</v>
      </c>
      <c r="I6">
        <v>2</v>
      </c>
      <c r="J6">
        <v>2</v>
      </c>
      <c r="O6">
        <v>5</v>
      </c>
      <c r="P6">
        <v>10</v>
      </c>
      <c r="Q6">
        <v>10</v>
      </c>
      <c r="R6">
        <v>4</v>
      </c>
      <c r="T6">
        <v>4</v>
      </c>
      <c r="V6">
        <v>2</v>
      </c>
      <c r="X6">
        <v>3</v>
      </c>
      <c r="Y6">
        <v>50</v>
      </c>
    </row>
    <row r="7" spans="1:25" x14ac:dyDescent="0.25">
      <c r="A7" t="s">
        <v>203</v>
      </c>
      <c r="B7" t="s">
        <v>263</v>
      </c>
      <c r="I7">
        <v>3</v>
      </c>
      <c r="J7">
        <v>1</v>
      </c>
      <c r="O7">
        <v>4</v>
      </c>
      <c r="U7">
        <v>2</v>
      </c>
      <c r="W7">
        <v>4</v>
      </c>
      <c r="Y7">
        <v>14</v>
      </c>
    </row>
    <row r="8" spans="1:25" x14ac:dyDescent="0.25">
      <c r="A8" t="s">
        <v>204</v>
      </c>
      <c r="B8" t="s">
        <v>263</v>
      </c>
      <c r="G8">
        <v>1</v>
      </c>
      <c r="I8">
        <v>3</v>
      </c>
      <c r="J8">
        <v>1</v>
      </c>
      <c r="O8">
        <v>1</v>
      </c>
      <c r="P8">
        <v>4</v>
      </c>
      <c r="Q8">
        <v>14</v>
      </c>
      <c r="R8">
        <v>1</v>
      </c>
      <c r="T8">
        <v>1</v>
      </c>
      <c r="U8">
        <v>1</v>
      </c>
      <c r="W8">
        <v>1</v>
      </c>
      <c r="Y8">
        <v>28</v>
      </c>
    </row>
    <row r="9" spans="1:25" x14ac:dyDescent="0.25">
      <c r="A9" t="s">
        <v>208</v>
      </c>
      <c r="B9" t="s">
        <v>263</v>
      </c>
      <c r="I9">
        <v>3</v>
      </c>
      <c r="J9">
        <v>3</v>
      </c>
      <c r="K9">
        <v>3</v>
      </c>
      <c r="M9">
        <v>3</v>
      </c>
      <c r="O9">
        <v>3</v>
      </c>
      <c r="P9">
        <v>4</v>
      </c>
      <c r="Q9">
        <v>4</v>
      </c>
      <c r="U9">
        <v>2</v>
      </c>
      <c r="W9">
        <v>3</v>
      </c>
      <c r="X9">
        <v>2</v>
      </c>
      <c r="Y9">
        <v>30</v>
      </c>
    </row>
    <row r="10" spans="1:25" x14ac:dyDescent="0.25">
      <c r="A10" t="s">
        <v>220</v>
      </c>
      <c r="B10" t="s">
        <v>263</v>
      </c>
      <c r="C10">
        <v>12</v>
      </c>
      <c r="D10">
        <v>4</v>
      </c>
      <c r="E10">
        <v>0</v>
      </c>
      <c r="F10">
        <v>0</v>
      </c>
      <c r="G10">
        <v>0</v>
      </c>
      <c r="H10">
        <v>0</v>
      </c>
      <c r="I10">
        <v>7</v>
      </c>
      <c r="J10">
        <v>9</v>
      </c>
      <c r="K10">
        <v>9</v>
      </c>
      <c r="L10">
        <v>0</v>
      </c>
      <c r="M10">
        <v>0</v>
      </c>
      <c r="N10">
        <v>0</v>
      </c>
      <c r="O10">
        <v>6</v>
      </c>
      <c r="P10">
        <v>6</v>
      </c>
      <c r="Q10">
        <v>11</v>
      </c>
      <c r="R10">
        <v>3</v>
      </c>
      <c r="S10">
        <v>2</v>
      </c>
      <c r="T10">
        <v>3</v>
      </c>
      <c r="U10">
        <v>9</v>
      </c>
      <c r="V10">
        <v>9</v>
      </c>
      <c r="W10">
        <v>6</v>
      </c>
      <c r="X10">
        <v>7</v>
      </c>
      <c r="Y10">
        <v>103</v>
      </c>
    </row>
    <row r="11" spans="1:25" x14ac:dyDescent="0.25">
      <c r="A11" t="s">
        <v>201</v>
      </c>
      <c r="B11" t="s">
        <v>263</v>
      </c>
      <c r="I11">
        <v>10</v>
      </c>
      <c r="K11">
        <v>10</v>
      </c>
      <c r="W11">
        <v>10</v>
      </c>
      <c r="Y11">
        <v>30</v>
      </c>
    </row>
    <row r="12" spans="1:25" x14ac:dyDescent="0.25">
      <c r="A12" t="s">
        <v>200</v>
      </c>
      <c r="B12" t="s">
        <v>263</v>
      </c>
      <c r="C12">
        <v>1</v>
      </c>
      <c r="D12">
        <v>23</v>
      </c>
      <c r="E12">
        <v>1</v>
      </c>
      <c r="F12">
        <v>11</v>
      </c>
      <c r="G12">
        <v>6</v>
      </c>
      <c r="H12">
        <v>10</v>
      </c>
      <c r="I12">
        <v>24</v>
      </c>
      <c r="J12">
        <v>47</v>
      </c>
      <c r="K12">
        <v>20</v>
      </c>
      <c r="M12">
        <v>24</v>
      </c>
      <c r="O12">
        <v>15</v>
      </c>
      <c r="P12">
        <v>11</v>
      </c>
      <c r="Q12">
        <v>95</v>
      </c>
      <c r="R12">
        <v>17</v>
      </c>
      <c r="S12">
        <v>3</v>
      </c>
      <c r="T12">
        <v>12</v>
      </c>
      <c r="U12">
        <v>5</v>
      </c>
      <c r="V12">
        <v>21</v>
      </c>
      <c r="W12">
        <v>89</v>
      </c>
      <c r="X12">
        <v>25</v>
      </c>
      <c r="Y12">
        <v>460</v>
      </c>
    </row>
    <row r="13" spans="1:25" x14ac:dyDescent="0.25">
      <c r="A13" t="s">
        <v>199</v>
      </c>
      <c r="B13" t="s">
        <v>263</v>
      </c>
      <c r="C13">
        <v>5</v>
      </c>
      <c r="D13">
        <v>9</v>
      </c>
      <c r="E13">
        <v>1</v>
      </c>
      <c r="F13">
        <v>2</v>
      </c>
      <c r="G13">
        <v>6</v>
      </c>
      <c r="H13">
        <v>12</v>
      </c>
      <c r="I13">
        <v>31</v>
      </c>
      <c r="J13">
        <v>13</v>
      </c>
      <c r="K13">
        <v>11</v>
      </c>
      <c r="N13">
        <v>2</v>
      </c>
      <c r="O13">
        <v>19</v>
      </c>
      <c r="P13">
        <v>5</v>
      </c>
      <c r="Q13">
        <v>6</v>
      </c>
      <c r="R13">
        <v>3</v>
      </c>
      <c r="S13">
        <v>5</v>
      </c>
      <c r="T13">
        <v>3</v>
      </c>
      <c r="U13">
        <v>6</v>
      </c>
      <c r="W13">
        <v>8</v>
      </c>
      <c r="Y13">
        <v>147</v>
      </c>
    </row>
    <row r="14" spans="1:25" x14ac:dyDescent="0.25">
      <c r="A14" t="s">
        <v>207</v>
      </c>
      <c r="B14" t="s">
        <v>263</v>
      </c>
      <c r="I14">
        <v>72</v>
      </c>
      <c r="J14">
        <v>11</v>
      </c>
      <c r="K14">
        <v>2</v>
      </c>
      <c r="O14">
        <v>1</v>
      </c>
      <c r="P14">
        <v>1</v>
      </c>
      <c r="U14">
        <v>11</v>
      </c>
      <c r="V14">
        <v>1</v>
      </c>
      <c r="W14">
        <v>30</v>
      </c>
      <c r="Y14">
        <v>129</v>
      </c>
    </row>
    <row r="15" spans="1:25" x14ac:dyDescent="0.25">
      <c r="A15" t="s">
        <v>202</v>
      </c>
      <c r="B15" t="s">
        <v>263</v>
      </c>
      <c r="Y15">
        <v>0</v>
      </c>
    </row>
    <row r="16" spans="1:25" x14ac:dyDescent="0.25">
      <c r="A16" t="s">
        <v>206</v>
      </c>
      <c r="B16" t="s">
        <v>263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D81D7-00DD-4BCA-AF69-F7131566648E}">
  <dimension ref="A1:Y15"/>
  <sheetViews>
    <sheetView workbookViewId="0">
      <pane xSplit="1" topLeftCell="B1" activePane="topRight" state="frozen"/>
      <selection pane="topRight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803</v>
      </c>
    </row>
    <row r="3" spans="1:25" x14ac:dyDescent="0.25">
      <c r="A3" t="s">
        <v>179</v>
      </c>
      <c r="B3" t="s">
        <v>180</v>
      </c>
      <c r="C3" t="s">
        <v>181</v>
      </c>
      <c r="D3" t="s">
        <v>32</v>
      </c>
      <c r="E3" t="s">
        <v>182</v>
      </c>
      <c r="F3" t="s">
        <v>36</v>
      </c>
      <c r="G3" t="s">
        <v>38</v>
      </c>
      <c r="H3" t="s">
        <v>41</v>
      </c>
      <c r="I3" t="s">
        <v>183</v>
      </c>
      <c r="J3" t="s">
        <v>184</v>
      </c>
      <c r="K3" t="s">
        <v>55</v>
      </c>
      <c r="L3" t="s">
        <v>58</v>
      </c>
      <c r="M3" t="s">
        <v>185</v>
      </c>
      <c r="N3" t="s">
        <v>186</v>
      </c>
      <c r="O3" t="s">
        <v>187</v>
      </c>
      <c r="P3" t="s">
        <v>188</v>
      </c>
      <c r="Q3" t="s">
        <v>189</v>
      </c>
      <c r="R3" t="s">
        <v>190</v>
      </c>
      <c r="S3" t="s">
        <v>191</v>
      </c>
      <c r="T3" t="s">
        <v>192</v>
      </c>
      <c r="U3" t="s">
        <v>193</v>
      </c>
      <c r="V3" t="s">
        <v>194</v>
      </c>
      <c r="W3" t="s">
        <v>116</v>
      </c>
      <c r="X3" t="s">
        <v>195</v>
      </c>
      <c r="Y3" t="s">
        <v>196</v>
      </c>
    </row>
    <row r="4" spans="1:25" x14ac:dyDescent="0.25">
      <c r="A4" t="s">
        <v>200</v>
      </c>
      <c r="B4" t="s">
        <v>274</v>
      </c>
      <c r="N4">
        <v>30</v>
      </c>
      <c r="P4">
        <v>90</v>
      </c>
      <c r="Q4">
        <v>30</v>
      </c>
      <c r="S4">
        <v>30</v>
      </c>
      <c r="V4">
        <v>30</v>
      </c>
      <c r="Y4">
        <v>210</v>
      </c>
    </row>
    <row r="5" spans="1:25" x14ac:dyDescent="0.25">
      <c r="A5" t="s">
        <v>201</v>
      </c>
      <c r="B5" t="s">
        <v>274</v>
      </c>
      <c r="I5">
        <v>3</v>
      </c>
      <c r="J5">
        <v>1</v>
      </c>
      <c r="K5">
        <v>1</v>
      </c>
      <c r="U5">
        <v>1</v>
      </c>
      <c r="W5">
        <v>1</v>
      </c>
      <c r="Y5">
        <v>7</v>
      </c>
    </row>
    <row r="6" spans="1:25" x14ac:dyDescent="0.25">
      <c r="A6" t="s">
        <v>197</v>
      </c>
      <c r="B6" t="s">
        <v>274</v>
      </c>
      <c r="C6">
        <v>7</v>
      </c>
      <c r="D6">
        <v>4</v>
      </c>
      <c r="E6">
        <v>3</v>
      </c>
      <c r="F6">
        <v>3</v>
      </c>
      <c r="G6">
        <v>5</v>
      </c>
      <c r="H6">
        <v>3</v>
      </c>
      <c r="I6">
        <v>241</v>
      </c>
      <c r="J6">
        <v>16</v>
      </c>
      <c r="K6">
        <v>5</v>
      </c>
      <c r="L6">
        <v>4</v>
      </c>
      <c r="M6">
        <v>2</v>
      </c>
      <c r="N6">
        <v>7</v>
      </c>
      <c r="O6">
        <v>13</v>
      </c>
      <c r="P6">
        <v>17</v>
      </c>
      <c r="Q6">
        <v>14</v>
      </c>
      <c r="R6">
        <v>7</v>
      </c>
      <c r="S6">
        <v>7</v>
      </c>
      <c r="T6">
        <v>7</v>
      </c>
      <c r="U6">
        <v>32</v>
      </c>
      <c r="V6">
        <v>12</v>
      </c>
      <c r="W6">
        <v>113</v>
      </c>
      <c r="X6">
        <v>7</v>
      </c>
      <c r="Y6">
        <v>529</v>
      </c>
    </row>
    <row r="7" spans="1:25" x14ac:dyDescent="0.25">
      <c r="A7" t="s">
        <v>202</v>
      </c>
      <c r="B7" t="s">
        <v>274</v>
      </c>
      <c r="Y7">
        <v>0</v>
      </c>
    </row>
    <row r="8" spans="1:25" x14ac:dyDescent="0.25">
      <c r="A8" t="s">
        <v>203</v>
      </c>
      <c r="B8" t="s">
        <v>274</v>
      </c>
      <c r="I8">
        <v>8</v>
      </c>
      <c r="O8">
        <v>8</v>
      </c>
      <c r="U8">
        <v>8</v>
      </c>
      <c r="W8">
        <v>10</v>
      </c>
      <c r="Y8">
        <v>34</v>
      </c>
    </row>
    <row r="9" spans="1:25" x14ac:dyDescent="0.25">
      <c r="A9" t="s">
        <v>204</v>
      </c>
      <c r="B9" t="s">
        <v>274</v>
      </c>
      <c r="D9">
        <v>1</v>
      </c>
      <c r="F9">
        <v>1</v>
      </c>
      <c r="I9">
        <v>15</v>
      </c>
      <c r="K9">
        <v>2</v>
      </c>
      <c r="O9">
        <v>5</v>
      </c>
      <c r="P9">
        <v>5</v>
      </c>
      <c r="Q9">
        <v>13</v>
      </c>
      <c r="W9">
        <v>1</v>
      </c>
      <c r="Y9">
        <v>43</v>
      </c>
    </row>
    <row r="10" spans="1:25" x14ac:dyDescent="0.25">
      <c r="A10" t="s">
        <v>205</v>
      </c>
      <c r="B10" t="s">
        <v>274</v>
      </c>
      <c r="I10">
        <v>6</v>
      </c>
      <c r="J10">
        <v>11</v>
      </c>
      <c r="K10">
        <v>1</v>
      </c>
      <c r="M10">
        <v>4</v>
      </c>
      <c r="N10">
        <v>6</v>
      </c>
      <c r="O10">
        <v>13</v>
      </c>
      <c r="P10">
        <v>8</v>
      </c>
      <c r="Q10">
        <v>9</v>
      </c>
      <c r="R10">
        <v>4</v>
      </c>
      <c r="S10">
        <v>4</v>
      </c>
      <c r="T10">
        <v>4</v>
      </c>
      <c r="U10">
        <v>8</v>
      </c>
      <c r="V10">
        <v>4</v>
      </c>
      <c r="W10">
        <v>9</v>
      </c>
      <c r="X10">
        <v>5</v>
      </c>
      <c r="Y10">
        <v>96</v>
      </c>
    </row>
    <row r="11" spans="1:25" x14ac:dyDescent="0.25">
      <c r="A11" t="s">
        <v>206</v>
      </c>
      <c r="B11" t="s">
        <v>274</v>
      </c>
      <c r="C11">
        <v>1</v>
      </c>
      <c r="D11">
        <v>2</v>
      </c>
      <c r="I11">
        <v>2</v>
      </c>
      <c r="J11">
        <v>1</v>
      </c>
      <c r="O11">
        <v>1</v>
      </c>
      <c r="U11">
        <v>1</v>
      </c>
      <c r="W11">
        <v>2</v>
      </c>
      <c r="Y11">
        <v>10</v>
      </c>
    </row>
    <row r="12" spans="1:25" x14ac:dyDescent="0.25">
      <c r="A12" t="s">
        <v>199</v>
      </c>
      <c r="B12" t="s">
        <v>274</v>
      </c>
      <c r="C12">
        <v>15</v>
      </c>
      <c r="D12">
        <v>30</v>
      </c>
      <c r="E12">
        <v>2</v>
      </c>
      <c r="F12">
        <v>3</v>
      </c>
      <c r="G12">
        <v>8</v>
      </c>
      <c r="H12">
        <v>18</v>
      </c>
      <c r="I12">
        <v>42</v>
      </c>
      <c r="J12">
        <v>14</v>
      </c>
      <c r="K12">
        <v>16</v>
      </c>
      <c r="L12">
        <v>2</v>
      </c>
      <c r="M12">
        <v>1</v>
      </c>
      <c r="O12">
        <v>11</v>
      </c>
      <c r="P12">
        <v>12</v>
      </c>
      <c r="Q12">
        <v>72</v>
      </c>
      <c r="R12">
        <v>6</v>
      </c>
      <c r="S12">
        <v>18</v>
      </c>
      <c r="U12">
        <v>2</v>
      </c>
      <c r="V12">
        <v>32</v>
      </c>
      <c r="W12">
        <v>10</v>
      </c>
      <c r="Y12">
        <v>314</v>
      </c>
    </row>
    <row r="13" spans="1:25" x14ac:dyDescent="0.25">
      <c r="A13" t="s">
        <v>207</v>
      </c>
      <c r="B13" t="s">
        <v>274</v>
      </c>
      <c r="I13">
        <v>10</v>
      </c>
      <c r="K13">
        <v>2</v>
      </c>
      <c r="O13">
        <v>1</v>
      </c>
      <c r="U13">
        <v>1</v>
      </c>
      <c r="W13">
        <v>10</v>
      </c>
      <c r="Y13">
        <v>24</v>
      </c>
    </row>
    <row r="14" spans="1:25" x14ac:dyDescent="0.25">
      <c r="A14" t="s">
        <v>208</v>
      </c>
      <c r="B14" t="s">
        <v>274</v>
      </c>
      <c r="C14">
        <v>2</v>
      </c>
      <c r="I14">
        <v>5</v>
      </c>
      <c r="J14">
        <v>5</v>
      </c>
      <c r="K14">
        <v>4</v>
      </c>
      <c r="L14">
        <v>1</v>
      </c>
      <c r="O14">
        <v>4</v>
      </c>
      <c r="P14">
        <v>7</v>
      </c>
      <c r="Q14">
        <v>5</v>
      </c>
      <c r="U14">
        <v>2</v>
      </c>
      <c r="W14">
        <v>2</v>
      </c>
      <c r="X14">
        <v>2</v>
      </c>
      <c r="Y14">
        <v>39</v>
      </c>
    </row>
    <row r="15" spans="1:25" x14ac:dyDescent="0.25">
      <c r="A15" t="s">
        <v>209</v>
      </c>
      <c r="B15" t="s">
        <v>274</v>
      </c>
      <c r="C15">
        <v>41</v>
      </c>
      <c r="D15">
        <v>1</v>
      </c>
      <c r="J15">
        <v>15</v>
      </c>
      <c r="O15">
        <v>5</v>
      </c>
      <c r="R15">
        <v>8</v>
      </c>
      <c r="U15">
        <v>17</v>
      </c>
      <c r="W15">
        <v>12</v>
      </c>
      <c r="Y15">
        <v>99</v>
      </c>
    </row>
  </sheetData>
  <pageMargins left="0.7" right="0.7" top="0.75" bottom="0.75" header="0.3" footer="0.3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EA243-A55D-4F6D-BE2B-1526FF8921D7}">
  <dimension ref="A1:Y16"/>
  <sheetViews>
    <sheetView workbookViewId="0">
      <pane xSplit="1" topLeftCell="B1" activePane="topRight" state="frozen"/>
      <selection pane="topRight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804</v>
      </c>
    </row>
    <row r="3" spans="1:25" x14ac:dyDescent="0.25">
      <c r="A3" t="s">
        <v>179</v>
      </c>
      <c r="B3" t="s">
        <v>180</v>
      </c>
      <c r="C3" t="s">
        <v>181</v>
      </c>
      <c r="D3" t="s">
        <v>32</v>
      </c>
      <c r="E3" t="s">
        <v>182</v>
      </c>
      <c r="F3" t="s">
        <v>36</v>
      </c>
      <c r="G3" t="s">
        <v>38</v>
      </c>
      <c r="H3" t="s">
        <v>41</v>
      </c>
      <c r="I3" t="s">
        <v>183</v>
      </c>
      <c r="J3" t="s">
        <v>184</v>
      </c>
      <c r="K3" t="s">
        <v>55</v>
      </c>
      <c r="L3" t="s">
        <v>58</v>
      </c>
      <c r="M3" t="s">
        <v>185</v>
      </c>
      <c r="N3" t="s">
        <v>186</v>
      </c>
      <c r="O3" t="s">
        <v>187</v>
      </c>
      <c r="P3" t="s">
        <v>188</v>
      </c>
      <c r="Q3" t="s">
        <v>189</v>
      </c>
      <c r="R3" t="s">
        <v>190</v>
      </c>
      <c r="S3" t="s">
        <v>191</v>
      </c>
      <c r="T3" t="s">
        <v>192</v>
      </c>
      <c r="U3" t="s">
        <v>193</v>
      </c>
      <c r="V3" t="s">
        <v>194</v>
      </c>
      <c r="W3" t="s">
        <v>116</v>
      </c>
      <c r="X3" t="s">
        <v>195</v>
      </c>
      <c r="Y3" t="s">
        <v>196</v>
      </c>
    </row>
    <row r="4" spans="1:25" x14ac:dyDescent="0.25">
      <c r="A4" t="s">
        <v>200</v>
      </c>
      <c r="B4" t="s">
        <v>343</v>
      </c>
      <c r="N4">
        <v>30</v>
      </c>
      <c r="P4">
        <v>30</v>
      </c>
      <c r="Q4">
        <v>30</v>
      </c>
      <c r="S4">
        <v>30</v>
      </c>
      <c r="V4">
        <v>30</v>
      </c>
      <c r="Y4">
        <v>150</v>
      </c>
    </row>
    <row r="5" spans="1:25" x14ac:dyDescent="0.25">
      <c r="A5" t="s">
        <v>201</v>
      </c>
      <c r="B5" t="s">
        <v>343</v>
      </c>
      <c r="Y5">
        <v>0</v>
      </c>
    </row>
    <row r="6" spans="1:25" x14ac:dyDescent="0.25">
      <c r="A6" t="s">
        <v>197</v>
      </c>
      <c r="B6" t="s">
        <v>343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</row>
    <row r="7" spans="1:25" x14ac:dyDescent="0.25">
      <c r="A7" t="s">
        <v>202</v>
      </c>
      <c r="B7" t="s">
        <v>343</v>
      </c>
      <c r="Y7">
        <v>0</v>
      </c>
    </row>
    <row r="8" spans="1:25" x14ac:dyDescent="0.25">
      <c r="A8" t="s">
        <v>220</v>
      </c>
      <c r="B8" t="s">
        <v>343</v>
      </c>
      <c r="C8">
        <v>3</v>
      </c>
      <c r="D8">
        <v>3</v>
      </c>
      <c r="E8">
        <v>3</v>
      </c>
      <c r="F8">
        <v>3</v>
      </c>
      <c r="G8">
        <v>3</v>
      </c>
      <c r="H8">
        <v>3</v>
      </c>
      <c r="I8">
        <v>3</v>
      </c>
      <c r="J8">
        <v>3</v>
      </c>
      <c r="K8">
        <v>3</v>
      </c>
      <c r="L8">
        <v>3</v>
      </c>
      <c r="M8">
        <v>3</v>
      </c>
      <c r="N8">
        <v>3</v>
      </c>
      <c r="O8">
        <v>3</v>
      </c>
      <c r="P8">
        <v>3</v>
      </c>
      <c r="Q8">
        <v>3</v>
      </c>
      <c r="R8">
        <v>3</v>
      </c>
      <c r="S8">
        <v>3</v>
      </c>
      <c r="T8">
        <v>3</v>
      </c>
      <c r="U8">
        <v>3</v>
      </c>
      <c r="V8">
        <v>3</v>
      </c>
      <c r="W8">
        <v>3</v>
      </c>
      <c r="X8">
        <v>3</v>
      </c>
      <c r="Y8">
        <v>66</v>
      </c>
    </row>
    <row r="9" spans="1:25" x14ac:dyDescent="0.25">
      <c r="A9" t="s">
        <v>203</v>
      </c>
      <c r="B9" t="s">
        <v>343</v>
      </c>
      <c r="Y9">
        <v>0</v>
      </c>
    </row>
    <row r="10" spans="1:25" x14ac:dyDescent="0.25">
      <c r="A10" t="s">
        <v>204</v>
      </c>
      <c r="B10" t="s">
        <v>343</v>
      </c>
      <c r="Y10">
        <v>0</v>
      </c>
    </row>
    <row r="11" spans="1:25" x14ac:dyDescent="0.25">
      <c r="A11" t="s">
        <v>205</v>
      </c>
      <c r="B11" t="s">
        <v>343</v>
      </c>
      <c r="Y11">
        <v>0</v>
      </c>
    </row>
    <row r="12" spans="1:25" x14ac:dyDescent="0.25">
      <c r="A12" t="s">
        <v>206</v>
      </c>
      <c r="B12" t="s">
        <v>343</v>
      </c>
      <c r="Y12">
        <v>0</v>
      </c>
    </row>
    <row r="13" spans="1:25" x14ac:dyDescent="0.25">
      <c r="A13" t="s">
        <v>199</v>
      </c>
      <c r="B13" t="s">
        <v>343</v>
      </c>
      <c r="C13">
        <v>2</v>
      </c>
      <c r="D13">
        <v>4</v>
      </c>
      <c r="E13">
        <v>1</v>
      </c>
      <c r="F13">
        <v>3</v>
      </c>
      <c r="I13">
        <v>20</v>
      </c>
      <c r="J13">
        <v>2</v>
      </c>
      <c r="K13">
        <v>1</v>
      </c>
      <c r="O13">
        <v>1</v>
      </c>
      <c r="R13">
        <v>1</v>
      </c>
      <c r="S13">
        <v>2</v>
      </c>
      <c r="V13">
        <v>5</v>
      </c>
      <c r="W13">
        <v>1</v>
      </c>
      <c r="Y13">
        <v>43</v>
      </c>
    </row>
    <row r="14" spans="1:25" x14ac:dyDescent="0.25">
      <c r="A14" t="s">
        <v>207</v>
      </c>
      <c r="B14" t="s">
        <v>343</v>
      </c>
      <c r="Y14">
        <v>0</v>
      </c>
    </row>
    <row r="15" spans="1:25" x14ac:dyDescent="0.25">
      <c r="A15" t="s">
        <v>208</v>
      </c>
      <c r="B15" t="s">
        <v>343</v>
      </c>
      <c r="Y15">
        <v>0</v>
      </c>
    </row>
    <row r="16" spans="1:25" x14ac:dyDescent="0.25">
      <c r="A16" t="s">
        <v>209</v>
      </c>
      <c r="B16" t="s">
        <v>343</v>
      </c>
      <c r="Y16">
        <v>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E3317-33E4-4429-8800-0B69D62EC4D0}">
  <sheetPr>
    <tabColor rgb="FFFF0000"/>
  </sheetPr>
  <dimension ref="A3:XEX33"/>
  <sheetViews>
    <sheetView workbookViewId="0">
      <selection activeCell="F24" sqref="F24"/>
    </sheetView>
  </sheetViews>
  <sheetFormatPr defaultColWidth="14.28515625" defaultRowHeight="15" x14ac:dyDescent="0.25"/>
  <cols>
    <col min="2" max="2" width="61" customWidth="1"/>
    <col min="4" max="4" width="10.5703125" customWidth="1"/>
    <col min="5" max="5" width="15.5703125" customWidth="1"/>
  </cols>
  <sheetData>
    <row r="3" spans="1:16378" s="220" customFormat="1" x14ac:dyDescent="0.25">
      <c r="A3" s="220" t="s">
        <v>129</v>
      </c>
      <c r="B3" s="220" t="s">
        <v>130</v>
      </c>
      <c r="C3" s="220" t="s">
        <v>11</v>
      </c>
      <c r="D3" s="220" t="s">
        <v>131</v>
      </c>
      <c r="E3" s="220" t="s">
        <v>132</v>
      </c>
      <c r="F3" s="220" t="s">
        <v>133</v>
      </c>
      <c r="G3" s="220" t="s">
        <v>134</v>
      </c>
      <c r="H3" s="220" t="s">
        <v>135</v>
      </c>
      <c r="I3" s="220" t="s">
        <v>136</v>
      </c>
      <c r="J3" s="220" t="s">
        <v>137</v>
      </c>
      <c r="K3" s="220" t="s">
        <v>138</v>
      </c>
      <c r="L3" s="220" t="s">
        <v>139</v>
      </c>
      <c r="M3" s="220" t="s">
        <v>140</v>
      </c>
      <c r="N3" s="220" t="s">
        <v>141</v>
      </c>
      <c r="O3" s="220" t="s">
        <v>142</v>
      </c>
      <c r="P3" s="220" t="s">
        <v>143</v>
      </c>
      <c r="Q3" s="220" t="s">
        <v>144</v>
      </c>
      <c r="R3" s="220" t="s">
        <v>145</v>
      </c>
      <c r="S3" s="220" t="s">
        <v>146</v>
      </c>
      <c r="T3" s="220" t="s">
        <v>147</v>
      </c>
      <c r="U3" s="220" t="s">
        <v>148</v>
      </c>
      <c r="V3" s="220" t="s">
        <v>149</v>
      </c>
      <c r="W3" s="220" t="s">
        <v>150</v>
      </c>
      <c r="X3" s="220" t="s">
        <v>151</v>
      </c>
      <c r="Y3" s="220" t="s">
        <v>152</v>
      </c>
      <c r="Z3" s="220" t="s">
        <v>153</v>
      </c>
      <c r="AA3" s="220" t="s">
        <v>154</v>
      </c>
      <c r="AB3" s="220" t="s">
        <v>155</v>
      </c>
      <c r="AC3" s="220" t="s">
        <v>156</v>
      </c>
      <c r="AD3" s="220" t="s">
        <v>157</v>
      </c>
      <c r="AE3" s="220" t="s">
        <v>158</v>
      </c>
    </row>
    <row r="4" spans="1:16378" x14ac:dyDescent="0.25">
      <c r="A4" s="430"/>
      <c r="B4" s="468" t="s">
        <v>159</v>
      </c>
      <c r="C4" s="466" t="s">
        <v>160</v>
      </c>
      <c r="D4" s="466" t="s">
        <v>161</v>
      </c>
      <c r="E4" s="468" t="s">
        <v>162</v>
      </c>
      <c r="F4" s="326">
        <v>45973</v>
      </c>
      <c r="G4" s="326">
        <v>45974</v>
      </c>
      <c r="H4" s="317" t="s">
        <v>163</v>
      </c>
      <c r="I4" s="318">
        <v>0.33333333333333331</v>
      </c>
      <c r="J4" s="318"/>
      <c r="K4" s="344"/>
      <c r="L4" s="317"/>
      <c r="M4" s="317"/>
      <c r="N4" s="317"/>
      <c r="O4" s="317"/>
      <c r="P4" s="320" t="s">
        <v>164</v>
      </c>
      <c r="Q4" s="320"/>
      <c r="R4" s="321"/>
      <c r="S4" s="316">
        <v>30</v>
      </c>
      <c r="T4" s="322">
        <v>16</v>
      </c>
      <c r="U4" s="323">
        <v>2</v>
      </c>
      <c r="V4" s="324">
        <v>0</v>
      </c>
      <c r="W4" s="322"/>
      <c r="X4" s="322"/>
      <c r="Y4" s="323"/>
      <c r="Z4" s="323"/>
      <c r="AA4" s="316"/>
      <c r="AB4" s="316"/>
      <c r="AC4" s="316"/>
      <c r="AD4" s="316"/>
      <c r="AE4" s="316"/>
      <c r="AF4" s="322">
        <v>1</v>
      </c>
      <c r="AG4" s="334" t="s">
        <v>165</v>
      </c>
      <c r="AH4" s="325"/>
      <c r="AI4" s="325"/>
      <c r="AJ4" s="325"/>
      <c r="AK4" s="325"/>
      <c r="AL4" s="325"/>
      <c r="AM4" s="325"/>
      <c r="AN4" s="325"/>
      <c r="AO4" s="325"/>
      <c r="AP4" s="325"/>
      <c r="AQ4" s="325"/>
      <c r="AR4" s="325"/>
      <c r="AS4" s="325"/>
      <c r="AT4" s="325"/>
      <c r="AU4" s="325"/>
      <c r="AV4" s="325"/>
      <c r="AW4" s="325"/>
      <c r="AX4" s="325"/>
      <c r="AY4" s="325"/>
      <c r="AZ4" s="325"/>
      <c r="BA4" s="325"/>
      <c r="BB4" s="325"/>
      <c r="BC4" s="325"/>
      <c r="BD4" s="325"/>
      <c r="BE4" s="325"/>
      <c r="BF4" s="325"/>
      <c r="BG4" s="325"/>
      <c r="BH4" s="325"/>
      <c r="BI4" s="325"/>
      <c r="BJ4" s="325"/>
      <c r="BK4" s="325"/>
      <c r="BL4" s="325"/>
      <c r="BM4" s="325"/>
      <c r="BN4" s="325"/>
      <c r="BO4" s="325"/>
      <c r="BP4" s="325"/>
      <c r="BQ4" s="325"/>
      <c r="BR4" s="325"/>
      <c r="BS4" s="325"/>
      <c r="BT4" s="325"/>
      <c r="BU4" s="325"/>
      <c r="BV4" s="325"/>
      <c r="BW4" s="325"/>
      <c r="BX4" s="325"/>
      <c r="BY4" s="325"/>
      <c r="BZ4" s="325"/>
      <c r="CA4" s="325"/>
      <c r="CB4" s="325"/>
      <c r="CC4" s="325"/>
      <c r="CD4" s="325"/>
      <c r="CE4" s="325"/>
      <c r="CF4" s="325"/>
      <c r="CG4" s="325"/>
      <c r="CH4" s="325"/>
      <c r="CI4" s="325"/>
      <c r="CJ4" s="325"/>
      <c r="CK4" s="325"/>
      <c r="CL4" s="325"/>
      <c r="CM4" s="325"/>
      <c r="CN4" s="325"/>
      <c r="CO4" s="325"/>
      <c r="CP4" s="325"/>
      <c r="CQ4" s="325"/>
      <c r="CR4" s="325"/>
      <c r="CS4" s="325"/>
      <c r="CT4" s="325"/>
      <c r="CU4" s="325"/>
      <c r="CV4" s="325"/>
      <c r="CW4" s="325"/>
      <c r="CX4" s="325"/>
      <c r="CY4" s="325"/>
      <c r="CZ4" s="325"/>
      <c r="DA4" s="325"/>
      <c r="DB4" s="325"/>
      <c r="DC4" s="325"/>
      <c r="DD4" s="325"/>
      <c r="DE4" s="325"/>
      <c r="DF4" s="325"/>
      <c r="DG4" s="325"/>
      <c r="DH4" s="325"/>
      <c r="DI4" s="325"/>
      <c r="DJ4" s="325"/>
      <c r="DK4" s="325"/>
      <c r="DL4" s="325"/>
      <c r="DM4" s="325"/>
      <c r="DN4" s="325"/>
      <c r="DO4" s="325"/>
      <c r="DP4" s="325"/>
      <c r="DQ4" s="325"/>
      <c r="DR4" s="325"/>
      <c r="DS4" s="325"/>
      <c r="DT4" s="325"/>
      <c r="DU4" s="325"/>
      <c r="DV4" s="325"/>
      <c r="DW4" s="325"/>
      <c r="DX4" s="325"/>
      <c r="DY4" s="325"/>
      <c r="DZ4" s="325"/>
      <c r="EA4" s="325"/>
      <c r="EB4" s="325"/>
      <c r="EC4" s="325"/>
      <c r="ED4" s="325"/>
      <c r="EE4" s="325"/>
      <c r="EF4" s="325"/>
      <c r="EG4" s="325"/>
      <c r="EH4" s="325"/>
      <c r="EI4" s="325"/>
      <c r="EJ4" s="325"/>
      <c r="EK4" s="325"/>
      <c r="EL4" s="325"/>
      <c r="EM4" s="325"/>
      <c r="EN4" s="325"/>
      <c r="EO4" s="325"/>
      <c r="EP4" s="325"/>
      <c r="EQ4" s="325"/>
      <c r="ER4" s="325"/>
      <c r="ES4" s="325"/>
      <c r="ET4" s="325"/>
      <c r="EU4" s="325"/>
      <c r="EV4" s="325"/>
      <c r="EW4" s="325"/>
      <c r="EX4" s="325"/>
      <c r="EY4" s="325"/>
      <c r="EZ4" s="325"/>
      <c r="FA4" s="325"/>
      <c r="FB4" s="325"/>
      <c r="FC4" s="325"/>
      <c r="FD4" s="325"/>
      <c r="FE4" s="325"/>
      <c r="FF4" s="325"/>
      <c r="FG4" s="325"/>
      <c r="FH4" s="325"/>
      <c r="FI4" s="325"/>
      <c r="FJ4" s="325"/>
      <c r="FK4" s="325"/>
      <c r="FL4" s="325"/>
      <c r="FM4" s="325"/>
      <c r="FN4" s="325"/>
      <c r="FO4" s="325"/>
      <c r="FP4" s="325"/>
      <c r="FQ4" s="325"/>
      <c r="FR4" s="325"/>
      <c r="FS4" s="325"/>
      <c r="FT4" s="325"/>
      <c r="FU4" s="325"/>
      <c r="FV4" s="325"/>
      <c r="FW4" s="325"/>
      <c r="FX4" s="325"/>
      <c r="FY4" s="325"/>
      <c r="FZ4" s="325"/>
      <c r="GA4" s="325"/>
      <c r="GB4" s="325"/>
      <c r="GC4" s="325"/>
      <c r="GD4" s="325"/>
      <c r="GE4" s="325"/>
      <c r="GF4" s="325"/>
      <c r="GG4" s="325"/>
      <c r="GH4" s="325"/>
      <c r="GI4" s="325"/>
      <c r="GJ4" s="325"/>
      <c r="GK4" s="325"/>
      <c r="GL4" s="325"/>
      <c r="GM4" s="325"/>
      <c r="GN4" s="325"/>
      <c r="GO4" s="325"/>
      <c r="GP4" s="325"/>
      <c r="GQ4" s="325"/>
      <c r="GR4" s="325"/>
      <c r="GS4" s="325"/>
      <c r="GT4" s="325"/>
      <c r="GU4" s="325"/>
      <c r="GV4" s="325"/>
      <c r="GW4" s="325"/>
      <c r="GX4" s="325"/>
      <c r="GY4" s="325"/>
      <c r="GZ4" s="325"/>
      <c r="HA4" s="325"/>
      <c r="HB4" s="325"/>
      <c r="HC4" s="325"/>
      <c r="HD4" s="325"/>
      <c r="HE4" s="325"/>
      <c r="HF4" s="325"/>
      <c r="HG4" s="325"/>
      <c r="HH4" s="325"/>
      <c r="HI4" s="325"/>
      <c r="HJ4" s="325"/>
      <c r="HK4" s="325"/>
      <c r="HL4" s="325"/>
      <c r="HM4" s="325"/>
      <c r="HN4" s="325"/>
      <c r="HO4" s="325"/>
      <c r="HP4" s="325"/>
      <c r="HQ4" s="325"/>
      <c r="HR4" s="325"/>
      <c r="HS4" s="325"/>
      <c r="HT4" s="325"/>
      <c r="HU4" s="325"/>
      <c r="HV4" s="325"/>
      <c r="HW4" s="325"/>
      <c r="HX4" s="325"/>
      <c r="HY4" s="325"/>
      <c r="HZ4" s="325"/>
      <c r="IA4" s="325"/>
      <c r="IB4" s="325"/>
      <c r="IC4" s="325"/>
      <c r="ID4" s="325"/>
      <c r="IE4" s="325"/>
      <c r="IF4" s="325"/>
      <c r="IG4" s="325"/>
      <c r="IH4" s="325"/>
      <c r="II4" s="325"/>
      <c r="IJ4" s="325"/>
      <c r="IK4" s="325"/>
      <c r="IL4" s="325"/>
      <c r="IM4" s="325"/>
      <c r="IN4" s="325"/>
      <c r="IO4" s="325"/>
      <c r="IP4" s="325"/>
      <c r="IQ4" s="325"/>
      <c r="IR4" s="325"/>
      <c r="IS4" s="325"/>
      <c r="IT4" s="325"/>
      <c r="IU4" s="325"/>
      <c r="IV4" s="325"/>
      <c r="IW4" s="325"/>
      <c r="IX4" s="325"/>
      <c r="IY4" s="325"/>
      <c r="IZ4" s="325"/>
      <c r="JA4" s="325"/>
      <c r="JB4" s="325"/>
      <c r="JC4" s="325"/>
      <c r="JD4" s="325"/>
      <c r="JE4" s="325"/>
      <c r="JF4" s="325"/>
      <c r="JG4" s="325"/>
      <c r="JH4" s="325"/>
      <c r="JI4" s="325"/>
      <c r="JJ4" s="325"/>
      <c r="JK4" s="325"/>
      <c r="JL4" s="325"/>
      <c r="JM4" s="325"/>
      <c r="JN4" s="325"/>
      <c r="JO4" s="325"/>
      <c r="JP4" s="325"/>
      <c r="JQ4" s="325"/>
      <c r="JR4" s="325"/>
      <c r="JS4" s="325"/>
      <c r="JT4" s="325"/>
      <c r="JU4" s="325"/>
      <c r="JV4" s="325"/>
      <c r="JW4" s="325"/>
      <c r="JX4" s="325"/>
      <c r="JY4" s="325"/>
      <c r="JZ4" s="325"/>
      <c r="KA4" s="325"/>
      <c r="KB4" s="325"/>
      <c r="KC4" s="325"/>
      <c r="KD4" s="325"/>
      <c r="KE4" s="325"/>
      <c r="KF4" s="325"/>
      <c r="KG4" s="325"/>
      <c r="KH4" s="325"/>
      <c r="KI4" s="325"/>
      <c r="KJ4" s="325"/>
      <c r="KK4" s="325"/>
      <c r="KL4" s="325"/>
      <c r="KM4" s="325"/>
      <c r="KN4" s="325"/>
      <c r="KO4" s="325"/>
      <c r="KP4" s="325"/>
      <c r="KQ4" s="325"/>
      <c r="KR4" s="325"/>
      <c r="KS4" s="325"/>
      <c r="KT4" s="325"/>
      <c r="KU4" s="325"/>
      <c r="KV4" s="325"/>
      <c r="KW4" s="325"/>
      <c r="KX4" s="325"/>
      <c r="KY4" s="325"/>
      <c r="KZ4" s="325"/>
      <c r="LA4" s="325"/>
      <c r="LB4" s="325"/>
      <c r="LC4" s="325"/>
      <c r="LD4" s="325"/>
      <c r="LE4" s="325"/>
      <c r="LF4" s="325"/>
      <c r="LG4" s="325"/>
      <c r="LH4" s="325"/>
      <c r="LI4" s="325"/>
      <c r="LJ4" s="325"/>
      <c r="LK4" s="325"/>
      <c r="LL4" s="325"/>
      <c r="LM4" s="325"/>
      <c r="LN4" s="325"/>
      <c r="LO4" s="325"/>
      <c r="LP4" s="325"/>
      <c r="LQ4" s="325"/>
      <c r="LR4" s="325"/>
      <c r="LS4" s="325"/>
      <c r="LT4" s="325"/>
      <c r="LU4" s="325"/>
      <c r="LV4" s="325"/>
      <c r="LW4" s="325"/>
      <c r="LX4" s="325"/>
      <c r="LY4" s="325"/>
      <c r="LZ4" s="325"/>
      <c r="MA4" s="325"/>
      <c r="MB4" s="325"/>
      <c r="MC4" s="325"/>
      <c r="MD4" s="325"/>
      <c r="ME4" s="325"/>
      <c r="MF4" s="325"/>
      <c r="MG4" s="325"/>
      <c r="MH4" s="325"/>
      <c r="MI4" s="325"/>
      <c r="MJ4" s="325"/>
      <c r="MK4" s="325"/>
      <c r="ML4" s="325"/>
      <c r="MM4" s="325"/>
      <c r="MN4" s="325"/>
      <c r="MO4" s="325"/>
      <c r="MP4" s="325"/>
      <c r="MQ4" s="325"/>
      <c r="MR4" s="325"/>
      <c r="MS4" s="325"/>
      <c r="MT4" s="325"/>
      <c r="MU4" s="325"/>
      <c r="MV4" s="325"/>
      <c r="MW4" s="325"/>
      <c r="MX4" s="325"/>
      <c r="MY4" s="325"/>
      <c r="MZ4" s="325"/>
      <c r="NA4" s="325"/>
      <c r="NB4" s="325"/>
      <c r="NC4" s="325"/>
      <c r="ND4" s="325"/>
      <c r="NE4" s="325"/>
      <c r="NF4" s="325"/>
      <c r="NG4" s="325"/>
      <c r="NH4" s="325"/>
      <c r="NI4" s="325"/>
      <c r="NJ4" s="325"/>
      <c r="NK4" s="325"/>
      <c r="NL4" s="325"/>
      <c r="NM4" s="325"/>
      <c r="NN4" s="325"/>
      <c r="NO4" s="325"/>
      <c r="NP4" s="325"/>
      <c r="NQ4" s="325"/>
      <c r="NR4" s="325"/>
      <c r="NS4" s="325"/>
      <c r="NT4" s="325"/>
      <c r="NU4" s="325"/>
      <c r="NV4" s="325"/>
      <c r="NW4" s="325"/>
      <c r="NX4" s="325"/>
      <c r="NY4" s="325"/>
      <c r="NZ4" s="325"/>
      <c r="OA4" s="325"/>
      <c r="OB4" s="325"/>
      <c r="OC4" s="325"/>
      <c r="OD4" s="325"/>
      <c r="OE4" s="325"/>
      <c r="OF4" s="325"/>
      <c r="OG4" s="325"/>
      <c r="OH4" s="325"/>
      <c r="OI4" s="325"/>
      <c r="OJ4" s="325"/>
      <c r="OK4" s="325"/>
      <c r="OL4" s="325"/>
      <c r="OM4" s="325"/>
      <c r="ON4" s="325"/>
      <c r="OO4" s="325"/>
      <c r="OP4" s="325"/>
      <c r="OQ4" s="325"/>
      <c r="OR4" s="325"/>
      <c r="OS4" s="325"/>
      <c r="OT4" s="325"/>
      <c r="OU4" s="325"/>
      <c r="OV4" s="325"/>
      <c r="OW4" s="325"/>
      <c r="OX4" s="325"/>
      <c r="OY4" s="325"/>
      <c r="OZ4" s="325"/>
      <c r="PA4" s="325"/>
      <c r="PB4" s="325"/>
      <c r="PC4" s="325"/>
      <c r="PD4" s="325"/>
      <c r="PE4" s="325"/>
      <c r="PF4" s="325"/>
      <c r="PG4" s="325"/>
      <c r="PH4" s="325"/>
      <c r="PI4" s="325"/>
      <c r="PJ4" s="325"/>
      <c r="PK4" s="325"/>
      <c r="PL4" s="325"/>
      <c r="PM4" s="325"/>
      <c r="PN4" s="325"/>
      <c r="PO4" s="325"/>
      <c r="PP4" s="325"/>
      <c r="PQ4" s="325"/>
      <c r="PR4" s="325"/>
      <c r="PS4" s="325"/>
      <c r="PT4" s="325"/>
      <c r="PU4" s="325"/>
      <c r="PV4" s="325"/>
      <c r="PW4" s="325"/>
      <c r="PX4" s="325"/>
      <c r="PY4" s="325"/>
      <c r="PZ4" s="325"/>
      <c r="QA4" s="325"/>
      <c r="QB4" s="325"/>
      <c r="QC4" s="325"/>
      <c r="QD4" s="325"/>
      <c r="QE4" s="325"/>
      <c r="QF4" s="325"/>
      <c r="QG4" s="325"/>
      <c r="QH4" s="325"/>
      <c r="QI4" s="325"/>
      <c r="QJ4" s="325"/>
      <c r="QK4" s="325"/>
      <c r="QL4" s="325"/>
      <c r="QM4" s="325"/>
      <c r="QN4" s="325"/>
      <c r="QO4" s="325"/>
      <c r="QP4" s="325"/>
      <c r="QQ4" s="325"/>
      <c r="QR4" s="325"/>
      <c r="QS4" s="325"/>
      <c r="QT4" s="325"/>
      <c r="QU4" s="325"/>
      <c r="QV4" s="325"/>
      <c r="QW4" s="325"/>
      <c r="QX4" s="325"/>
      <c r="QY4" s="325"/>
      <c r="QZ4" s="325"/>
      <c r="RA4" s="325"/>
      <c r="RB4" s="325"/>
      <c r="RC4" s="325"/>
      <c r="RD4" s="325"/>
      <c r="RE4" s="325"/>
      <c r="RF4" s="325"/>
      <c r="RG4" s="325"/>
      <c r="RH4" s="325"/>
      <c r="RI4" s="325"/>
      <c r="RJ4" s="325"/>
      <c r="RK4" s="325"/>
      <c r="RL4" s="325"/>
      <c r="RM4" s="325"/>
      <c r="RN4" s="325"/>
      <c r="RO4" s="325"/>
      <c r="RP4" s="325"/>
      <c r="RQ4" s="325"/>
      <c r="RR4" s="325"/>
      <c r="RS4" s="325"/>
      <c r="RT4" s="325"/>
      <c r="RU4" s="325"/>
      <c r="RV4" s="325"/>
      <c r="RW4" s="325"/>
      <c r="RX4" s="325"/>
      <c r="RY4" s="325"/>
      <c r="RZ4" s="325"/>
      <c r="SA4" s="325"/>
      <c r="SB4" s="325"/>
      <c r="SC4" s="325"/>
      <c r="SD4" s="325"/>
      <c r="SE4" s="325"/>
      <c r="SF4" s="325"/>
      <c r="SG4" s="325"/>
      <c r="SH4" s="325"/>
      <c r="SI4" s="325"/>
      <c r="SJ4" s="325"/>
      <c r="SK4" s="325"/>
      <c r="SL4" s="325"/>
      <c r="SM4" s="325"/>
      <c r="SN4" s="325"/>
      <c r="SO4" s="325"/>
      <c r="SP4" s="325"/>
      <c r="SQ4" s="325"/>
      <c r="SR4" s="325"/>
      <c r="SS4" s="325"/>
      <c r="ST4" s="325"/>
      <c r="SU4" s="325"/>
      <c r="SV4" s="325"/>
      <c r="SW4" s="325"/>
      <c r="SX4" s="325"/>
      <c r="SY4" s="325"/>
      <c r="SZ4" s="325"/>
      <c r="TA4" s="325"/>
      <c r="TB4" s="325"/>
      <c r="TC4" s="325"/>
      <c r="TD4" s="325"/>
      <c r="TE4" s="325"/>
      <c r="TF4" s="325"/>
      <c r="TG4" s="325"/>
      <c r="TH4" s="325"/>
      <c r="TI4" s="325"/>
      <c r="TJ4" s="325"/>
      <c r="TK4" s="325"/>
      <c r="TL4" s="325"/>
      <c r="TM4" s="325"/>
      <c r="TN4" s="325"/>
      <c r="TO4" s="325"/>
      <c r="TP4" s="325"/>
      <c r="TQ4" s="325"/>
      <c r="TR4" s="325"/>
      <c r="TS4" s="325"/>
      <c r="TT4" s="325"/>
      <c r="TU4" s="325"/>
      <c r="TV4" s="325"/>
      <c r="TW4" s="325"/>
      <c r="TX4" s="325"/>
      <c r="TY4" s="325"/>
      <c r="TZ4" s="325"/>
      <c r="UA4" s="325"/>
      <c r="UB4" s="325"/>
      <c r="UC4" s="325"/>
      <c r="UD4" s="325"/>
      <c r="UE4" s="325"/>
      <c r="UF4" s="325"/>
      <c r="UG4" s="325"/>
      <c r="UH4" s="325"/>
      <c r="UI4" s="325"/>
      <c r="UJ4" s="325"/>
      <c r="UK4" s="325"/>
      <c r="UL4" s="325"/>
      <c r="UM4" s="325"/>
      <c r="UN4" s="325"/>
      <c r="UO4" s="325"/>
      <c r="UP4" s="325"/>
      <c r="UQ4" s="325"/>
      <c r="UR4" s="325"/>
      <c r="US4" s="325"/>
      <c r="UT4" s="325"/>
      <c r="UU4" s="325"/>
      <c r="UV4" s="325"/>
      <c r="UW4" s="325"/>
      <c r="UX4" s="325"/>
      <c r="UY4" s="325"/>
      <c r="UZ4" s="325"/>
      <c r="VA4" s="325"/>
      <c r="VB4" s="325"/>
      <c r="VC4" s="325"/>
      <c r="VD4" s="325"/>
      <c r="VE4" s="325"/>
      <c r="VF4" s="325"/>
      <c r="VG4" s="325"/>
      <c r="VH4" s="325"/>
      <c r="VI4" s="325"/>
      <c r="VJ4" s="325"/>
      <c r="VK4" s="325"/>
      <c r="VL4" s="325"/>
      <c r="VM4" s="325"/>
      <c r="VN4" s="325"/>
      <c r="VO4" s="325"/>
      <c r="VP4" s="325"/>
      <c r="VQ4" s="325"/>
      <c r="VR4" s="325"/>
      <c r="VS4" s="325"/>
      <c r="VT4" s="325"/>
      <c r="VU4" s="325"/>
      <c r="VV4" s="325"/>
      <c r="VW4" s="325"/>
      <c r="VX4" s="325"/>
      <c r="VY4" s="325"/>
      <c r="VZ4" s="325"/>
      <c r="WA4" s="325"/>
      <c r="WB4" s="325"/>
      <c r="WC4" s="325"/>
      <c r="WD4" s="325"/>
      <c r="WE4" s="325"/>
      <c r="WF4" s="325"/>
      <c r="WG4" s="325"/>
      <c r="WH4" s="325"/>
      <c r="WI4" s="325"/>
      <c r="WJ4" s="325"/>
      <c r="WK4" s="325"/>
      <c r="WL4" s="325"/>
      <c r="WM4" s="325"/>
      <c r="WN4" s="325"/>
      <c r="WO4" s="325"/>
      <c r="WP4" s="325"/>
      <c r="WQ4" s="325"/>
      <c r="WR4" s="325"/>
      <c r="WS4" s="325"/>
      <c r="WT4" s="325"/>
      <c r="WU4" s="325"/>
      <c r="WV4" s="325"/>
      <c r="WW4" s="325"/>
      <c r="WX4" s="325"/>
      <c r="WY4" s="325"/>
      <c r="WZ4" s="325"/>
      <c r="XA4" s="325"/>
      <c r="XB4" s="325"/>
      <c r="XC4" s="325"/>
      <c r="XD4" s="325"/>
      <c r="XE4" s="325"/>
      <c r="XF4" s="325"/>
      <c r="XG4" s="325"/>
      <c r="XH4" s="325"/>
      <c r="XI4" s="325"/>
      <c r="XJ4" s="325"/>
      <c r="XK4" s="325"/>
      <c r="XL4" s="325"/>
      <c r="XM4" s="325"/>
      <c r="XN4" s="325"/>
      <c r="XO4" s="325"/>
      <c r="XP4" s="325"/>
      <c r="XQ4" s="325"/>
      <c r="XR4" s="325"/>
      <c r="XS4" s="325"/>
      <c r="XT4" s="325"/>
      <c r="XU4" s="325"/>
      <c r="XV4" s="325"/>
      <c r="XW4" s="325"/>
      <c r="XX4" s="325"/>
      <c r="XY4" s="325"/>
      <c r="XZ4" s="325"/>
      <c r="YA4" s="325"/>
      <c r="YB4" s="325"/>
      <c r="YC4" s="325"/>
      <c r="YD4" s="325"/>
      <c r="YE4" s="325"/>
      <c r="YF4" s="325"/>
      <c r="YG4" s="325"/>
      <c r="YH4" s="325"/>
      <c r="YI4" s="325"/>
      <c r="YJ4" s="325"/>
      <c r="YK4" s="325"/>
      <c r="YL4" s="325"/>
      <c r="YM4" s="325"/>
      <c r="YN4" s="325"/>
      <c r="YO4" s="325"/>
      <c r="YP4" s="325"/>
      <c r="YQ4" s="325"/>
      <c r="YR4" s="325"/>
      <c r="YS4" s="325"/>
      <c r="YT4" s="325"/>
      <c r="YU4" s="325"/>
      <c r="YV4" s="325"/>
      <c r="YW4" s="325"/>
      <c r="YX4" s="325"/>
      <c r="YY4" s="325"/>
      <c r="YZ4" s="325"/>
      <c r="ZA4" s="325"/>
      <c r="ZB4" s="325"/>
      <c r="ZC4" s="325"/>
      <c r="ZD4" s="325"/>
      <c r="ZE4" s="325"/>
      <c r="ZF4" s="325"/>
      <c r="ZG4" s="325"/>
      <c r="ZH4" s="325"/>
      <c r="ZI4" s="325"/>
      <c r="ZJ4" s="325"/>
      <c r="ZK4" s="325"/>
      <c r="ZL4" s="325"/>
      <c r="ZM4" s="325"/>
      <c r="ZN4" s="325"/>
      <c r="ZO4" s="325"/>
      <c r="ZP4" s="325"/>
      <c r="ZQ4" s="325"/>
      <c r="ZR4" s="325"/>
      <c r="ZS4" s="325"/>
      <c r="ZT4" s="325"/>
      <c r="ZU4" s="325"/>
      <c r="ZV4" s="325"/>
      <c r="ZW4" s="325"/>
      <c r="ZX4" s="325"/>
      <c r="ZY4" s="325"/>
      <c r="ZZ4" s="325"/>
      <c r="AAA4" s="325"/>
      <c r="AAB4" s="325"/>
      <c r="AAC4" s="325"/>
      <c r="AAD4" s="325"/>
      <c r="AAE4" s="325"/>
      <c r="AAF4" s="325"/>
      <c r="AAG4" s="325"/>
      <c r="AAH4" s="325"/>
      <c r="AAI4" s="325"/>
      <c r="AAJ4" s="325"/>
      <c r="AAK4" s="325"/>
      <c r="AAL4" s="325"/>
      <c r="AAM4" s="325"/>
      <c r="AAN4" s="325"/>
      <c r="AAO4" s="325"/>
      <c r="AAP4" s="325"/>
      <c r="AAQ4" s="325"/>
      <c r="AAR4" s="325"/>
      <c r="AAS4" s="325"/>
      <c r="AAT4" s="325"/>
      <c r="AAU4" s="325"/>
      <c r="AAV4" s="325"/>
      <c r="AAW4" s="325"/>
      <c r="AAX4" s="325"/>
      <c r="AAY4" s="325"/>
      <c r="AAZ4" s="325"/>
      <c r="ABA4" s="325"/>
      <c r="ABB4" s="325"/>
      <c r="ABC4" s="325"/>
      <c r="ABD4" s="325"/>
      <c r="ABE4" s="325"/>
      <c r="ABF4" s="325"/>
      <c r="ABG4" s="325"/>
      <c r="ABH4" s="325"/>
      <c r="ABI4" s="325"/>
      <c r="ABJ4" s="325"/>
      <c r="ABK4" s="325"/>
      <c r="ABL4" s="325"/>
      <c r="ABM4" s="325"/>
      <c r="ABN4" s="325"/>
      <c r="ABO4" s="325"/>
      <c r="ABP4" s="325"/>
      <c r="ABQ4" s="325"/>
      <c r="ABR4" s="325"/>
      <c r="ABS4" s="325"/>
      <c r="ABT4" s="325"/>
      <c r="ABU4" s="325"/>
      <c r="ABV4" s="325"/>
      <c r="ABW4" s="325"/>
      <c r="ABX4" s="325"/>
      <c r="ABY4" s="325"/>
      <c r="ABZ4" s="325"/>
      <c r="ACA4" s="325"/>
      <c r="ACB4" s="325"/>
      <c r="ACC4" s="325"/>
      <c r="ACD4" s="325"/>
      <c r="ACE4" s="325"/>
      <c r="ACF4" s="325"/>
      <c r="ACG4" s="325"/>
      <c r="ACH4" s="325"/>
      <c r="ACI4" s="325"/>
      <c r="ACJ4" s="325"/>
      <c r="ACK4" s="325"/>
      <c r="ACL4" s="325"/>
      <c r="ACM4" s="325"/>
      <c r="ACN4" s="325"/>
      <c r="ACO4" s="325"/>
      <c r="ACP4" s="325"/>
      <c r="ACQ4" s="325"/>
      <c r="ACR4" s="325"/>
      <c r="ACS4" s="325"/>
      <c r="ACT4" s="325"/>
      <c r="ACU4" s="325"/>
      <c r="ACV4" s="325"/>
      <c r="ACW4" s="325"/>
      <c r="ACX4" s="325"/>
      <c r="ACY4" s="325"/>
      <c r="ACZ4" s="325"/>
      <c r="ADA4" s="325"/>
      <c r="ADB4" s="325"/>
      <c r="ADC4" s="325"/>
      <c r="ADD4" s="325"/>
      <c r="ADE4" s="325"/>
      <c r="ADF4" s="325"/>
      <c r="ADG4" s="325"/>
      <c r="ADH4" s="325"/>
      <c r="ADI4" s="325"/>
      <c r="ADJ4" s="325"/>
      <c r="ADK4" s="325"/>
      <c r="ADL4" s="325"/>
      <c r="ADM4" s="325"/>
      <c r="ADN4" s="325"/>
      <c r="ADO4" s="325"/>
      <c r="ADP4" s="325"/>
      <c r="ADQ4" s="325"/>
      <c r="ADR4" s="325"/>
      <c r="ADS4" s="325"/>
      <c r="ADT4" s="325"/>
      <c r="ADU4" s="325"/>
      <c r="ADV4" s="325"/>
      <c r="ADW4" s="325"/>
      <c r="ADX4" s="325"/>
      <c r="ADY4" s="325"/>
      <c r="ADZ4" s="325"/>
      <c r="AEA4" s="325"/>
      <c r="AEB4" s="325"/>
      <c r="AEC4" s="325"/>
      <c r="AED4" s="325"/>
      <c r="AEE4" s="325"/>
      <c r="AEF4" s="325"/>
      <c r="AEG4" s="325"/>
      <c r="AEH4" s="325"/>
      <c r="AEI4" s="325"/>
      <c r="AEJ4" s="325"/>
      <c r="AEK4" s="325"/>
      <c r="AEL4" s="325"/>
      <c r="AEM4" s="325"/>
      <c r="AEN4" s="325"/>
      <c r="AEO4" s="325"/>
      <c r="AEP4" s="325"/>
      <c r="AEQ4" s="325"/>
      <c r="AER4" s="325"/>
      <c r="AES4" s="325"/>
      <c r="AET4" s="325"/>
      <c r="AEU4" s="325"/>
      <c r="AEV4" s="325"/>
      <c r="AEW4" s="325"/>
      <c r="AEX4" s="325"/>
      <c r="AEY4" s="325"/>
      <c r="AEZ4" s="325"/>
      <c r="AFA4" s="325"/>
      <c r="AFB4" s="325"/>
      <c r="AFC4" s="325"/>
      <c r="AFD4" s="325"/>
      <c r="AFE4" s="325"/>
      <c r="AFF4" s="325"/>
      <c r="AFG4" s="325"/>
      <c r="AFH4" s="325"/>
      <c r="AFI4" s="325"/>
      <c r="AFJ4" s="325"/>
      <c r="AFK4" s="325"/>
      <c r="AFL4" s="325"/>
      <c r="AFM4" s="325"/>
      <c r="AFN4" s="325"/>
      <c r="AFO4" s="325"/>
      <c r="AFP4" s="325"/>
      <c r="AFQ4" s="325"/>
      <c r="AFR4" s="325"/>
      <c r="AFS4" s="325"/>
      <c r="AFT4" s="325"/>
      <c r="AFU4" s="325"/>
      <c r="AFV4" s="325"/>
      <c r="AFW4" s="325"/>
      <c r="AFX4" s="325"/>
      <c r="AFY4" s="325"/>
      <c r="AFZ4" s="325"/>
      <c r="AGA4" s="325"/>
      <c r="AGB4" s="325"/>
      <c r="AGC4" s="325"/>
      <c r="AGD4" s="325"/>
      <c r="AGE4" s="325"/>
      <c r="AGF4" s="325"/>
      <c r="AGG4" s="325"/>
      <c r="AGH4" s="325"/>
      <c r="AGI4" s="325"/>
      <c r="AGJ4" s="325"/>
      <c r="AGK4" s="325"/>
      <c r="AGL4" s="325"/>
      <c r="AGM4" s="325"/>
      <c r="AGN4" s="325"/>
      <c r="AGO4" s="325"/>
      <c r="AGP4" s="325"/>
      <c r="AGQ4" s="325"/>
      <c r="AGR4" s="325"/>
      <c r="AGS4" s="325"/>
      <c r="AGT4" s="325"/>
      <c r="AGU4" s="325"/>
      <c r="AGV4" s="325"/>
      <c r="AGW4" s="325"/>
      <c r="AGX4" s="325"/>
      <c r="AGY4" s="325"/>
      <c r="AGZ4" s="325"/>
      <c r="AHA4" s="325"/>
      <c r="AHB4" s="325"/>
      <c r="AHC4" s="325"/>
      <c r="AHD4" s="325"/>
      <c r="AHE4" s="325"/>
      <c r="AHF4" s="325"/>
      <c r="AHG4" s="325"/>
      <c r="AHH4" s="325"/>
      <c r="AHI4" s="325"/>
      <c r="AHJ4" s="325"/>
      <c r="AHK4" s="325"/>
      <c r="AHL4" s="325"/>
      <c r="AHM4" s="325"/>
      <c r="AHN4" s="325"/>
      <c r="AHO4" s="325"/>
      <c r="AHP4" s="325"/>
      <c r="AHQ4" s="325"/>
      <c r="AHR4" s="325"/>
      <c r="AHS4" s="325"/>
      <c r="AHT4" s="325"/>
      <c r="AHU4" s="325"/>
      <c r="AHV4" s="325"/>
      <c r="AHW4" s="325"/>
      <c r="AHX4" s="325"/>
      <c r="AHY4" s="325"/>
      <c r="AHZ4" s="325"/>
      <c r="AIA4" s="325"/>
      <c r="AIB4" s="325"/>
      <c r="AIC4" s="325"/>
      <c r="AID4" s="325"/>
      <c r="AIE4" s="325"/>
      <c r="AIF4" s="325"/>
      <c r="AIG4" s="325"/>
      <c r="AIH4" s="325"/>
      <c r="AII4" s="325"/>
      <c r="AIJ4" s="325"/>
      <c r="AIK4" s="325"/>
      <c r="AIL4" s="325"/>
      <c r="AIM4" s="325"/>
      <c r="AIN4" s="325"/>
      <c r="AIO4" s="325"/>
      <c r="AIP4" s="325"/>
      <c r="AIQ4" s="325"/>
      <c r="AIR4" s="325"/>
      <c r="AIS4" s="325"/>
      <c r="AIT4" s="325"/>
      <c r="AIU4" s="325"/>
      <c r="AIV4" s="325"/>
      <c r="AIW4" s="325"/>
      <c r="AIX4" s="325"/>
      <c r="AIY4" s="325"/>
      <c r="AIZ4" s="325"/>
      <c r="AJA4" s="325"/>
      <c r="AJB4" s="325"/>
      <c r="AJC4" s="325"/>
      <c r="AJD4" s="325"/>
      <c r="AJE4" s="325"/>
      <c r="AJF4" s="325"/>
      <c r="AJG4" s="325"/>
      <c r="AJH4" s="325"/>
      <c r="AJI4" s="325"/>
      <c r="AJJ4" s="325"/>
      <c r="AJK4" s="325"/>
      <c r="AJL4" s="325"/>
      <c r="AJM4" s="325"/>
      <c r="AJN4" s="325"/>
      <c r="AJO4" s="325"/>
      <c r="AJP4" s="325"/>
      <c r="AJQ4" s="325"/>
      <c r="AJR4" s="325"/>
      <c r="AJS4" s="325"/>
      <c r="AJT4" s="325"/>
      <c r="AJU4" s="325"/>
      <c r="AJV4" s="325"/>
      <c r="AJW4" s="325"/>
      <c r="AJX4" s="325"/>
      <c r="AJY4" s="325"/>
      <c r="AJZ4" s="325"/>
      <c r="AKA4" s="325"/>
      <c r="AKB4" s="325"/>
      <c r="AKC4" s="325"/>
      <c r="AKD4" s="325"/>
      <c r="AKE4" s="325"/>
      <c r="AKF4" s="325"/>
      <c r="AKG4" s="325"/>
      <c r="AKH4" s="325"/>
      <c r="AKI4" s="325"/>
      <c r="AKJ4" s="325"/>
      <c r="AKK4" s="325"/>
      <c r="AKL4" s="325"/>
      <c r="AKM4" s="325"/>
      <c r="AKN4" s="325"/>
      <c r="AKO4" s="325"/>
      <c r="AKP4" s="325"/>
      <c r="AKQ4" s="325"/>
      <c r="AKR4" s="325"/>
      <c r="AKS4" s="325"/>
      <c r="AKT4" s="325"/>
      <c r="AKU4" s="325"/>
      <c r="AKV4" s="325"/>
      <c r="AKW4" s="325"/>
      <c r="AKX4" s="325"/>
      <c r="AKY4" s="325"/>
      <c r="AKZ4" s="325"/>
      <c r="ALA4" s="325"/>
      <c r="ALB4" s="325"/>
      <c r="ALC4" s="325"/>
      <c r="ALD4" s="325"/>
      <c r="ALE4" s="325"/>
      <c r="ALF4" s="325"/>
      <c r="ALG4" s="325"/>
      <c r="ALH4" s="325"/>
      <c r="ALI4" s="325"/>
      <c r="ALJ4" s="325"/>
      <c r="ALK4" s="325"/>
      <c r="ALL4" s="325"/>
      <c r="ALM4" s="325"/>
      <c r="ALN4" s="325"/>
      <c r="ALO4" s="325"/>
      <c r="ALP4" s="325"/>
      <c r="ALQ4" s="325"/>
      <c r="ALR4" s="325"/>
      <c r="ALS4" s="325"/>
      <c r="ALT4" s="325"/>
      <c r="ALU4" s="325"/>
      <c r="ALV4" s="325"/>
      <c r="ALW4" s="325"/>
      <c r="ALX4" s="325"/>
      <c r="ALY4" s="325"/>
      <c r="ALZ4" s="325"/>
      <c r="AMA4" s="325"/>
      <c r="AMB4" s="325"/>
      <c r="AMC4" s="325"/>
      <c r="AMD4" s="325"/>
      <c r="AME4" s="325"/>
      <c r="AMF4" s="325"/>
      <c r="AMG4" s="325"/>
      <c r="AMH4" s="325"/>
      <c r="AMI4" s="325"/>
      <c r="AMJ4" s="325"/>
      <c r="AMK4" s="325"/>
      <c r="AML4" s="325"/>
      <c r="AMM4" s="325"/>
      <c r="AMN4" s="325"/>
      <c r="AMO4" s="325"/>
      <c r="AMP4" s="325"/>
      <c r="AMQ4" s="325"/>
      <c r="AMR4" s="325"/>
      <c r="AMS4" s="325"/>
      <c r="AMT4" s="325"/>
      <c r="AMU4" s="325"/>
      <c r="AMV4" s="325"/>
      <c r="AMW4" s="325"/>
      <c r="AMX4" s="325"/>
      <c r="AMY4" s="325"/>
      <c r="AMZ4" s="325"/>
      <c r="ANA4" s="325"/>
      <c r="ANB4" s="325"/>
      <c r="ANC4" s="325"/>
      <c r="AND4" s="325"/>
      <c r="ANE4" s="325"/>
      <c r="ANF4" s="325"/>
      <c r="ANG4" s="325"/>
      <c r="ANH4" s="325"/>
      <c r="ANI4" s="325"/>
      <c r="ANJ4" s="325"/>
      <c r="ANK4" s="325"/>
      <c r="ANL4" s="325"/>
      <c r="ANM4" s="325"/>
      <c r="ANN4" s="325"/>
      <c r="ANO4" s="325"/>
      <c r="ANP4" s="325"/>
      <c r="ANQ4" s="325"/>
      <c r="ANR4" s="325"/>
      <c r="ANS4" s="325"/>
      <c r="ANT4" s="325"/>
      <c r="ANU4" s="325"/>
      <c r="ANV4" s="325"/>
      <c r="ANW4" s="325"/>
      <c r="ANX4" s="325"/>
      <c r="ANY4" s="325"/>
      <c r="ANZ4" s="325"/>
      <c r="AOA4" s="325"/>
      <c r="AOB4" s="325"/>
      <c r="AOC4" s="325"/>
      <c r="AOD4" s="325"/>
      <c r="AOE4" s="325"/>
      <c r="AOF4" s="325"/>
      <c r="AOG4" s="325"/>
      <c r="AOH4" s="325"/>
      <c r="AOI4" s="325"/>
      <c r="AOJ4" s="325"/>
      <c r="AOK4" s="325"/>
      <c r="AOL4" s="325"/>
      <c r="AOM4" s="325"/>
      <c r="AON4" s="325"/>
      <c r="AOO4" s="325"/>
      <c r="AOP4" s="325"/>
      <c r="AOQ4" s="325"/>
      <c r="AOR4" s="325"/>
      <c r="AOS4" s="325"/>
      <c r="AOT4" s="325"/>
      <c r="AOU4" s="325"/>
      <c r="AOV4" s="325"/>
      <c r="AOW4" s="325"/>
      <c r="AOX4" s="325"/>
      <c r="AOY4" s="325"/>
      <c r="AOZ4" s="325"/>
      <c r="APA4" s="325"/>
      <c r="APB4" s="325"/>
      <c r="APC4" s="325"/>
      <c r="APD4" s="325"/>
      <c r="APE4" s="325"/>
      <c r="APF4" s="325"/>
      <c r="APG4" s="325"/>
      <c r="APH4" s="325"/>
      <c r="API4" s="325"/>
      <c r="APJ4" s="325"/>
      <c r="APK4" s="325"/>
      <c r="APL4" s="325"/>
      <c r="APM4" s="325"/>
      <c r="APN4" s="325"/>
      <c r="APO4" s="325"/>
      <c r="APP4" s="325"/>
      <c r="APQ4" s="325"/>
      <c r="APR4" s="325"/>
      <c r="APS4" s="325"/>
      <c r="APT4" s="325"/>
      <c r="APU4" s="325"/>
      <c r="APV4" s="325"/>
      <c r="APW4" s="325"/>
      <c r="APX4" s="325"/>
      <c r="APY4" s="325"/>
      <c r="APZ4" s="325"/>
      <c r="AQA4" s="325"/>
      <c r="AQB4" s="325"/>
      <c r="AQC4" s="325"/>
      <c r="AQD4" s="325"/>
      <c r="AQE4" s="325"/>
      <c r="AQF4" s="325"/>
      <c r="AQG4" s="325"/>
      <c r="AQH4" s="325"/>
      <c r="AQI4" s="325"/>
      <c r="AQJ4" s="325"/>
      <c r="AQK4" s="325"/>
      <c r="AQL4" s="325"/>
      <c r="AQM4" s="325"/>
      <c r="AQN4" s="325"/>
      <c r="AQO4" s="325"/>
      <c r="AQP4" s="325"/>
      <c r="AQQ4" s="325"/>
      <c r="AQR4" s="325"/>
      <c r="AQS4" s="325"/>
      <c r="AQT4" s="325"/>
      <c r="AQU4" s="325"/>
      <c r="AQV4" s="325"/>
      <c r="AQW4" s="325"/>
      <c r="AQX4" s="325"/>
      <c r="AQY4" s="325"/>
      <c r="AQZ4" s="325"/>
      <c r="ARA4" s="325"/>
      <c r="ARB4" s="325"/>
      <c r="ARC4" s="325"/>
      <c r="ARD4" s="325"/>
      <c r="ARE4" s="325"/>
      <c r="ARF4" s="325"/>
      <c r="ARG4" s="325"/>
      <c r="ARH4" s="325"/>
      <c r="ARI4" s="325"/>
      <c r="ARJ4" s="325"/>
      <c r="ARK4" s="325"/>
      <c r="ARL4" s="325"/>
      <c r="ARM4" s="325"/>
      <c r="ARN4" s="325"/>
      <c r="ARO4" s="325"/>
      <c r="ARP4" s="325"/>
      <c r="ARQ4" s="325"/>
      <c r="ARR4" s="325"/>
      <c r="ARS4" s="325"/>
      <c r="ART4" s="325"/>
      <c r="ARU4" s="325"/>
      <c r="ARV4" s="325"/>
      <c r="ARW4" s="325"/>
      <c r="ARX4" s="325"/>
      <c r="ARY4" s="325"/>
      <c r="ARZ4" s="325"/>
      <c r="ASA4" s="325"/>
      <c r="ASB4" s="325"/>
      <c r="ASC4" s="325"/>
      <c r="ASD4" s="325"/>
      <c r="ASE4" s="325"/>
      <c r="ASF4" s="325"/>
      <c r="ASG4" s="325"/>
      <c r="ASH4" s="325"/>
      <c r="ASI4" s="325"/>
      <c r="ASJ4" s="325"/>
      <c r="ASK4" s="325"/>
      <c r="ASL4" s="325"/>
      <c r="ASM4" s="325"/>
      <c r="ASN4" s="325"/>
      <c r="ASO4" s="325"/>
      <c r="ASP4" s="325"/>
      <c r="ASQ4" s="325"/>
      <c r="ASR4" s="325"/>
      <c r="ASS4" s="325"/>
      <c r="AST4" s="325"/>
      <c r="ASU4" s="325"/>
      <c r="ASV4" s="325"/>
      <c r="ASW4" s="325"/>
      <c r="ASX4" s="325"/>
      <c r="ASY4" s="325"/>
      <c r="ASZ4" s="325"/>
      <c r="ATA4" s="325"/>
      <c r="ATB4" s="325"/>
      <c r="ATC4" s="325"/>
      <c r="ATD4" s="325"/>
      <c r="ATE4" s="325"/>
      <c r="ATF4" s="325"/>
      <c r="ATG4" s="325"/>
      <c r="ATH4" s="325"/>
      <c r="ATI4" s="325"/>
      <c r="ATJ4" s="325"/>
      <c r="ATK4" s="325"/>
      <c r="ATL4" s="325"/>
      <c r="ATM4" s="325"/>
      <c r="ATN4" s="325"/>
      <c r="ATO4" s="325"/>
      <c r="ATP4" s="325"/>
      <c r="ATQ4" s="325"/>
      <c r="ATR4" s="325"/>
      <c r="ATS4" s="325"/>
      <c r="ATT4" s="325"/>
      <c r="ATU4" s="325"/>
      <c r="ATV4" s="325"/>
      <c r="ATW4" s="325"/>
      <c r="ATX4" s="325"/>
      <c r="ATY4" s="325"/>
      <c r="ATZ4" s="325"/>
      <c r="AUA4" s="325"/>
      <c r="AUB4" s="325"/>
      <c r="AUC4" s="325"/>
      <c r="AUD4" s="325"/>
      <c r="AUE4" s="325"/>
      <c r="AUF4" s="325"/>
      <c r="AUG4" s="325"/>
      <c r="AUH4" s="325"/>
      <c r="AUI4" s="325"/>
      <c r="AUJ4" s="325"/>
      <c r="AUK4" s="325"/>
      <c r="AUL4" s="325"/>
      <c r="AUM4" s="325"/>
      <c r="AUN4" s="325"/>
      <c r="AUO4" s="325"/>
      <c r="AUP4" s="325"/>
      <c r="AUQ4" s="325"/>
      <c r="AUR4" s="325"/>
      <c r="AUS4" s="325"/>
      <c r="AUT4" s="325"/>
      <c r="AUU4" s="325"/>
      <c r="AUV4" s="325"/>
      <c r="AUW4" s="325"/>
      <c r="AUX4" s="325"/>
      <c r="AUY4" s="325"/>
      <c r="AUZ4" s="325"/>
      <c r="AVA4" s="325"/>
      <c r="AVB4" s="325"/>
      <c r="AVC4" s="325"/>
      <c r="AVD4" s="325"/>
      <c r="AVE4" s="325"/>
      <c r="AVF4" s="325"/>
      <c r="AVG4" s="325"/>
      <c r="AVH4" s="325"/>
      <c r="AVI4" s="325"/>
      <c r="AVJ4" s="325"/>
      <c r="AVK4" s="325"/>
      <c r="AVL4" s="325"/>
      <c r="AVM4" s="325"/>
      <c r="AVN4" s="325"/>
      <c r="AVO4" s="325"/>
      <c r="AVP4" s="325"/>
      <c r="AVQ4" s="325"/>
      <c r="AVR4" s="325"/>
      <c r="AVS4" s="325"/>
      <c r="AVT4" s="325"/>
      <c r="AVU4" s="325"/>
      <c r="AVV4" s="325"/>
      <c r="AVW4" s="325"/>
      <c r="AVX4" s="325"/>
      <c r="AVY4" s="325"/>
      <c r="AVZ4" s="325"/>
      <c r="AWA4" s="325"/>
      <c r="AWB4" s="325"/>
      <c r="AWC4" s="325"/>
      <c r="AWD4" s="325"/>
      <c r="AWE4" s="325"/>
      <c r="AWF4" s="325"/>
      <c r="AWG4" s="325"/>
      <c r="AWH4" s="325"/>
      <c r="AWI4" s="325"/>
      <c r="AWJ4" s="325"/>
      <c r="AWK4" s="325"/>
      <c r="AWL4" s="325"/>
      <c r="AWM4" s="325"/>
      <c r="AWN4" s="325"/>
      <c r="AWO4" s="325"/>
      <c r="AWP4" s="325"/>
      <c r="AWQ4" s="325"/>
      <c r="AWR4" s="325"/>
      <c r="AWS4" s="325"/>
      <c r="AWT4" s="325"/>
      <c r="AWU4" s="325"/>
      <c r="AWV4" s="325"/>
      <c r="AWW4" s="325"/>
      <c r="AWX4" s="325"/>
      <c r="AWY4" s="325"/>
      <c r="AWZ4" s="325"/>
      <c r="AXA4" s="325"/>
      <c r="AXB4" s="325"/>
      <c r="AXC4" s="325"/>
      <c r="AXD4" s="325"/>
      <c r="AXE4" s="325"/>
      <c r="AXF4" s="325"/>
      <c r="AXG4" s="325"/>
      <c r="AXH4" s="325"/>
      <c r="AXI4" s="325"/>
      <c r="AXJ4" s="325"/>
      <c r="AXK4" s="325"/>
      <c r="AXL4" s="325"/>
      <c r="AXM4" s="325"/>
      <c r="AXN4" s="325"/>
      <c r="AXO4" s="325"/>
      <c r="AXP4" s="325"/>
      <c r="AXQ4" s="325"/>
      <c r="AXR4" s="325"/>
      <c r="AXS4" s="325"/>
      <c r="AXT4" s="325"/>
      <c r="AXU4" s="325"/>
      <c r="AXV4" s="325"/>
      <c r="AXW4" s="325"/>
      <c r="AXX4" s="325"/>
      <c r="AXY4" s="325"/>
      <c r="AXZ4" s="325"/>
      <c r="AYA4" s="325"/>
      <c r="AYB4" s="325"/>
      <c r="AYC4" s="325"/>
      <c r="AYD4" s="325"/>
      <c r="AYE4" s="325"/>
      <c r="AYF4" s="325"/>
      <c r="AYG4" s="325"/>
      <c r="AYH4" s="325"/>
      <c r="AYI4" s="325"/>
      <c r="AYJ4" s="325"/>
      <c r="AYK4" s="325"/>
      <c r="AYL4" s="325"/>
      <c r="AYM4" s="325"/>
      <c r="AYN4" s="325"/>
      <c r="AYO4" s="325"/>
      <c r="AYP4" s="325"/>
      <c r="AYQ4" s="325"/>
      <c r="AYR4" s="325"/>
      <c r="AYS4" s="325"/>
      <c r="AYT4" s="325"/>
      <c r="AYU4" s="325"/>
      <c r="AYV4" s="325"/>
      <c r="AYW4" s="325"/>
      <c r="AYX4" s="325"/>
      <c r="AYY4" s="325"/>
      <c r="AYZ4" s="325"/>
      <c r="AZA4" s="325"/>
      <c r="AZB4" s="325"/>
      <c r="AZC4" s="325"/>
      <c r="AZD4" s="325"/>
      <c r="AZE4" s="325"/>
      <c r="AZF4" s="325"/>
      <c r="AZG4" s="325"/>
      <c r="AZH4" s="325"/>
      <c r="AZI4" s="325"/>
      <c r="AZJ4" s="325"/>
      <c r="AZK4" s="325"/>
      <c r="AZL4" s="325"/>
      <c r="AZM4" s="325"/>
      <c r="AZN4" s="325"/>
      <c r="AZO4" s="325"/>
      <c r="AZP4" s="325"/>
      <c r="AZQ4" s="325"/>
      <c r="AZR4" s="325"/>
      <c r="AZS4" s="325"/>
      <c r="AZT4" s="325"/>
      <c r="AZU4" s="325"/>
      <c r="AZV4" s="325"/>
      <c r="AZW4" s="325"/>
      <c r="AZX4" s="325"/>
      <c r="AZY4" s="325"/>
      <c r="AZZ4" s="325"/>
      <c r="BAA4" s="325"/>
      <c r="BAB4" s="325"/>
      <c r="BAC4" s="325"/>
      <c r="BAD4" s="325"/>
      <c r="BAE4" s="325"/>
      <c r="BAF4" s="325"/>
      <c r="BAG4" s="325"/>
      <c r="BAH4" s="325"/>
      <c r="BAI4" s="325"/>
      <c r="BAJ4" s="325"/>
      <c r="BAK4" s="325"/>
      <c r="BAL4" s="325"/>
      <c r="BAM4" s="325"/>
      <c r="BAN4" s="325"/>
      <c r="BAO4" s="325"/>
      <c r="BAP4" s="325"/>
      <c r="BAQ4" s="325"/>
      <c r="BAR4" s="325"/>
      <c r="BAS4" s="325"/>
      <c r="BAT4" s="325"/>
      <c r="BAU4" s="325"/>
      <c r="BAV4" s="325"/>
      <c r="BAW4" s="325"/>
      <c r="BAX4" s="325"/>
      <c r="BAY4" s="325"/>
      <c r="BAZ4" s="325"/>
      <c r="BBA4" s="325"/>
      <c r="BBB4" s="325"/>
      <c r="BBC4" s="325"/>
      <c r="BBD4" s="325"/>
      <c r="BBE4" s="325"/>
      <c r="BBF4" s="325"/>
      <c r="BBG4" s="325"/>
      <c r="BBH4" s="325"/>
      <c r="BBI4" s="325"/>
      <c r="BBJ4" s="325"/>
      <c r="BBK4" s="325"/>
      <c r="BBL4" s="325"/>
      <c r="BBM4" s="325"/>
      <c r="BBN4" s="325"/>
      <c r="BBO4" s="325"/>
      <c r="BBP4" s="325"/>
      <c r="BBQ4" s="325"/>
      <c r="BBR4" s="325"/>
      <c r="BBS4" s="325"/>
      <c r="BBT4" s="325"/>
      <c r="BBU4" s="325"/>
      <c r="BBV4" s="325"/>
      <c r="BBW4" s="325"/>
      <c r="BBX4" s="325"/>
      <c r="BBY4" s="325"/>
      <c r="BBZ4" s="325"/>
      <c r="BCA4" s="325"/>
      <c r="BCB4" s="325"/>
      <c r="BCC4" s="325"/>
      <c r="BCD4" s="325"/>
      <c r="BCE4" s="325"/>
      <c r="BCF4" s="325"/>
      <c r="BCG4" s="325"/>
      <c r="BCH4" s="325"/>
      <c r="BCI4" s="325"/>
      <c r="BCJ4" s="325"/>
      <c r="BCK4" s="325"/>
      <c r="BCL4" s="325"/>
      <c r="BCM4" s="325"/>
      <c r="BCN4" s="325"/>
      <c r="BCO4" s="325"/>
      <c r="BCP4" s="325"/>
      <c r="BCQ4" s="325"/>
      <c r="BCR4" s="325"/>
      <c r="BCS4" s="325"/>
      <c r="BCT4" s="325"/>
      <c r="BCU4" s="325"/>
      <c r="BCV4" s="325"/>
      <c r="BCW4" s="325"/>
      <c r="BCX4" s="325"/>
      <c r="BCY4" s="325"/>
      <c r="BCZ4" s="325"/>
      <c r="BDA4" s="325"/>
      <c r="BDB4" s="325"/>
      <c r="BDC4" s="325"/>
      <c r="BDD4" s="325"/>
      <c r="BDE4" s="325"/>
      <c r="BDF4" s="325"/>
      <c r="BDG4" s="325"/>
      <c r="BDH4" s="325"/>
      <c r="BDI4" s="325"/>
      <c r="BDJ4" s="325"/>
      <c r="BDK4" s="325"/>
      <c r="BDL4" s="325"/>
      <c r="BDM4" s="325"/>
      <c r="BDN4" s="325"/>
      <c r="BDO4" s="325"/>
      <c r="BDP4" s="325"/>
      <c r="BDQ4" s="325"/>
      <c r="BDR4" s="325"/>
      <c r="BDS4" s="325"/>
      <c r="BDT4" s="325"/>
      <c r="BDU4" s="325"/>
      <c r="BDV4" s="325"/>
      <c r="BDW4" s="325"/>
      <c r="BDX4" s="325"/>
      <c r="BDY4" s="325"/>
      <c r="BDZ4" s="325"/>
      <c r="BEA4" s="325"/>
      <c r="BEB4" s="325"/>
      <c r="BEC4" s="325"/>
      <c r="BED4" s="325"/>
      <c r="BEE4" s="325"/>
      <c r="BEF4" s="325"/>
      <c r="BEG4" s="325"/>
      <c r="BEH4" s="325"/>
      <c r="BEI4" s="325"/>
      <c r="BEJ4" s="325"/>
      <c r="BEK4" s="325"/>
      <c r="BEL4" s="325"/>
      <c r="BEM4" s="325"/>
      <c r="BEN4" s="325"/>
      <c r="BEO4" s="325"/>
      <c r="BEP4" s="325"/>
      <c r="BEQ4" s="325"/>
      <c r="BER4" s="325"/>
      <c r="BES4" s="325"/>
      <c r="BET4" s="325"/>
      <c r="BEU4" s="325"/>
      <c r="BEV4" s="325"/>
      <c r="BEW4" s="325"/>
      <c r="BEX4" s="325"/>
      <c r="BEY4" s="325"/>
      <c r="BEZ4" s="325"/>
      <c r="BFA4" s="325"/>
      <c r="BFB4" s="325"/>
      <c r="BFC4" s="325"/>
      <c r="BFD4" s="325"/>
      <c r="BFE4" s="325"/>
      <c r="BFF4" s="325"/>
      <c r="BFG4" s="325"/>
      <c r="BFH4" s="325"/>
      <c r="BFI4" s="325"/>
      <c r="BFJ4" s="325"/>
      <c r="BFK4" s="325"/>
      <c r="BFL4" s="325"/>
      <c r="BFM4" s="325"/>
      <c r="BFN4" s="325"/>
      <c r="BFO4" s="325"/>
      <c r="BFP4" s="325"/>
      <c r="BFQ4" s="325"/>
      <c r="BFR4" s="325"/>
      <c r="BFS4" s="325"/>
      <c r="BFT4" s="325"/>
      <c r="BFU4" s="325"/>
      <c r="BFV4" s="325"/>
      <c r="BFW4" s="325"/>
      <c r="BFX4" s="325"/>
      <c r="BFY4" s="325"/>
      <c r="BFZ4" s="325"/>
      <c r="BGA4" s="325"/>
      <c r="BGB4" s="325"/>
      <c r="BGC4" s="325"/>
      <c r="BGD4" s="325"/>
      <c r="BGE4" s="325"/>
      <c r="BGF4" s="325"/>
      <c r="BGG4" s="325"/>
      <c r="BGH4" s="325"/>
      <c r="BGI4" s="325"/>
      <c r="BGJ4" s="325"/>
      <c r="BGK4" s="325"/>
      <c r="BGL4" s="325"/>
      <c r="BGM4" s="325"/>
      <c r="BGN4" s="325"/>
      <c r="BGO4" s="325"/>
      <c r="BGP4" s="325"/>
      <c r="BGQ4" s="325"/>
      <c r="BGR4" s="325"/>
      <c r="BGS4" s="325"/>
      <c r="BGT4" s="325"/>
      <c r="BGU4" s="325"/>
      <c r="BGV4" s="325"/>
      <c r="BGW4" s="325"/>
      <c r="BGX4" s="325"/>
      <c r="BGY4" s="325"/>
      <c r="BGZ4" s="325"/>
      <c r="BHA4" s="325"/>
      <c r="BHB4" s="325"/>
      <c r="BHC4" s="325"/>
      <c r="BHD4" s="325"/>
      <c r="BHE4" s="325"/>
      <c r="BHF4" s="325"/>
      <c r="BHG4" s="325"/>
      <c r="BHH4" s="325"/>
      <c r="BHI4" s="325"/>
      <c r="BHJ4" s="325"/>
      <c r="BHK4" s="325"/>
      <c r="BHL4" s="325"/>
      <c r="BHM4" s="325"/>
      <c r="BHN4" s="325"/>
      <c r="BHO4" s="325"/>
      <c r="BHP4" s="325"/>
      <c r="BHQ4" s="325"/>
      <c r="BHR4" s="325"/>
      <c r="BHS4" s="325"/>
      <c r="BHT4" s="325"/>
      <c r="BHU4" s="325"/>
      <c r="BHV4" s="325"/>
      <c r="BHW4" s="325"/>
      <c r="BHX4" s="325"/>
      <c r="BHY4" s="325"/>
      <c r="BHZ4" s="325"/>
      <c r="BIA4" s="325"/>
      <c r="BIB4" s="325"/>
      <c r="BIC4" s="325"/>
      <c r="BID4" s="325"/>
      <c r="BIE4" s="325"/>
      <c r="BIF4" s="325"/>
      <c r="BIG4" s="325"/>
      <c r="BIH4" s="325"/>
      <c r="BII4" s="325"/>
      <c r="BIJ4" s="325"/>
      <c r="BIK4" s="325"/>
      <c r="BIL4" s="325"/>
      <c r="BIM4" s="325"/>
      <c r="BIN4" s="325"/>
      <c r="BIO4" s="325"/>
      <c r="BIP4" s="325"/>
      <c r="BIQ4" s="325"/>
      <c r="BIR4" s="325"/>
      <c r="BIS4" s="325"/>
      <c r="BIT4" s="325"/>
      <c r="BIU4" s="325"/>
      <c r="BIV4" s="325"/>
      <c r="BIW4" s="325"/>
      <c r="BIX4" s="325"/>
      <c r="BIY4" s="325"/>
      <c r="BIZ4" s="325"/>
      <c r="BJA4" s="325"/>
      <c r="BJB4" s="325"/>
      <c r="BJC4" s="325"/>
      <c r="BJD4" s="325"/>
      <c r="BJE4" s="325"/>
      <c r="BJF4" s="325"/>
      <c r="BJG4" s="325"/>
      <c r="BJH4" s="325"/>
      <c r="BJI4" s="325"/>
      <c r="BJJ4" s="325"/>
      <c r="BJK4" s="325"/>
      <c r="BJL4" s="325"/>
      <c r="BJM4" s="325"/>
      <c r="BJN4" s="325"/>
      <c r="BJO4" s="325"/>
      <c r="BJP4" s="325"/>
      <c r="BJQ4" s="325"/>
      <c r="BJR4" s="325"/>
      <c r="BJS4" s="325"/>
      <c r="BJT4" s="325"/>
      <c r="BJU4" s="325"/>
      <c r="BJV4" s="325"/>
      <c r="BJW4" s="325"/>
      <c r="BJX4" s="325"/>
      <c r="BJY4" s="325"/>
      <c r="BJZ4" s="325"/>
      <c r="BKA4" s="325"/>
      <c r="BKB4" s="325"/>
      <c r="BKC4" s="325"/>
      <c r="BKD4" s="325"/>
      <c r="BKE4" s="325"/>
      <c r="BKF4" s="325"/>
      <c r="BKG4" s="325"/>
      <c r="BKH4" s="325"/>
      <c r="BKI4" s="325"/>
      <c r="BKJ4" s="325"/>
      <c r="BKK4" s="325"/>
      <c r="BKL4" s="325"/>
      <c r="BKM4" s="325"/>
      <c r="BKN4" s="325"/>
      <c r="BKO4" s="325"/>
      <c r="BKP4" s="325"/>
      <c r="BKQ4" s="325"/>
      <c r="BKR4" s="325"/>
      <c r="BKS4" s="325"/>
      <c r="BKT4" s="325"/>
      <c r="BKU4" s="325"/>
      <c r="BKV4" s="325"/>
      <c r="BKW4" s="325"/>
      <c r="BKX4" s="325"/>
      <c r="BKY4" s="325"/>
      <c r="BKZ4" s="325"/>
      <c r="BLA4" s="325"/>
      <c r="BLB4" s="325"/>
      <c r="BLC4" s="325"/>
      <c r="BLD4" s="325"/>
      <c r="BLE4" s="325"/>
      <c r="BLF4" s="325"/>
      <c r="BLG4" s="325"/>
      <c r="BLH4" s="325"/>
      <c r="BLI4" s="325"/>
      <c r="BLJ4" s="325"/>
      <c r="BLK4" s="325"/>
      <c r="BLL4" s="325"/>
      <c r="BLM4" s="325"/>
      <c r="BLN4" s="325"/>
      <c r="BLO4" s="325"/>
      <c r="BLP4" s="325"/>
      <c r="BLQ4" s="325"/>
      <c r="BLR4" s="325"/>
      <c r="BLS4" s="325"/>
      <c r="BLT4" s="325"/>
      <c r="BLU4" s="325"/>
      <c r="BLV4" s="325"/>
      <c r="BLW4" s="325"/>
      <c r="BLX4" s="325"/>
      <c r="BLY4" s="325"/>
      <c r="BLZ4" s="325"/>
      <c r="BMA4" s="325"/>
      <c r="BMB4" s="325"/>
      <c r="BMC4" s="325"/>
      <c r="BMD4" s="325"/>
      <c r="BME4" s="325"/>
      <c r="BMF4" s="325"/>
      <c r="BMG4" s="325"/>
      <c r="BMH4" s="325"/>
      <c r="BMI4" s="325"/>
      <c r="BMJ4" s="325"/>
      <c r="BMK4" s="325"/>
      <c r="BML4" s="325"/>
      <c r="BMM4" s="325"/>
      <c r="BMN4" s="325"/>
      <c r="BMO4" s="325"/>
      <c r="BMP4" s="325"/>
      <c r="BMQ4" s="325"/>
      <c r="BMR4" s="325"/>
      <c r="BMS4" s="325"/>
      <c r="BMT4" s="325"/>
      <c r="BMU4" s="325"/>
      <c r="BMV4" s="325"/>
      <c r="BMW4" s="325"/>
      <c r="BMX4" s="325"/>
      <c r="BMY4" s="325"/>
      <c r="BMZ4" s="325"/>
      <c r="BNA4" s="325"/>
      <c r="BNB4" s="325"/>
      <c r="BNC4" s="325"/>
      <c r="BND4" s="325"/>
      <c r="BNE4" s="325"/>
      <c r="BNF4" s="325"/>
      <c r="BNG4" s="325"/>
      <c r="BNH4" s="325"/>
      <c r="BNI4" s="325"/>
      <c r="BNJ4" s="325"/>
      <c r="BNK4" s="325"/>
      <c r="BNL4" s="325"/>
      <c r="BNM4" s="325"/>
      <c r="BNN4" s="325"/>
      <c r="BNO4" s="325"/>
      <c r="BNP4" s="325"/>
      <c r="BNQ4" s="325"/>
      <c r="BNR4" s="325"/>
      <c r="BNS4" s="325"/>
      <c r="BNT4" s="325"/>
      <c r="BNU4" s="325"/>
      <c r="BNV4" s="325"/>
      <c r="BNW4" s="325"/>
      <c r="BNX4" s="325"/>
      <c r="BNY4" s="325"/>
      <c r="BNZ4" s="325"/>
      <c r="BOA4" s="325"/>
      <c r="BOB4" s="325"/>
      <c r="BOC4" s="325"/>
      <c r="BOD4" s="325"/>
      <c r="BOE4" s="325"/>
      <c r="BOF4" s="325"/>
      <c r="BOG4" s="325"/>
      <c r="BOH4" s="325"/>
      <c r="BOI4" s="325"/>
      <c r="BOJ4" s="325"/>
      <c r="BOK4" s="325"/>
      <c r="BOL4" s="325"/>
      <c r="BOM4" s="325"/>
      <c r="BON4" s="325"/>
      <c r="BOO4" s="325"/>
      <c r="BOP4" s="325"/>
      <c r="BOQ4" s="325"/>
      <c r="BOR4" s="325"/>
      <c r="BOS4" s="325"/>
      <c r="BOT4" s="325"/>
      <c r="BOU4" s="325"/>
      <c r="BOV4" s="325"/>
      <c r="BOW4" s="325"/>
      <c r="BOX4" s="325"/>
      <c r="BOY4" s="325"/>
      <c r="BOZ4" s="325"/>
      <c r="BPA4" s="325"/>
      <c r="BPB4" s="325"/>
      <c r="BPC4" s="325"/>
      <c r="BPD4" s="325"/>
      <c r="BPE4" s="325"/>
      <c r="BPF4" s="325"/>
      <c r="BPG4" s="325"/>
      <c r="BPH4" s="325"/>
      <c r="BPI4" s="325"/>
      <c r="BPJ4" s="325"/>
      <c r="BPK4" s="325"/>
      <c r="BPL4" s="325"/>
      <c r="BPM4" s="325"/>
      <c r="BPN4" s="325"/>
      <c r="BPO4" s="325"/>
      <c r="BPP4" s="325"/>
      <c r="BPQ4" s="325"/>
      <c r="BPR4" s="325"/>
      <c r="BPS4" s="325"/>
      <c r="BPT4" s="325"/>
      <c r="BPU4" s="325"/>
      <c r="BPV4" s="325"/>
      <c r="BPW4" s="325"/>
      <c r="BPX4" s="325"/>
      <c r="BPY4" s="325"/>
      <c r="BPZ4" s="325"/>
      <c r="BQA4" s="325"/>
      <c r="BQB4" s="325"/>
      <c r="BQC4" s="325"/>
      <c r="BQD4" s="325"/>
      <c r="BQE4" s="325"/>
      <c r="BQF4" s="325"/>
      <c r="BQG4" s="325"/>
      <c r="BQH4" s="325"/>
      <c r="BQI4" s="325"/>
      <c r="BQJ4" s="325"/>
      <c r="BQK4" s="325"/>
      <c r="BQL4" s="325"/>
      <c r="BQM4" s="325"/>
      <c r="BQN4" s="325"/>
      <c r="BQO4" s="325"/>
      <c r="BQP4" s="325"/>
      <c r="BQQ4" s="325"/>
      <c r="BQR4" s="325"/>
      <c r="BQS4" s="325"/>
      <c r="BQT4" s="325"/>
      <c r="BQU4" s="325"/>
      <c r="BQV4" s="325"/>
      <c r="BQW4" s="325"/>
      <c r="BQX4" s="325"/>
      <c r="BQY4" s="325"/>
      <c r="BQZ4" s="325"/>
      <c r="BRA4" s="325"/>
      <c r="BRB4" s="325"/>
      <c r="BRC4" s="325"/>
      <c r="BRD4" s="325"/>
      <c r="BRE4" s="325"/>
      <c r="BRF4" s="325"/>
      <c r="BRG4" s="325"/>
      <c r="BRH4" s="325"/>
      <c r="BRI4" s="325"/>
      <c r="BRJ4" s="325"/>
      <c r="BRK4" s="325"/>
      <c r="BRL4" s="325"/>
      <c r="BRM4" s="325"/>
      <c r="BRN4" s="325"/>
      <c r="BRO4" s="325"/>
      <c r="BRP4" s="325"/>
      <c r="BRQ4" s="325"/>
      <c r="BRR4" s="325"/>
      <c r="BRS4" s="325"/>
      <c r="BRT4" s="325"/>
      <c r="BRU4" s="325"/>
      <c r="BRV4" s="325"/>
      <c r="BRW4" s="325"/>
      <c r="BRX4" s="325"/>
      <c r="BRY4" s="325"/>
      <c r="BRZ4" s="325"/>
      <c r="BSA4" s="325"/>
      <c r="BSB4" s="325"/>
      <c r="BSC4" s="325"/>
      <c r="BSD4" s="325"/>
      <c r="BSE4" s="325"/>
      <c r="BSF4" s="325"/>
      <c r="BSG4" s="325"/>
      <c r="BSH4" s="325"/>
      <c r="BSI4" s="325"/>
      <c r="BSJ4" s="325"/>
      <c r="BSK4" s="325"/>
      <c r="BSL4" s="325"/>
      <c r="BSM4" s="325"/>
      <c r="BSN4" s="325"/>
      <c r="BSO4" s="325"/>
      <c r="BSP4" s="325"/>
      <c r="BSQ4" s="325"/>
      <c r="BSR4" s="325"/>
      <c r="BSS4" s="325"/>
      <c r="BST4" s="325"/>
      <c r="BSU4" s="325"/>
      <c r="BSV4" s="325"/>
      <c r="BSW4" s="325"/>
      <c r="BSX4" s="325"/>
      <c r="BSY4" s="325"/>
      <c r="BSZ4" s="325"/>
      <c r="BTA4" s="325"/>
      <c r="BTB4" s="325"/>
      <c r="BTC4" s="325"/>
      <c r="BTD4" s="325"/>
      <c r="BTE4" s="325"/>
      <c r="BTF4" s="325"/>
      <c r="BTG4" s="325"/>
      <c r="BTH4" s="325"/>
      <c r="BTI4" s="325"/>
      <c r="BTJ4" s="325"/>
      <c r="BTK4" s="325"/>
      <c r="BTL4" s="325"/>
      <c r="BTM4" s="325"/>
      <c r="BTN4" s="325"/>
      <c r="BTO4" s="325"/>
      <c r="BTP4" s="325"/>
      <c r="BTQ4" s="325"/>
      <c r="BTR4" s="325"/>
      <c r="BTS4" s="325"/>
      <c r="BTT4" s="325"/>
      <c r="BTU4" s="325"/>
      <c r="BTV4" s="325"/>
      <c r="BTW4" s="325"/>
      <c r="BTX4" s="325"/>
      <c r="BTY4" s="325"/>
      <c r="BTZ4" s="325"/>
      <c r="BUA4" s="325"/>
      <c r="BUB4" s="325"/>
      <c r="BUC4" s="325"/>
      <c r="BUD4" s="325"/>
      <c r="BUE4" s="325"/>
      <c r="BUF4" s="325"/>
      <c r="BUG4" s="325"/>
      <c r="BUH4" s="325"/>
      <c r="BUI4" s="325"/>
      <c r="BUJ4" s="325"/>
      <c r="BUK4" s="325"/>
      <c r="BUL4" s="325"/>
      <c r="BUM4" s="325"/>
      <c r="BUN4" s="325"/>
      <c r="BUO4" s="325"/>
      <c r="BUP4" s="325"/>
      <c r="BUQ4" s="325"/>
      <c r="BUR4" s="325"/>
      <c r="BUS4" s="325"/>
      <c r="BUT4" s="325"/>
      <c r="BUU4" s="325"/>
      <c r="BUV4" s="325"/>
      <c r="BUW4" s="325"/>
      <c r="BUX4" s="325"/>
      <c r="BUY4" s="325"/>
      <c r="BUZ4" s="325"/>
      <c r="BVA4" s="325"/>
      <c r="BVB4" s="325"/>
      <c r="BVC4" s="325"/>
      <c r="BVD4" s="325"/>
      <c r="BVE4" s="325"/>
      <c r="BVF4" s="325"/>
      <c r="BVG4" s="325"/>
      <c r="BVH4" s="325"/>
      <c r="BVI4" s="325"/>
      <c r="BVJ4" s="325"/>
      <c r="BVK4" s="325"/>
      <c r="BVL4" s="325"/>
      <c r="BVM4" s="325"/>
      <c r="BVN4" s="325"/>
      <c r="BVO4" s="325"/>
      <c r="BVP4" s="325"/>
      <c r="BVQ4" s="325"/>
      <c r="BVR4" s="325"/>
      <c r="BVS4" s="325"/>
      <c r="BVT4" s="325"/>
      <c r="BVU4" s="325"/>
      <c r="BVV4" s="325"/>
      <c r="BVW4" s="325"/>
      <c r="BVX4" s="325"/>
      <c r="BVY4" s="325"/>
      <c r="BVZ4" s="325"/>
      <c r="BWA4" s="325"/>
      <c r="BWB4" s="325"/>
      <c r="BWC4" s="325"/>
      <c r="BWD4" s="325"/>
      <c r="BWE4" s="325"/>
      <c r="BWF4" s="325"/>
      <c r="BWG4" s="325"/>
      <c r="BWH4" s="325"/>
      <c r="BWI4" s="325"/>
      <c r="BWJ4" s="325"/>
      <c r="BWK4" s="325"/>
      <c r="BWL4" s="325"/>
      <c r="BWM4" s="325"/>
      <c r="BWN4" s="325"/>
      <c r="BWO4" s="325"/>
      <c r="BWP4" s="325"/>
      <c r="BWQ4" s="325"/>
      <c r="BWR4" s="325"/>
      <c r="BWS4" s="325"/>
      <c r="BWT4" s="325"/>
      <c r="BWU4" s="325"/>
      <c r="BWV4" s="325"/>
      <c r="BWW4" s="325"/>
      <c r="BWX4" s="325"/>
      <c r="BWY4" s="325"/>
      <c r="BWZ4" s="325"/>
      <c r="BXA4" s="325"/>
      <c r="BXB4" s="325"/>
      <c r="BXC4" s="325"/>
      <c r="BXD4" s="325"/>
      <c r="BXE4" s="325"/>
      <c r="BXF4" s="325"/>
      <c r="BXG4" s="325"/>
      <c r="BXH4" s="325"/>
      <c r="BXI4" s="325"/>
      <c r="BXJ4" s="325"/>
      <c r="BXK4" s="325"/>
      <c r="BXL4" s="325"/>
      <c r="BXM4" s="325"/>
      <c r="BXN4" s="325"/>
      <c r="BXO4" s="325"/>
      <c r="BXP4" s="325"/>
      <c r="BXQ4" s="325"/>
      <c r="BXR4" s="325"/>
      <c r="BXS4" s="325"/>
      <c r="BXT4" s="325"/>
      <c r="BXU4" s="325"/>
      <c r="BXV4" s="325"/>
      <c r="BXW4" s="325"/>
      <c r="BXX4" s="325"/>
      <c r="BXY4" s="325"/>
      <c r="BXZ4" s="325"/>
      <c r="BYA4" s="325"/>
      <c r="BYB4" s="325"/>
      <c r="BYC4" s="325"/>
      <c r="BYD4" s="325"/>
      <c r="BYE4" s="325"/>
      <c r="BYF4" s="325"/>
      <c r="BYG4" s="325"/>
      <c r="BYH4" s="325"/>
      <c r="BYI4" s="325"/>
      <c r="BYJ4" s="325"/>
      <c r="BYK4" s="325"/>
      <c r="BYL4" s="325"/>
      <c r="BYM4" s="325"/>
      <c r="BYN4" s="325"/>
      <c r="BYO4" s="325"/>
      <c r="BYP4" s="325"/>
      <c r="BYQ4" s="325"/>
      <c r="BYR4" s="325"/>
      <c r="BYS4" s="325"/>
      <c r="BYT4" s="325"/>
      <c r="BYU4" s="325"/>
      <c r="BYV4" s="325"/>
      <c r="BYW4" s="325"/>
      <c r="BYX4" s="325"/>
      <c r="BYY4" s="325"/>
      <c r="BYZ4" s="325"/>
      <c r="BZA4" s="325"/>
      <c r="BZB4" s="325"/>
      <c r="BZC4" s="325"/>
      <c r="BZD4" s="325"/>
      <c r="BZE4" s="325"/>
      <c r="BZF4" s="325"/>
      <c r="BZG4" s="325"/>
      <c r="BZH4" s="325"/>
      <c r="BZI4" s="325"/>
      <c r="BZJ4" s="325"/>
      <c r="BZK4" s="325"/>
      <c r="BZL4" s="325"/>
      <c r="BZM4" s="325"/>
      <c r="BZN4" s="325"/>
      <c r="BZO4" s="325"/>
      <c r="BZP4" s="325"/>
      <c r="BZQ4" s="325"/>
      <c r="BZR4" s="325"/>
      <c r="BZS4" s="325"/>
      <c r="BZT4" s="325"/>
      <c r="BZU4" s="325"/>
      <c r="BZV4" s="325"/>
      <c r="BZW4" s="325"/>
      <c r="BZX4" s="325"/>
      <c r="BZY4" s="325"/>
      <c r="BZZ4" s="325"/>
      <c r="CAA4" s="325"/>
      <c r="CAB4" s="325"/>
      <c r="CAC4" s="325"/>
      <c r="CAD4" s="325"/>
      <c r="CAE4" s="325"/>
      <c r="CAF4" s="325"/>
      <c r="CAG4" s="325"/>
      <c r="CAH4" s="325"/>
      <c r="CAI4" s="325"/>
      <c r="CAJ4" s="325"/>
      <c r="CAK4" s="325"/>
      <c r="CAL4" s="325"/>
      <c r="CAM4" s="325"/>
      <c r="CAN4" s="325"/>
      <c r="CAO4" s="325"/>
      <c r="CAP4" s="325"/>
      <c r="CAQ4" s="325"/>
      <c r="CAR4" s="325"/>
      <c r="CAS4" s="325"/>
      <c r="CAT4" s="325"/>
      <c r="CAU4" s="325"/>
      <c r="CAV4" s="325"/>
      <c r="CAW4" s="325"/>
      <c r="CAX4" s="325"/>
      <c r="CAY4" s="325"/>
      <c r="CAZ4" s="325"/>
      <c r="CBA4" s="325"/>
      <c r="CBB4" s="325"/>
      <c r="CBC4" s="325"/>
      <c r="CBD4" s="325"/>
      <c r="CBE4" s="325"/>
      <c r="CBF4" s="325"/>
      <c r="CBG4" s="325"/>
      <c r="CBH4" s="325"/>
      <c r="CBI4" s="325"/>
      <c r="CBJ4" s="325"/>
      <c r="CBK4" s="325"/>
      <c r="CBL4" s="325"/>
      <c r="CBM4" s="325"/>
      <c r="CBN4" s="325"/>
      <c r="CBO4" s="325"/>
      <c r="CBP4" s="325"/>
      <c r="CBQ4" s="325"/>
      <c r="CBR4" s="325"/>
      <c r="CBS4" s="325"/>
      <c r="CBT4" s="325"/>
      <c r="CBU4" s="325"/>
      <c r="CBV4" s="325"/>
      <c r="CBW4" s="325"/>
      <c r="CBX4" s="325"/>
      <c r="CBY4" s="325"/>
      <c r="CBZ4" s="325"/>
      <c r="CCA4" s="325"/>
      <c r="CCB4" s="325"/>
      <c r="CCC4" s="325"/>
      <c r="CCD4" s="325"/>
      <c r="CCE4" s="325"/>
      <c r="CCF4" s="325"/>
      <c r="CCG4" s="325"/>
      <c r="CCH4" s="325"/>
      <c r="CCI4" s="325"/>
      <c r="CCJ4" s="325"/>
      <c r="CCK4" s="325"/>
      <c r="CCL4" s="325"/>
      <c r="CCM4" s="325"/>
      <c r="CCN4" s="325"/>
      <c r="CCO4" s="325"/>
      <c r="CCP4" s="325"/>
      <c r="CCQ4" s="325"/>
      <c r="CCR4" s="325"/>
      <c r="CCS4" s="325"/>
      <c r="CCT4" s="325"/>
      <c r="CCU4" s="325"/>
      <c r="CCV4" s="325"/>
      <c r="CCW4" s="325"/>
      <c r="CCX4" s="325"/>
      <c r="CCY4" s="325"/>
      <c r="CCZ4" s="325"/>
      <c r="CDA4" s="325"/>
      <c r="CDB4" s="325"/>
      <c r="CDC4" s="325"/>
      <c r="CDD4" s="325"/>
      <c r="CDE4" s="325"/>
      <c r="CDF4" s="325"/>
      <c r="CDG4" s="325"/>
      <c r="CDH4" s="325"/>
      <c r="CDI4" s="325"/>
      <c r="CDJ4" s="325"/>
      <c r="CDK4" s="325"/>
      <c r="CDL4" s="325"/>
      <c r="CDM4" s="325"/>
      <c r="CDN4" s="325"/>
      <c r="CDO4" s="325"/>
      <c r="CDP4" s="325"/>
      <c r="CDQ4" s="325"/>
      <c r="CDR4" s="325"/>
      <c r="CDS4" s="325"/>
      <c r="CDT4" s="325"/>
      <c r="CDU4" s="325"/>
      <c r="CDV4" s="325"/>
      <c r="CDW4" s="325"/>
      <c r="CDX4" s="325"/>
      <c r="CDY4" s="325"/>
      <c r="CDZ4" s="325"/>
      <c r="CEA4" s="325"/>
      <c r="CEB4" s="325"/>
      <c r="CEC4" s="325"/>
      <c r="CED4" s="325"/>
      <c r="CEE4" s="325"/>
      <c r="CEF4" s="325"/>
      <c r="CEG4" s="325"/>
      <c r="CEH4" s="325"/>
      <c r="CEI4" s="325"/>
      <c r="CEJ4" s="325"/>
      <c r="CEK4" s="325"/>
      <c r="CEL4" s="325"/>
      <c r="CEM4" s="325"/>
      <c r="CEN4" s="325"/>
      <c r="CEO4" s="325"/>
      <c r="CEP4" s="325"/>
      <c r="CEQ4" s="325"/>
      <c r="CER4" s="325"/>
      <c r="CES4" s="325"/>
      <c r="CET4" s="325"/>
      <c r="CEU4" s="325"/>
      <c r="CEV4" s="325"/>
      <c r="CEW4" s="325"/>
      <c r="CEX4" s="325"/>
      <c r="CEY4" s="325"/>
      <c r="CEZ4" s="325"/>
      <c r="CFA4" s="325"/>
      <c r="CFB4" s="325"/>
      <c r="CFC4" s="325"/>
      <c r="CFD4" s="325"/>
      <c r="CFE4" s="325"/>
      <c r="CFF4" s="325"/>
      <c r="CFG4" s="325"/>
      <c r="CFH4" s="325"/>
      <c r="CFI4" s="325"/>
      <c r="CFJ4" s="325"/>
      <c r="CFK4" s="325"/>
      <c r="CFL4" s="325"/>
      <c r="CFM4" s="325"/>
      <c r="CFN4" s="325"/>
      <c r="CFO4" s="325"/>
      <c r="CFP4" s="325"/>
      <c r="CFQ4" s="325"/>
      <c r="CFR4" s="325"/>
      <c r="CFS4" s="325"/>
      <c r="CFT4" s="325"/>
      <c r="CFU4" s="325"/>
      <c r="CFV4" s="325"/>
      <c r="CFW4" s="325"/>
      <c r="CFX4" s="325"/>
      <c r="CFY4" s="325"/>
      <c r="CFZ4" s="325"/>
      <c r="CGA4" s="325"/>
      <c r="CGB4" s="325"/>
      <c r="CGC4" s="325"/>
      <c r="CGD4" s="325"/>
      <c r="CGE4" s="325"/>
      <c r="CGF4" s="325"/>
      <c r="CGG4" s="325"/>
      <c r="CGH4" s="325"/>
      <c r="CGI4" s="325"/>
      <c r="CGJ4" s="325"/>
      <c r="CGK4" s="325"/>
      <c r="CGL4" s="325"/>
      <c r="CGM4" s="325"/>
      <c r="CGN4" s="325"/>
      <c r="CGO4" s="325"/>
      <c r="CGP4" s="325"/>
      <c r="CGQ4" s="325"/>
      <c r="CGR4" s="325"/>
      <c r="CGS4" s="325"/>
      <c r="CGT4" s="325"/>
      <c r="CGU4" s="325"/>
      <c r="CGV4" s="325"/>
      <c r="CGW4" s="325"/>
      <c r="CGX4" s="325"/>
      <c r="CGY4" s="325"/>
      <c r="CGZ4" s="325"/>
      <c r="CHA4" s="325"/>
      <c r="CHB4" s="325"/>
      <c r="CHC4" s="325"/>
      <c r="CHD4" s="325"/>
      <c r="CHE4" s="325"/>
      <c r="CHF4" s="325"/>
      <c r="CHG4" s="325"/>
      <c r="CHH4" s="325"/>
      <c r="CHI4" s="325"/>
      <c r="CHJ4" s="325"/>
      <c r="CHK4" s="325"/>
      <c r="CHL4" s="325"/>
      <c r="CHM4" s="325"/>
      <c r="CHN4" s="325"/>
      <c r="CHO4" s="325"/>
      <c r="CHP4" s="325"/>
      <c r="CHQ4" s="325"/>
      <c r="CHR4" s="325"/>
      <c r="CHS4" s="325"/>
      <c r="CHT4" s="325"/>
      <c r="CHU4" s="325"/>
      <c r="CHV4" s="325"/>
      <c r="CHW4" s="325"/>
      <c r="CHX4" s="325"/>
      <c r="CHY4" s="325"/>
      <c r="CHZ4" s="325"/>
      <c r="CIA4" s="325"/>
      <c r="CIB4" s="325"/>
      <c r="CIC4" s="325"/>
      <c r="CID4" s="325"/>
      <c r="CIE4" s="325"/>
      <c r="CIF4" s="325"/>
      <c r="CIG4" s="325"/>
      <c r="CIH4" s="325"/>
      <c r="CII4" s="325"/>
      <c r="CIJ4" s="325"/>
      <c r="CIK4" s="325"/>
      <c r="CIL4" s="325"/>
      <c r="CIM4" s="325"/>
      <c r="CIN4" s="325"/>
      <c r="CIO4" s="325"/>
      <c r="CIP4" s="325"/>
      <c r="CIQ4" s="325"/>
      <c r="CIR4" s="325"/>
      <c r="CIS4" s="325"/>
      <c r="CIT4" s="325"/>
      <c r="CIU4" s="325"/>
      <c r="CIV4" s="325"/>
      <c r="CIW4" s="325"/>
      <c r="CIX4" s="325"/>
      <c r="CIY4" s="325"/>
      <c r="CIZ4" s="325"/>
      <c r="CJA4" s="325"/>
      <c r="CJB4" s="325"/>
      <c r="CJC4" s="325"/>
      <c r="CJD4" s="325"/>
      <c r="CJE4" s="325"/>
      <c r="CJF4" s="325"/>
      <c r="CJG4" s="325"/>
      <c r="CJH4" s="325"/>
      <c r="CJI4" s="325"/>
      <c r="CJJ4" s="325"/>
      <c r="CJK4" s="325"/>
      <c r="CJL4" s="325"/>
      <c r="CJM4" s="325"/>
      <c r="CJN4" s="325"/>
      <c r="CJO4" s="325"/>
      <c r="CJP4" s="325"/>
      <c r="CJQ4" s="325"/>
      <c r="CJR4" s="325"/>
      <c r="CJS4" s="325"/>
      <c r="CJT4" s="325"/>
      <c r="CJU4" s="325"/>
      <c r="CJV4" s="325"/>
      <c r="CJW4" s="325"/>
      <c r="CJX4" s="325"/>
      <c r="CJY4" s="325"/>
      <c r="CJZ4" s="325"/>
      <c r="CKA4" s="325"/>
      <c r="CKB4" s="325"/>
      <c r="CKC4" s="325"/>
      <c r="CKD4" s="325"/>
      <c r="CKE4" s="325"/>
      <c r="CKF4" s="325"/>
      <c r="CKG4" s="325"/>
      <c r="CKH4" s="325"/>
      <c r="CKI4" s="325"/>
      <c r="CKJ4" s="325"/>
      <c r="CKK4" s="325"/>
      <c r="CKL4" s="325"/>
      <c r="CKM4" s="325"/>
      <c r="CKN4" s="325"/>
      <c r="CKO4" s="325"/>
      <c r="CKP4" s="325"/>
      <c r="CKQ4" s="325"/>
      <c r="CKR4" s="325"/>
      <c r="CKS4" s="325"/>
      <c r="CKT4" s="325"/>
      <c r="CKU4" s="325"/>
      <c r="CKV4" s="325"/>
      <c r="CKW4" s="325"/>
      <c r="CKX4" s="325"/>
      <c r="CKY4" s="325"/>
      <c r="CKZ4" s="325"/>
      <c r="CLA4" s="325"/>
      <c r="CLB4" s="325"/>
      <c r="CLC4" s="325"/>
      <c r="CLD4" s="325"/>
      <c r="CLE4" s="325"/>
      <c r="CLF4" s="325"/>
      <c r="CLG4" s="325"/>
      <c r="CLH4" s="325"/>
      <c r="CLI4" s="325"/>
      <c r="CLJ4" s="325"/>
      <c r="CLK4" s="325"/>
      <c r="CLL4" s="325"/>
      <c r="CLM4" s="325"/>
      <c r="CLN4" s="325"/>
      <c r="CLO4" s="325"/>
      <c r="CLP4" s="325"/>
      <c r="CLQ4" s="325"/>
      <c r="CLR4" s="325"/>
      <c r="CLS4" s="325"/>
      <c r="CLT4" s="325"/>
      <c r="CLU4" s="325"/>
      <c r="CLV4" s="325"/>
      <c r="CLW4" s="325"/>
      <c r="CLX4" s="325"/>
      <c r="CLY4" s="325"/>
      <c r="CLZ4" s="325"/>
      <c r="CMA4" s="325"/>
      <c r="CMB4" s="325"/>
      <c r="CMC4" s="325"/>
      <c r="CMD4" s="325"/>
      <c r="CME4" s="325"/>
      <c r="CMF4" s="325"/>
      <c r="CMG4" s="325"/>
      <c r="CMH4" s="325"/>
      <c r="CMI4" s="325"/>
      <c r="CMJ4" s="325"/>
      <c r="CMK4" s="325"/>
      <c r="CML4" s="325"/>
      <c r="CMM4" s="325"/>
      <c r="CMN4" s="325"/>
      <c r="CMO4" s="325"/>
      <c r="CMP4" s="325"/>
      <c r="CMQ4" s="325"/>
      <c r="CMR4" s="325"/>
      <c r="CMS4" s="325"/>
      <c r="CMT4" s="325"/>
      <c r="CMU4" s="325"/>
      <c r="CMV4" s="325"/>
      <c r="CMW4" s="325"/>
      <c r="CMX4" s="325"/>
      <c r="CMY4" s="325"/>
      <c r="CMZ4" s="325"/>
      <c r="CNA4" s="325"/>
      <c r="CNB4" s="325"/>
      <c r="CNC4" s="325"/>
      <c r="CND4" s="325"/>
      <c r="CNE4" s="325"/>
      <c r="CNF4" s="325"/>
      <c r="CNG4" s="325"/>
      <c r="CNH4" s="325"/>
      <c r="CNI4" s="325"/>
      <c r="CNJ4" s="325"/>
      <c r="CNK4" s="325"/>
      <c r="CNL4" s="325"/>
      <c r="CNM4" s="325"/>
      <c r="CNN4" s="325"/>
      <c r="CNO4" s="325"/>
      <c r="CNP4" s="325"/>
      <c r="CNQ4" s="325"/>
      <c r="CNR4" s="325"/>
      <c r="CNS4" s="325"/>
      <c r="CNT4" s="325"/>
      <c r="CNU4" s="325"/>
      <c r="CNV4" s="325"/>
      <c r="CNW4" s="325"/>
      <c r="CNX4" s="325"/>
      <c r="CNY4" s="325"/>
      <c r="CNZ4" s="325"/>
      <c r="COA4" s="325"/>
      <c r="COB4" s="325"/>
      <c r="COC4" s="325"/>
      <c r="COD4" s="325"/>
      <c r="COE4" s="325"/>
      <c r="COF4" s="325"/>
      <c r="COG4" s="325"/>
      <c r="COH4" s="325"/>
      <c r="COI4" s="325"/>
      <c r="COJ4" s="325"/>
      <c r="COK4" s="325"/>
      <c r="COL4" s="325"/>
      <c r="COM4" s="325"/>
      <c r="CON4" s="325"/>
      <c r="COO4" s="325"/>
      <c r="COP4" s="325"/>
      <c r="COQ4" s="325"/>
      <c r="COR4" s="325"/>
      <c r="COS4" s="325"/>
      <c r="COT4" s="325"/>
      <c r="COU4" s="325"/>
      <c r="COV4" s="325"/>
      <c r="COW4" s="325"/>
      <c r="COX4" s="325"/>
      <c r="COY4" s="325"/>
      <c r="COZ4" s="325"/>
      <c r="CPA4" s="325"/>
      <c r="CPB4" s="325"/>
      <c r="CPC4" s="325"/>
      <c r="CPD4" s="325"/>
      <c r="CPE4" s="325"/>
      <c r="CPF4" s="325"/>
      <c r="CPG4" s="325"/>
      <c r="CPH4" s="325"/>
      <c r="CPI4" s="325"/>
      <c r="CPJ4" s="325"/>
      <c r="CPK4" s="325"/>
      <c r="CPL4" s="325"/>
      <c r="CPM4" s="325"/>
      <c r="CPN4" s="325"/>
      <c r="CPO4" s="325"/>
      <c r="CPP4" s="325"/>
      <c r="CPQ4" s="325"/>
      <c r="CPR4" s="325"/>
      <c r="CPS4" s="325"/>
      <c r="CPT4" s="325"/>
      <c r="CPU4" s="325"/>
      <c r="CPV4" s="325"/>
      <c r="CPW4" s="325"/>
      <c r="CPX4" s="325"/>
      <c r="CPY4" s="325"/>
      <c r="CPZ4" s="325"/>
      <c r="CQA4" s="325"/>
      <c r="CQB4" s="325"/>
      <c r="CQC4" s="325"/>
      <c r="CQD4" s="325"/>
      <c r="CQE4" s="325"/>
      <c r="CQF4" s="325"/>
      <c r="CQG4" s="325"/>
      <c r="CQH4" s="325"/>
      <c r="CQI4" s="325"/>
      <c r="CQJ4" s="325"/>
      <c r="CQK4" s="325"/>
      <c r="CQL4" s="325"/>
      <c r="CQM4" s="325"/>
      <c r="CQN4" s="325"/>
      <c r="CQO4" s="325"/>
      <c r="CQP4" s="325"/>
      <c r="CQQ4" s="325"/>
      <c r="CQR4" s="325"/>
      <c r="CQS4" s="325"/>
      <c r="CQT4" s="325"/>
      <c r="CQU4" s="325"/>
      <c r="CQV4" s="325"/>
      <c r="CQW4" s="325"/>
      <c r="CQX4" s="325"/>
      <c r="CQY4" s="325"/>
      <c r="CQZ4" s="325"/>
      <c r="CRA4" s="325"/>
      <c r="CRB4" s="325"/>
      <c r="CRC4" s="325"/>
      <c r="CRD4" s="325"/>
      <c r="CRE4" s="325"/>
      <c r="CRF4" s="325"/>
      <c r="CRG4" s="325"/>
      <c r="CRH4" s="325"/>
      <c r="CRI4" s="325"/>
      <c r="CRJ4" s="325"/>
      <c r="CRK4" s="325"/>
      <c r="CRL4" s="325"/>
      <c r="CRM4" s="325"/>
      <c r="CRN4" s="325"/>
      <c r="CRO4" s="325"/>
      <c r="CRP4" s="325"/>
      <c r="CRQ4" s="325"/>
      <c r="CRR4" s="325"/>
      <c r="CRS4" s="325"/>
      <c r="CRT4" s="325"/>
      <c r="CRU4" s="325"/>
      <c r="CRV4" s="325"/>
      <c r="CRW4" s="325"/>
      <c r="CRX4" s="325"/>
      <c r="CRY4" s="325"/>
      <c r="CRZ4" s="325"/>
      <c r="CSA4" s="325"/>
      <c r="CSB4" s="325"/>
      <c r="CSC4" s="325"/>
      <c r="CSD4" s="325"/>
      <c r="CSE4" s="325"/>
      <c r="CSF4" s="325"/>
      <c r="CSG4" s="325"/>
      <c r="CSH4" s="325"/>
      <c r="CSI4" s="325"/>
      <c r="CSJ4" s="325"/>
      <c r="CSK4" s="325"/>
      <c r="CSL4" s="325"/>
      <c r="CSM4" s="325"/>
      <c r="CSN4" s="325"/>
      <c r="CSO4" s="325"/>
      <c r="CSP4" s="325"/>
      <c r="CSQ4" s="325"/>
      <c r="CSR4" s="325"/>
      <c r="CSS4" s="325"/>
      <c r="CST4" s="325"/>
      <c r="CSU4" s="325"/>
      <c r="CSV4" s="325"/>
      <c r="CSW4" s="325"/>
      <c r="CSX4" s="325"/>
      <c r="CSY4" s="325"/>
      <c r="CSZ4" s="325"/>
      <c r="CTA4" s="325"/>
      <c r="CTB4" s="325"/>
      <c r="CTC4" s="325"/>
      <c r="CTD4" s="325"/>
      <c r="CTE4" s="325"/>
      <c r="CTF4" s="325"/>
      <c r="CTG4" s="325"/>
      <c r="CTH4" s="325"/>
      <c r="CTI4" s="325"/>
      <c r="CTJ4" s="325"/>
      <c r="CTK4" s="325"/>
      <c r="CTL4" s="325"/>
      <c r="CTM4" s="325"/>
      <c r="CTN4" s="325"/>
      <c r="CTO4" s="325"/>
      <c r="CTP4" s="325"/>
      <c r="CTQ4" s="325"/>
      <c r="CTR4" s="325"/>
      <c r="CTS4" s="325"/>
      <c r="CTT4" s="325"/>
      <c r="CTU4" s="325"/>
      <c r="CTV4" s="325"/>
      <c r="CTW4" s="325"/>
      <c r="CTX4" s="325"/>
      <c r="CTY4" s="325"/>
      <c r="CTZ4" s="325"/>
      <c r="CUA4" s="325"/>
      <c r="CUB4" s="325"/>
      <c r="CUC4" s="325"/>
      <c r="CUD4" s="325"/>
      <c r="CUE4" s="325"/>
      <c r="CUF4" s="325"/>
      <c r="CUG4" s="325"/>
      <c r="CUH4" s="325"/>
      <c r="CUI4" s="325"/>
      <c r="CUJ4" s="325"/>
      <c r="CUK4" s="325"/>
      <c r="CUL4" s="325"/>
      <c r="CUM4" s="325"/>
      <c r="CUN4" s="325"/>
      <c r="CUO4" s="325"/>
      <c r="CUP4" s="325"/>
      <c r="CUQ4" s="325"/>
      <c r="CUR4" s="325"/>
      <c r="CUS4" s="325"/>
      <c r="CUT4" s="325"/>
      <c r="CUU4" s="325"/>
      <c r="CUV4" s="325"/>
      <c r="CUW4" s="325"/>
      <c r="CUX4" s="325"/>
      <c r="CUY4" s="325"/>
      <c r="CUZ4" s="325"/>
      <c r="CVA4" s="325"/>
      <c r="CVB4" s="325"/>
      <c r="CVC4" s="325"/>
      <c r="CVD4" s="325"/>
      <c r="CVE4" s="325"/>
      <c r="CVF4" s="325"/>
      <c r="CVG4" s="325"/>
      <c r="CVH4" s="325"/>
      <c r="CVI4" s="325"/>
      <c r="CVJ4" s="325"/>
      <c r="CVK4" s="325"/>
      <c r="CVL4" s="325"/>
      <c r="CVM4" s="325"/>
      <c r="CVN4" s="325"/>
      <c r="CVO4" s="325"/>
      <c r="CVP4" s="325"/>
      <c r="CVQ4" s="325"/>
      <c r="CVR4" s="325"/>
      <c r="CVS4" s="325"/>
      <c r="CVT4" s="325"/>
      <c r="CVU4" s="325"/>
      <c r="CVV4" s="325"/>
      <c r="CVW4" s="325"/>
      <c r="CVX4" s="325"/>
      <c r="CVY4" s="325"/>
      <c r="CVZ4" s="325"/>
      <c r="CWA4" s="325"/>
      <c r="CWB4" s="325"/>
      <c r="CWC4" s="325"/>
      <c r="CWD4" s="325"/>
      <c r="CWE4" s="325"/>
      <c r="CWF4" s="325"/>
      <c r="CWG4" s="325"/>
      <c r="CWH4" s="325"/>
      <c r="CWI4" s="325"/>
      <c r="CWJ4" s="325"/>
      <c r="CWK4" s="325"/>
      <c r="CWL4" s="325"/>
      <c r="CWM4" s="325"/>
      <c r="CWN4" s="325"/>
      <c r="CWO4" s="325"/>
      <c r="CWP4" s="325"/>
      <c r="CWQ4" s="325"/>
      <c r="CWR4" s="325"/>
      <c r="CWS4" s="325"/>
      <c r="CWT4" s="325"/>
      <c r="CWU4" s="325"/>
      <c r="CWV4" s="325"/>
      <c r="CWW4" s="325"/>
      <c r="CWX4" s="325"/>
      <c r="CWY4" s="325"/>
      <c r="CWZ4" s="325"/>
      <c r="CXA4" s="325"/>
      <c r="CXB4" s="325"/>
      <c r="CXC4" s="325"/>
      <c r="CXD4" s="325"/>
      <c r="CXE4" s="325"/>
      <c r="CXF4" s="325"/>
      <c r="CXG4" s="325"/>
      <c r="CXH4" s="325"/>
      <c r="CXI4" s="325"/>
      <c r="CXJ4" s="325"/>
      <c r="CXK4" s="325"/>
      <c r="CXL4" s="325"/>
      <c r="CXM4" s="325"/>
      <c r="CXN4" s="325"/>
      <c r="CXO4" s="325"/>
      <c r="CXP4" s="325"/>
      <c r="CXQ4" s="325"/>
      <c r="CXR4" s="325"/>
      <c r="CXS4" s="325"/>
      <c r="CXT4" s="325"/>
      <c r="CXU4" s="325"/>
      <c r="CXV4" s="325"/>
      <c r="CXW4" s="325"/>
      <c r="CXX4" s="325"/>
      <c r="CXY4" s="325"/>
      <c r="CXZ4" s="325"/>
      <c r="CYA4" s="325"/>
      <c r="CYB4" s="325"/>
      <c r="CYC4" s="325"/>
      <c r="CYD4" s="325"/>
      <c r="CYE4" s="325"/>
      <c r="CYF4" s="325"/>
      <c r="CYG4" s="325"/>
      <c r="CYH4" s="325"/>
      <c r="CYI4" s="325"/>
      <c r="CYJ4" s="325"/>
      <c r="CYK4" s="325"/>
      <c r="CYL4" s="325"/>
      <c r="CYM4" s="325"/>
      <c r="CYN4" s="325"/>
      <c r="CYO4" s="325"/>
      <c r="CYP4" s="325"/>
      <c r="CYQ4" s="325"/>
      <c r="CYR4" s="325"/>
      <c r="CYS4" s="325"/>
      <c r="CYT4" s="325"/>
      <c r="CYU4" s="325"/>
      <c r="CYV4" s="325"/>
      <c r="CYW4" s="325"/>
      <c r="CYX4" s="325"/>
      <c r="CYY4" s="325"/>
      <c r="CYZ4" s="325"/>
      <c r="CZA4" s="325"/>
      <c r="CZB4" s="325"/>
      <c r="CZC4" s="325"/>
      <c r="CZD4" s="325"/>
      <c r="CZE4" s="325"/>
      <c r="CZF4" s="325"/>
      <c r="CZG4" s="325"/>
      <c r="CZH4" s="325"/>
      <c r="CZI4" s="325"/>
      <c r="CZJ4" s="325"/>
      <c r="CZK4" s="325"/>
      <c r="CZL4" s="325"/>
      <c r="CZM4" s="325"/>
      <c r="CZN4" s="325"/>
      <c r="CZO4" s="325"/>
      <c r="CZP4" s="325"/>
      <c r="CZQ4" s="325"/>
      <c r="CZR4" s="325"/>
      <c r="CZS4" s="325"/>
      <c r="CZT4" s="325"/>
      <c r="CZU4" s="325"/>
      <c r="CZV4" s="325"/>
      <c r="CZW4" s="325"/>
      <c r="CZX4" s="325"/>
      <c r="CZY4" s="325"/>
      <c r="CZZ4" s="325"/>
      <c r="DAA4" s="325"/>
      <c r="DAB4" s="325"/>
      <c r="DAC4" s="325"/>
      <c r="DAD4" s="325"/>
      <c r="DAE4" s="325"/>
      <c r="DAF4" s="325"/>
      <c r="DAG4" s="325"/>
      <c r="DAH4" s="325"/>
      <c r="DAI4" s="325"/>
      <c r="DAJ4" s="325"/>
      <c r="DAK4" s="325"/>
      <c r="DAL4" s="325"/>
      <c r="DAM4" s="325"/>
      <c r="DAN4" s="325"/>
      <c r="DAO4" s="325"/>
      <c r="DAP4" s="325"/>
      <c r="DAQ4" s="325"/>
      <c r="DAR4" s="325"/>
      <c r="DAS4" s="325"/>
      <c r="DAT4" s="325"/>
      <c r="DAU4" s="325"/>
      <c r="DAV4" s="325"/>
      <c r="DAW4" s="325"/>
      <c r="DAX4" s="325"/>
      <c r="DAY4" s="325"/>
      <c r="DAZ4" s="325"/>
      <c r="DBA4" s="325"/>
      <c r="DBB4" s="325"/>
      <c r="DBC4" s="325"/>
      <c r="DBD4" s="325"/>
      <c r="DBE4" s="325"/>
      <c r="DBF4" s="325"/>
      <c r="DBG4" s="325"/>
      <c r="DBH4" s="325"/>
      <c r="DBI4" s="325"/>
      <c r="DBJ4" s="325"/>
      <c r="DBK4" s="325"/>
      <c r="DBL4" s="325"/>
      <c r="DBM4" s="325"/>
      <c r="DBN4" s="325"/>
      <c r="DBO4" s="325"/>
      <c r="DBP4" s="325"/>
      <c r="DBQ4" s="325"/>
      <c r="DBR4" s="325"/>
      <c r="DBS4" s="325"/>
      <c r="DBT4" s="325"/>
      <c r="DBU4" s="325"/>
      <c r="DBV4" s="325"/>
      <c r="DBW4" s="325"/>
      <c r="DBX4" s="325"/>
      <c r="DBY4" s="325"/>
      <c r="DBZ4" s="325"/>
      <c r="DCA4" s="325"/>
      <c r="DCB4" s="325"/>
      <c r="DCC4" s="325"/>
      <c r="DCD4" s="325"/>
      <c r="DCE4" s="325"/>
      <c r="DCF4" s="325"/>
      <c r="DCG4" s="325"/>
      <c r="DCH4" s="325"/>
      <c r="DCI4" s="325"/>
      <c r="DCJ4" s="325"/>
      <c r="DCK4" s="325"/>
      <c r="DCL4" s="325"/>
      <c r="DCM4" s="325"/>
      <c r="DCN4" s="325"/>
      <c r="DCO4" s="325"/>
      <c r="DCP4" s="325"/>
      <c r="DCQ4" s="325"/>
      <c r="DCR4" s="325"/>
      <c r="DCS4" s="325"/>
      <c r="DCT4" s="325"/>
      <c r="DCU4" s="325"/>
      <c r="DCV4" s="325"/>
      <c r="DCW4" s="325"/>
      <c r="DCX4" s="325"/>
      <c r="DCY4" s="325"/>
      <c r="DCZ4" s="325"/>
      <c r="DDA4" s="325"/>
      <c r="DDB4" s="325"/>
      <c r="DDC4" s="325"/>
      <c r="DDD4" s="325"/>
      <c r="DDE4" s="325"/>
      <c r="DDF4" s="325"/>
      <c r="DDG4" s="325"/>
      <c r="DDH4" s="325"/>
      <c r="DDI4" s="325"/>
      <c r="DDJ4" s="325"/>
      <c r="DDK4" s="325"/>
      <c r="DDL4" s="325"/>
      <c r="DDM4" s="325"/>
      <c r="DDN4" s="325"/>
      <c r="DDO4" s="325"/>
      <c r="DDP4" s="325"/>
      <c r="DDQ4" s="325"/>
      <c r="DDR4" s="325"/>
      <c r="DDS4" s="325"/>
      <c r="DDT4" s="325"/>
      <c r="DDU4" s="325"/>
      <c r="DDV4" s="325"/>
      <c r="DDW4" s="325"/>
      <c r="DDX4" s="325"/>
      <c r="DDY4" s="325"/>
      <c r="DDZ4" s="325"/>
      <c r="DEA4" s="325"/>
      <c r="DEB4" s="325"/>
      <c r="DEC4" s="325"/>
      <c r="DED4" s="325"/>
      <c r="DEE4" s="325"/>
      <c r="DEF4" s="325"/>
      <c r="DEG4" s="325"/>
      <c r="DEH4" s="325"/>
      <c r="DEI4" s="325"/>
      <c r="DEJ4" s="325"/>
      <c r="DEK4" s="325"/>
      <c r="DEL4" s="325"/>
      <c r="DEM4" s="325"/>
      <c r="DEN4" s="325"/>
      <c r="DEO4" s="325"/>
      <c r="DEP4" s="325"/>
      <c r="DEQ4" s="325"/>
      <c r="DER4" s="325"/>
      <c r="DES4" s="325"/>
      <c r="DET4" s="325"/>
      <c r="DEU4" s="325"/>
      <c r="DEV4" s="325"/>
      <c r="DEW4" s="325"/>
      <c r="DEX4" s="325"/>
      <c r="DEY4" s="325"/>
      <c r="DEZ4" s="325"/>
      <c r="DFA4" s="325"/>
      <c r="DFB4" s="325"/>
      <c r="DFC4" s="325"/>
      <c r="DFD4" s="325"/>
      <c r="DFE4" s="325"/>
      <c r="DFF4" s="325"/>
      <c r="DFG4" s="325"/>
      <c r="DFH4" s="325"/>
      <c r="DFI4" s="325"/>
      <c r="DFJ4" s="325"/>
      <c r="DFK4" s="325"/>
      <c r="DFL4" s="325"/>
      <c r="DFM4" s="325"/>
      <c r="DFN4" s="325"/>
      <c r="DFO4" s="325"/>
      <c r="DFP4" s="325"/>
      <c r="DFQ4" s="325"/>
      <c r="DFR4" s="325"/>
      <c r="DFS4" s="325"/>
      <c r="DFT4" s="325"/>
      <c r="DFU4" s="325"/>
      <c r="DFV4" s="325"/>
      <c r="DFW4" s="325"/>
      <c r="DFX4" s="325"/>
      <c r="DFY4" s="325"/>
      <c r="DFZ4" s="325"/>
      <c r="DGA4" s="325"/>
      <c r="DGB4" s="325"/>
      <c r="DGC4" s="325"/>
      <c r="DGD4" s="325"/>
      <c r="DGE4" s="325"/>
      <c r="DGF4" s="325"/>
      <c r="DGG4" s="325"/>
      <c r="DGH4" s="325"/>
      <c r="DGI4" s="325"/>
      <c r="DGJ4" s="325"/>
      <c r="DGK4" s="325"/>
      <c r="DGL4" s="325"/>
      <c r="DGM4" s="325"/>
      <c r="DGN4" s="325"/>
      <c r="DGO4" s="325"/>
      <c r="DGP4" s="325"/>
      <c r="DGQ4" s="325"/>
      <c r="DGR4" s="325"/>
      <c r="DGS4" s="325"/>
      <c r="DGT4" s="325"/>
      <c r="DGU4" s="325"/>
      <c r="DGV4" s="325"/>
      <c r="DGW4" s="325"/>
      <c r="DGX4" s="325"/>
      <c r="DGY4" s="325"/>
      <c r="DGZ4" s="325"/>
      <c r="DHA4" s="325"/>
      <c r="DHB4" s="325"/>
      <c r="DHC4" s="325"/>
      <c r="DHD4" s="325"/>
      <c r="DHE4" s="325"/>
      <c r="DHF4" s="325"/>
      <c r="DHG4" s="325"/>
      <c r="DHH4" s="325"/>
      <c r="DHI4" s="325"/>
      <c r="DHJ4" s="325"/>
      <c r="DHK4" s="325"/>
      <c r="DHL4" s="325"/>
      <c r="DHM4" s="325"/>
      <c r="DHN4" s="325"/>
      <c r="DHO4" s="325"/>
      <c r="DHP4" s="325"/>
      <c r="DHQ4" s="325"/>
      <c r="DHR4" s="325"/>
      <c r="DHS4" s="325"/>
      <c r="DHT4" s="325"/>
      <c r="DHU4" s="325"/>
      <c r="DHV4" s="325"/>
      <c r="DHW4" s="325"/>
      <c r="DHX4" s="325"/>
      <c r="DHY4" s="325"/>
      <c r="DHZ4" s="325"/>
      <c r="DIA4" s="325"/>
      <c r="DIB4" s="325"/>
      <c r="DIC4" s="325"/>
      <c r="DID4" s="325"/>
      <c r="DIE4" s="325"/>
      <c r="DIF4" s="325"/>
      <c r="DIG4" s="325"/>
      <c r="DIH4" s="325"/>
      <c r="DII4" s="325"/>
      <c r="DIJ4" s="325"/>
      <c r="DIK4" s="325"/>
      <c r="DIL4" s="325"/>
      <c r="DIM4" s="325"/>
      <c r="DIN4" s="325"/>
      <c r="DIO4" s="325"/>
      <c r="DIP4" s="325"/>
      <c r="DIQ4" s="325"/>
      <c r="DIR4" s="325"/>
      <c r="DIS4" s="325"/>
      <c r="DIT4" s="325"/>
      <c r="DIU4" s="325"/>
      <c r="DIV4" s="325"/>
      <c r="DIW4" s="325"/>
      <c r="DIX4" s="325"/>
      <c r="DIY4" s="325"/>
      <c r="DIZ4" s="325"/>
      <c r="DJA4" s="325"/>
      <c r="DJB4" s="325"/>
      <c r="DJC4" s="325"/>
      <c r="DJD4" s="325"/>
      <c r="DJE4" s="325"/>
      <c r="DJF4" s="325"/>
      <c r="DJG4" s="325"/>
      <c r="DJH4" s="325"/>
      <c r="DJI4" s="325"/>
      <c r="DJJ4" s="325"/>
      <c r="DJK4" s="325"/>
      <c r="DJL4" s="325"/>
      <c r="DJM4" s="325"/>
      <c r="DJN4" s="325"/>
      <c r="DJO4" s="325"/>
      <c r="DJP4" s="325"/>
      <c r="DJQ4" s="325"/>
      <c r="DJR4" s="325"/>
      <c r="DJS4" s="325"/>
      <c r="DJT4" s="325"/>
      <c r="DJU4" s="325"/>
      <c r="DJV4" s="325"/>
      <c r="DJW4" s="325"/>
      <c r="DJX4" s="325"/>
      <c r="DJY4" s="325"/>
      <c r="DJZ4" s="325"/>
      <c r="DKA4" s="325"/>
      <c r="DKB4" s="325"/>
      <c r="DKC4" s="325"/>
      <c r="DKD4" s="325"/>
      <c r="DKE4" s="325"/>
      <c r="DKF4" s="325"/>
      <c r="DKG4" s="325"/>
      <c r="DKH4" s="325"/>
      <c r="DKI4" s="325"/>
      <c r="DKJ4" s="325"/>
      <c r="DKK4" s="325"/>
      <c r="DKL4" s="325"/>
      <c r="DKM4" s="325"/>
      <c r="DKN4" s="325"/>
      <c r="DKO4" s="325"/>
      <c r="DKP4" s="325"/>
      <c r="DKQ4" s="325"/>
      <c r="DKR4" s="325"/>
      <c r="DKS4" s="325"/>
      <c r="DKT4" s="325"/>
      <c r="DKU4" s="325"/>
      <c r="DKV4" s="325"/>
      <c r="DKW4" s="325"/>
      <c r="DKX4" s="325"/>
      <c r="DKY4" s="325"/>
      <c r="DKZ4" s="325"/>
      <c r="DLA4" s="325"/>
      <c r="DLB4" s="325"/>
      <c r="DLC4" s="325"/>
      <c r="DLD4" s="325"/>
      <c r="DLE4" s="325"/>
      <c r="DLF4" s="325"/>
      <c r="DLG4" s="325"/>
      <c r="DLH4" s="325"/>
      <c r="DLI4" s="325"/>
      <c r="DLJ4" s="325"/>
      <c r="DLK4" s="325"/>
      <c r="DLL4" s="325"/>
      <c r="DLM4" s="325"/>
      <c r="DLN4" s="325"/>
      <c r="DLO4" s="325"/>
      <c r="DLP4" s="325"/>
      <c r="DLQ4" s="325"/>
      <c r="DLR4" s="325"/>
      <c r="DLS4" s="325"/>
      <c r="DLT4" s="325"/>
      <c r="DLU4" s="325"/>
      <c r="DLV4" s="325"/>
      <c r="DLW4" s="325"/>
      <c r="DLX4" s="325"/>
      <c r="DLY4" s="325"/>
      <c r="DLZ4" s="325"/>
      <c r="DMA4" s="325"/>
      <c r="DMB4" s="325"/>
      <c r="DMC4" s="325"/>
      <c r="DMD4" s="325"/>
      <c r="DME4" s="325"/>
      <c r="DMF4" s="325"/>
      <c r="DMG4" s="325"/>
      <c r="DMH4" s="325"/>
      <c r="DMI4" s="325"/>
      <c r="DMJ4" s="325"/>
      <c r="DMK4" s="325"/>
      <c r="DML4" s="325"/>
      <c r="DMM4" s="325"/>
      <c r="DMN4" s="325"/>
      <c r="DMO4" s="325"/>
      <c r="DMP4" s="325"/>
      <c r="DMQ4" s="325"/>
      <c r="DMR4" s="325"/>
      <c r="DMS4" s="325"/>
      <c r="DMT4" s="325"/>
      <c r="DMU4" s="325"/>
      <c r="DMV4" s="325"/>
      <c r="DMW4" s="325"/>
      <c r="DMX4" s="325"/>
      <c r="DMY4" s="325"/>
      <c r="DMZ4" s="325"/>
      <c r="DNA4" s="325"/>
      <c r="DNB4" s="325"/>
      <c r="DNC4" s="325"/>
      <c r="DND4" s="325"/>
      <c r="DNE4" s="325"/>
      <c r="DNF4" s="325"/>
      <c r="DNG4" s="325"/>
      <c r="DNH4" s="325"/>
      <c r="DNI4" s="325"/>
      <c r="DNJ4" s="325"/>
      <c r="DNK4" s="325"/>
      <c r="DNL4" s="325"/>
      <c r="DNM4" s="325"/>
      <c r="DNN4" s="325"/>
      <c r="DNO4" s="325"/>
      <c r="DNP4" s="325"/>
      <c r="DNQ4" s="325"/>
      <c r="DNR4" s="325"/>
      <c r="DNS4" s="325"/>
      <c r="DNT4" s="325"/>
      <c r="DNU4" s="325"/>
      <c r="DNV4" s="325"/>
      <c r="DNW4" s="325"/>
      <c r="DNX4" s="325"/>
      <c r="DNY4" s="325"/>
      <c r="DNZ4" s="325"/>
      <c r="DOA4" s="325"/>
      <c r="DOB4" s="325"/>
      <c r="DOC4" s="325"/>
      <c r="DOD4" s="325"/>
      <c r="DOE4" s="325"/>
      <c r="DOF4" s="325"/>
      <c r="DOG4" s="325"/>
      <c r="DOH4" s="325"/>
      <c r="DOI4" s="325"/>
      <c r="DOJ4" s="325"/>
      <c r="DOK4" s="325"/>
      <c r="DOL4" s="325"/>
      <c r="DOM4" s="325"/>
      <c r="DON4" s="325"/>
      <c r="DOO4" s="325"/>
      <c r="DOP4" s="325"/>
      <c r="DOQ4" s="325"/>
      <c r="DOR4" s="325"/>
      <c r="DOS4" s="325"/>
      <c r="DOT4" s="325"/>
      <c r="DOU4" s="325"/>
      <c r="DOV4" s="325"/>
      <c r="DOW4" s="325"/>
      <c r="DOX4" s="325"/>
      <c r="DOY4" s="325"/>
      <c r="DOZ4" s="325"/>
      <c r="DPA4" s="325"/>
      <c r="DPB4" s="325"/>
      <c r="DPC4" s="325"/>
      <c r="DPD4" s="325"/>
      <c r="DPE4" s="325"/>
      <c r="DPF4" s="325"/>
      <c r="DPG4" s="325"/>
      <c r="DPH4" s="325"/>
      <c r="DPI4" s="325"/>
      <c r="DPJ4" s="325"/>
      <c r="DPK4" s="325"/>
      <c r="DPL4" s="325"/>
      <c r="DPM4" s="325"/>
      <c r="DPN4" s="325"/>
      <c r="DPO4" s="325"/>
      <c r="DPP4" s="325"/>
      <c r="DPQ4" s="325"/>
      <c r="DPR4" s="325"/>
      <c r="DPS4" s="325"/>
      <c r="DPT4" s="325"/>
      <c r="DPU4" s="325"/>
      <c r="DPV4" s="325"/>
      <c r="DPW4" s="325"/>
      <c r="DPX4" s="325"/>
      <c r="DPY4" s="325"/>
      <c r="DPZ4" s="325"/>
      <c r="DQA4" s="325"/>
      <c r="DQB4" s="325"/>
      <c r="DQC4" s="325"/>
      <c r="DQD4" s="325"/>
      <c r="DQE4" s="325"/>
      <c r="DQF4" s="325"/>
      <c r="DQG4" s="325"/>
      <c r="DQH4" s="325"/>
      <c r="DQI4" s="325"/>
      <c r="DQJ4" s="325"/>
      <c r="DQK4" s="325"/>
      <c r="DQL4" s="325"/>
      <c r="DQM4" s="325"/>
      <c r="DQN4" s="325"/>
      <c r="DQO4" s="325"/>
      <c r="DQP4" s="325"/>
      <c r="DQQ4" s="325"/>
      <c r="DQR4" s="325"/>
      <c r="DQS4" s="325"/>
      <c r="DQT4" s="325"/>
      <c r="DQU4" s="325"/>
      <c r="DQV4" s="325"/>
      <c r="DQW4" s="325"/>
      <c r="DQX4" s="325"/>
      <c r="DQY4" s="325"/>
      <c r="DQZ4" s="325"/>
      <c r="DRA4" s="325"/>
      <c r="DRB4" s="325"/>
      <c r="DRC4" s="325"/>
      <c r="DRD4" s="325"/>
      <c r="DRE4" s="325"/>
      <c r="DRF4" s="325"/>
      <c r="DRG4" s="325"/>
      <c r="DRH4" s="325"/>
      <c r="DRI4" s="325"/>
      <c r="DRJ4" s="325"/>
      <c r="DRK4" s="325"/>
      <c r="DRL4" s="325"/>
      <c r="DRM4" s="325"/>
      <c r="DRN4" s="325"/>
      <c r="DRO4" s="325"/>
      <c r="DRP4" s="325"/>
      <c r="DRQ4" s="325"/>
      <c r="DRR4" s="325"/>
      <c r="DRS4" s="325"/>
      <c r="DRT4" s="325"/>
      <c r="DRU4" s="325"/>
      <c r="DRV4" s="325"/>
      <c r="DRW4" s="325"/>
      <c r="DRX4" s="325"/>
      <c r="DRY4" s="325"/>
      <c r="DRZ4" s="325"/>
      <c r="DSA4" s="325"/>
      <c r="DSB4" s="325"/>
      <c r="DSC4" s="325"/>
      <c r="DSD4" s="325"/>
      <c r="DSE4" s="325"/>
      <c r="DSF4" s="325"/>
      <c r="DSG4" s="325"/>
      <c r="DSH4" s="325"/>
      <c r="DSI4" s="325"/>
      <c r="DSJ4" s="325"/>
      <c r="DSK4" s="325"/>
      <c r="DSL4" s="325"/>
      <c r="DSM4" s="325"/>
      <c r="DSN4" s="325"/>
      <c r="DSO4" s="325"/>
      <c r="DSP4" s="325"/>
      <c r="DSQ4" s="325"/>
      <c r="DSR4" s="325"/>
      <c r="DSS4" s="325"/>
      <c r="DST4" s="325"/>
      <c r="DSU4" s="325"/>
      <c r="DSV4" s="325"/>
      <c r="DSW4" s="325"/>
      <c r="DSX4" s="325"/>
      <c r="DSY4" s="325"/>
      <c r="DSZ4" s="325"/>
      <c r="DTA4" s="325"/>
      <c r="DTB4" s="325"/>
      <c r="DTC4" s="325"/>
      <c r="DTD4" s="325"/>
      <c r="DTE4" s="325"/>
      <c r="DTF4" s="325"/>
      <c r="DTG4" s="325"/>
      <c r="DTH4" s="325"/>
      <c r="DTI4" s="325"/>
      <c r="DTJ4" s="325"/>
      <c r="DTK4" s="325"/>
      <c r="DTL4" s="325"/>
      <c r="DTM4" s="325"/>
      <c r="DTN4" s="325"/>
      <c r="DTO4" s="325"/>
      <c r="DTP4" s="325"/>
      <c r="DTQ4" s="325"/>
      <c r="DTR4" s="325"/>
      <c r="DTS4" s="325"/>
      <c r="DTT4" s="325"/>
      <c r="DTU4" s="325"/>
      <c r="DTV4" s="325"/>
      <c r="DTW4" s="325"/>
      <c r="DTX4" s="325"/>
      <c r="DTY4" s="325"/>
      <c r="DTZ4" s="325"/>
      <c r="DUA4" s="325"/>
      <c r="DUB4" s="325"/>
      <c r="DUC4" s="325"/>
      <c r="DUD4" s="325"/>
      <c r="DUE4" s="325"/>
      <c r="DUF4" s="325"/>
      <c r="DUG4" s="325"/>
      <c r="DUH4" s="325"/>
      <c r="DUI4" s="325"/>
      <c r="DUJ4" s="325"/>
      <c r="DUK4" s="325"/>
      <c r="DUL4" s="325"/>
      <c r="DUM4" s="325"/>
      <c r="DUN4" s="325"/>
      <c r="DUO4" s="325"/>
      <c r="DUP4" s="325"/>
      <c r="DUQ4" s="325"/>
      <c r="DUR4" s="325"/>
      <c r="DUS4" s="325"/>
      <c r="DUT4" s="325"/>
      <c r="DUU4" s="325"/>
      <c r="DUV4" s="325"/>
      <c r="DUW4" s="325"/>
      <c r="DUX4" s="325"/>
      <c r="DUY4" s="325"/>
      <c r="DUZ4" s="325"/>
      <c r="DVA4" s="325"/>
      <c r="DVB4" s="325"/>
      <c r="DVC4" s="325"/>
      <c r="DVD4" s="325"/>
      <c r="DVE4" s="325"/>
      <c r="DVF4" s="325"/>
      <c r="DVG4" s="325"/>
      <c r="DVH4" s="325"/>
      <c r="DVI4" s="325"/>
      <c r="DVJ4" s="325"/>
      <c r="DVK4" s="325"/>
      <c r="DVL4" s="325"/>
      <c r="DVM4" s="325"/>
      <c r="DVN4" s="325"/>
      <c r="DVO4" s="325"/>
      <c r="DVP4" s="325"/>
      <c r="DVQ4" s="325"/>
      <c r="DVR4" s="325"/>
      <c r="DVS4" s="325"/>
      <c r="DVT4" s="325"/>
      <c r="DVU4" s="325"/>
      <c r="DVV4" s="325"/>
      <c r="DVW4" s="325"/>
      <c r="DVX4" s="325"/>
      <c r="DVY4" s="325"/>
      <c r="DVZ4" s="325"/>
      <c r="DWA4" s="325"/>
      <c r="DWB4" s="325"/>
      <c r="DWC4" s="325"/>
      <c r="DWD4" s="325"/>
      <c r="DWE4" s="325"/>
      <c r="DWF4" s="325"/>
      <c r="DWG4" s="325"/>
      <c r="DWH4" s="325"/>
      <c r="DWI4" s="325"/>
      <c r="DWJ4" s="325"/>
      <c r="DWK4" s="325"/>
      <c r="DWL4" s="325"/>
      <c r="DWM4" s="325"/>
      <c r="DWN4" s="325"/>
      <c r="DWO4" s="325"/>
      <c r="DWP4" s="325"/>
      <c r="DWQ4" s="325"/>
      <c r="DWR4" s="325"/>
      <c r="DWS4" s="325"/>
      <c r="DWT4" s="325"/>
      <c r="DWU4" s="325"/>
      <c r="DWV4" s="325"/>
      <c r="DWW4" s="325"/>
      <c r="DWX4" s="325"/>
      <c r="DWY4" s="325"/>
      <c r="DWZ4" s="325"/>
      <c r="DXA4" s="325"/>
      <c r="DXB4" s="325"/>
      <c r="DXC4" s="325"/>
      <c r="DXD4" s="325"/>
      <c r="DXE4" s="325"/>
      <c r="DXF4" s="325"/>
      <c r="DXG4" s="325"/>
      <c r="DXH4" s="325"/>
      <c r="DXI4" s="325"/>
      <c r="DXJ4" s="325"/>
      <c r="DXK4" s="325"/>
      <c r="DXL4" s="325"/>
      <c r="DXM4" s="325"/>
      <c r="DXN4" s="325"/>
      <c r="DXO4" s="325"/>
      <c r="DXP4" s="325"/>
      <c r="DXQ4" s="325"/>
      <c r="DXR4" s="325"/>
      <c r="DXS4" s="325"/>
      <c r="DXT4" s="325"/>
      <c r="DXU4" s="325"/>
      <c r="DXV4" s="325"/>
      <c r="DXW4" s="325"/>
      <c r="DXX4" s="325"/>
      <c r="DXY4" s="325"/>
      <c r="DXZ4" s="325"/>
      <c r="DYA4" s="325"/>
      <c r="DYB4" s="325"/>
      <c r="DYC4" s="325"/>
      <c r="DYD4" s="325"/>
      <c r="DYE4" s="325"/>
      <c r="DYF4" s="325"/>
      <c r="DYG4" s="325"/>
      <c r="DYH4" s="325"/>
      <c r="DYI4" s="325"/>
      <c r="DYJ4" s="325"/>
      <c r="DYK4" s="325"/>
      <c r="DYL4" s="325"/>
      <c r="DYM4" s="325"/>
      <c r="DYN4" s="325"/>
      <c r="DYO4" s="325"/>
      <c r="DYP4" s="325"/>
      <c r="DYQ4" s="325"/>
      <c r="DYR4" s="325"/>
      <c r="DYS4" s="325"/>
      <c r="DYT4" s="325"/>
      <c r="DYU4" s="325"/>
      <c r="DYV4" s="325"/>
      <c r="DYW4" s="325"/>
      <c r="DYX4" s="325"/>
      <c r="DYY4" s="325"/>
      <c r="DYZ4" s="325"/>
      <c r="DZA4" s="325"/>
      <c r="DZB4" s="325"/>
      <c r="DZC4" s="325"/>
      <c r="DZD4" s="325"/>
      <c r="DZE4" s="325"/>
      <c r="DZF4" s="325"/>
      <c r="DZG4" s="325"/>
      <c r="DZH4" s="325"/>
      <c r="DZI4" s="325"/>
      <c r="DZJ4" s="325"/>
      <c r="DZK4" s="325"/>
      <c r="DZL4" s="325"/>
      <c r="DZM4" s="325"/>
      <c r="DZN4" s="325"/>
      <c r="DZO4" s="325"/>
      <c r="DZP4" s="325"/>
      <c r="DZQ4" s="325"/>
      <c r="DZR4" s="325"/>
      <c r="DZS4" s="325"/>
      <c r="DZT4" s="325"/>
      <c r="DZU4" s="325"/>
      <c r="DZV4" s="325"/>
      <c r="DZW4" s="325"/>
      <c r="DZX4" s="325"/>
      <c r="DZY4" s="325"/>
      <c r="DZZ4" s="325"/>
      <c r="EAA4" s="325"/>
      <c r="EAB4" s="325"/>
      <c r="EAC4" s="325"/>
      <c r="EAD4" s="325"/>
      <c r="EAE4" s="325"/>
      <c r="EAF4" s="325"/>
      <c r="EAG4" s="325"/>
      <c r="EAH4" s="325"/>
      <c r="EAI4" s="325"/>
      <c r="EAJ4" s="325"/>
      <c r="EAK4" s="325"/>
      <c r="EAL4" s="325"/>
      <c r="EAM4" s="325"/>
      <c r="EAN4" s="325"/>
      <c r="EAO4" s="325"/>
      <c r="EAP4" s="325"/>
      <c r="EAQ4" s="325"/>
      <c r="EAR4" s="325"/>
      <c r="EAS4" s="325"/>
      <c r="EAT4" s="325"/>
      <c r="EAU4" s="325"/>
      <c r="EAV4" s="325"/>
      <c r="EAW4" s="325"/>
      <c r="EAX4" s="325"/>
      <c r="EAY4" s="325"/>
      <c r="EAZ4" s="325"/>
      <c r="EBA4" s="325"/>
      <c r="EBB4" s="325"/>
      <c r="EBC4" s="325"/>
      <c r="EBD4" s="325"/>
      <c r="EBE4" s="325"/>
      <c r="EBF4" s="325"/>
      <c r="EBG4" s="325"/>
      <c r="EBH4" s="325"/>
      <c r="EBI4" s="325"/>
      <c r="EBJ4" s="325"/>
      <c r="EBK4" s="325"/>
      <c r="EBL4" s="325"/>
      <c r="EBM4" s="325"/>
      <c r="EBN4" s="325"/>
      <c r="EBO4" s="325"/>
      <c r="EBP4" s="325"/>
      <c r="EBQ4" s="325"/>
      <c r="EBR4" s="325"/>
      <c r="EBS4" s="325"/>
      <c r="EBT4" s="325"/>
      <c r="EBU4" s="325"/>
      <c r="EBV4" s="325"/>
      <c r="EBW4" s="325"/>
      <c r="EBX4" s="325"/>
      <c r="EBY4" s="325"/>
      <c r="EBZ4" s="325"/>
      <c r="ECA4" s="325"/>
      <c r="ECB4" s="325"/>
      <c r="ECC4" s="325"/>
      <c r="ECD4" s="325"/>
      <c r="ECE4" s="325"/>
      <c r="ECF4" s="325"/>
      <c r="ECG4" s="325"/>
      <c r="ECH4" s="325"/>
      <c r="ECI4" s="325"/>
      <c r="ECJ4" s="325"/>
      <c r="ECK4" s="325"/>
      <c r="ECL4" s="325"/>
      <c r="ECM4" s="325"/>
      <c r="ECN4" s="325"/>
      <c r="ECO4" s="325"/>
      <c r="ECP4" s="325"/>
      <c r="ECQ4" s="325"/>
      <c r="ECR4" s="325"/>
      <c r="ECS4" s="325"/>
      <c r="ECT4" s="325"/>
      <c r="ECU4" s="325"/>
      <c r="ECV4" s="325"/>
      <c r="ECW4" s="325"/>
      <c r="ECX4" s="325"/>
      <c r="ECY4" s="325"/>
      <c r="ECZ4" s="325"/>
      <c r="EDA4" s="325"/>
      <c r="EDB4" s="325"/>
      <c r="EDC4" s="325"/>
      <c r="EDD4" s="325"/>
      <c r="EDE4" s="325"/>
      <c r="EDF4" s="325"/>
      <c r="EDG4" s="325"/>
      <c r="EDH4" s="325"/>
      <c r="EDI4" s="325"/>
      <c r="EDJ4" s="325"/>
      <c r="EDK4" s="325"/>
      <c r="EDL4" s="325"/>
      <c r="EDM4" s="325"/>
      <c r="EDN4" s="325"/>
      <c r="EDO4" s="325"/>
      <c r="EDP4" s="325"/>
      <c r="EDQ4" s="325"/>
      <c r="EDR4" s="325"/>
      <c r="EDS4" s="325"/>
      <c r="EDT4" s="325"/>
      <c r="EDU4" s="325"/>
      <c r="EDV4" s="325"/>
      <c r="EDW4" s="325"/>
      <c r="EDX4" s="325"/>
      <c r="EDY4" s="325"/>
      <c r="EDZ4" s="325"/>
      <c r="EEA4" s="325"/>
      <c r="EEB4" s="325"/>
      <c r="EEC4" s="325"/>
      <c r="EED4" s="325"/>
      <c r="EEE4" s="325"/>
      <c r="EEF4" s="325"/>
      <c r="EEG4" s="325"/>
      <c r="EEH4" s="325"/>
      <c r="EEI4" s="325"/>
      <c r="EEJ4" s="325"/>
      <c r="EEK4" s="325"/>
      <c r="EEL4" s="325"/>
      <c r="EEM4" s="325"/>
      <c r="EEN4" s="325"/>
      <c r="EEO4" s="325"/>
      <c r="EEP4" s="325"/>
      <c r="EEQ4" s="325"/>
      <c r="EER4" s="325"/>
      <c r="EES4" s="325"/>
      <c r="EET4" s="325"/>
      <c r="EEU4" s="325"/>
      <c r="EEV4" s="325"/>
      <c r="EEW4" s="325"/>
      <c r="EEX4" s="325"/>
      <c r="EEY4" s="325"/>
      <c r="EEZ4" s="325"/>
      <c r="EFA4" s="325"/>
      <c r="EFB4" s="325"/>
      <c r="EFC4" s="325"/>
      <c r="EFD4" s="325"/>
      <c r="EFE4" s="325"/>
      <c r="EFF4" s="325"/>
      <c r="EFG4" s="325"/>
      <c r="EFH4" s="325"/>
      <c r="EFI4" s="325"/>
      <c r="EFJ4" s="325"/>
      <c r="EFK4" s="325"/>
      <c r="EFL4" s="325"/>
      <c r="EFM4" s="325"/>
      <c r="EFN4" s="325"/>
      <c r="EFO4" s="325"/>
      <c r="EFP4" s="325"/>
      <c r="EFQ4" s="325"/>
      <c r="EFR4" s="325"/>
      <c r="EFS4" s="325"/>
      <c r="EFT4" s="325"/>
      <c r="EFU4" s="325"/>
      <c r="EFV4" s="325"/>
      <c r="EFW4" s="325"/>
      <c r="EFX4" s="325"/>
      <c r="EFY4" s="325"/>
      <c r="EFZ4" s="325"/>
      <c r="EGA4" s="325"/>
      <c r="EGB4" s="325"/>
      <c r="EGC4" s="325"/>
      <c r="EGD4" s="325"/>
      <c r="EGE4" s="325"/>
      <c r="EGF4" s="325"/>
      <c r="EGG4" s="325"/>
      <c r="EGH4" s="325"/>
      <c r="EGI4" s="325"/>
      <c r="EGJ4" s="325"/>
      <c r="EGK4" s="325"/>
      <c r="EGL4" s="325"/>
      <c r="EGM4" s="325"/>
      <c r="EGN4" s="325"/>
      <c r="EGO4" s="325"/>
      <c r="EGP4" s="325"/>
      <c r="EGQ4" s="325"/>
      <c r="EGR4" s="325"/>
      <c r="EGS4" s="325"/>
      <c r="EGT4" s="325"/>
      <c r="EGU4" s="325"/>
      <c r="EGV4" s="325"/>
      <c r="EGW4" s="325"/>
      <c r="EGX4" s="325"/>
      <c r="EGY4" s="325"/>
      <c r="EGZ4" s="325"/>
      <c r="EHA4" s="325"/>
      <c r="EHB4" s="325"/>
      <c r="EHC4" s="325"/>
      <c r="EHD4" s="325"/>
      <c r="EHE4" s="325"/>
      <c r="EHF4" s="325"/>
      <c r="EHG4" s="325"/>
      <c r="EHH4" s="325"/>
      <c r="EHI4" s="325"/>
      <c r="EHJ4" s="325"/>
      <c r="EHK4" s="325"/>
      <c r="EHL4" s="325"/>
      <c r="EHM4" s="325"/>
      <c r="EHN4" s="325"/>
      <c r="EHO4" s="325"/>
      <c r="EHP4" s="325"/>
      <c r="EHQ4" s="325"/>
      <c r="EHR4" s="325"/>
      <c r="EHS4" s="325"/>
      <c r="EHT4" s="325"/>
      <c r="EHU4" s="325"/>
      <c r="EHV4" s="325"/>
      <c r="EHW4" s="325"/>
      <c r="EHX4" s="325"/>
      <c r="EHY4" s="325"/>
      <c r="EHZ4" s="325"/>
      <c r="EIA4" s="325"/>
      <c r="EIB4" s="325"/>
      <c r="EIC4" s="325"/>
      <c r="EID4" s="325"/>
      <c r="EIE4" s="325"/>
      <c r="EIF4" s="325"/>
      <c r="EIG4" s="325"/>
      <c r="EIH4" s="325"/>
      <c r="EII4" s="325"/>
      <c r="EIJ4" s="325"/>
      <c r="EIK4" s="325"/>
      <c r="EIL4" s="325"/>
      <c r="EIM4" s="325"/>
      <c r="EIN4" s="325"/>
      <c r="EIO4" s="325"/>
      <c r="EIP4" s="325"/>
      <c r="EIQ4" s="325"/>
      <c r="EIR4" s="325"/>
      <c r="EIS4" s="325"/>
      <c r="EIT4" s="325"/>
      <c r="EIU4" s="325"/>
      <c r="EIV4" s="325"/>
      <c r="EIW4" s="325"/>
      <c r="EIX4" s="325"/>
      <c r="EIY4" s="325"/>
      <c r="EIZ4" s="325"/>
      <c r="EJA4" s="325"/>
      <c r="EJB4" s="325"/>
      <c r="EJC4" s="325"/>
      <c r="EJD4" s="325"/>
      <c r="EJE4" s="325"/>
      <c r="EJF4" s="325"/>
      <c r="EJG4" s="325"/>
      <c r="EJH4" s="325"/>
      <c r="EJI4" s="325"/>
      <c r="EJJ4" s="325"/>
      <c r="EJK4" s="325"/>
      <c r="EJL4" s="325"/>
      <c r="EJM4" s="325"/>
      <c r="EJN4" s="325"/>
      <c r="EJO4" s="325"/>
      <c r="EJP4" s="325"/>
      <c r="EJQ4" s="325"/>
      <c r="EJR4" s="325"/>
      <c r="EJS4" s="325"/>
      <c r="EJT4" s="325"/>
      <c r="EJU4" s="325"/>
      <c r="EJV4" s="325"/>
      <c r="EJW4" s="325"/>
      <c r="EJX4" s="325"/>
      <c r="EJY4" s="325"/>
      <c r="EJZ4" s="325"/>
      <c r="EKA4" s="325"/>
      <c r="EKB4" s="325"/>
      <c r="EKC4" s="325"/>
      <c r="EKD4" s="325"/>
      <c r="EKE4" s="325"/>
      <c r="EKF4" s="325"/>
      <c r="EKG4" s="325"/>
      <c r="EKH4" s="325"/>
      <c r="EKI4" s="325"/>
      <c r="EKJ4" s="325"/>
      <c r="EKK4" s="325"/>
      <c r="EKL4" s="325"/>
      <c r="EKM4" s="325"/>
      <c r="EKN4" s="325"/>
      <c r="EKO4" s="325"/>
      <c r="EKP4" s="325"/>
      <c r="EKQ4" s="325"/>
      <c r="EKR4" s="325"/>
      <c r="EKS4" s="325"/>
      <c r="EKT4" s="325"/>
      <c r="EKU4" s="325"/>
      <c r="EKV4" s="325"/>
      <c r="EKW4" s="325"/>
      <c r="EKX4" s="325"/>
      <c r="EKY4" s="325"/>
      <c r="EKZ4" s="325"/>
      <c r="ELA4" s="325"/>
      <c r="ELB4" s="325"/>
      <c r="ELC4" s="325"/>
      <c r="ELD4" s="325"/>
      <c r="ELE4" s="325"/>
      <c r="ELF4" s="325"/>
      <c r="ELG4" s="325"/>
      <c r="ELH4" s="325"/>
      <c r="ELI4" s="325"/>
      <c r="ELJ4" s="325"/>
      <c r="ELK4" s="325"/>
      <c r="ELL4" s="325"/>
      <c r="ELM4" s="325"/>
      <c r="ELN4" s="325"/>
      <c r="ELO4" s="325"/>
      <c r="ELP4" s="325"/>
      <c r="ELQ4" s="325"/>
      <c r="ELR4" s="325"/>
      <c r="ELS4" s="325"/>
      <c r="ELT4" s="325"/>
      <c r="ELU4" s="325"/>
      <c r="ELV4" s="325"/>
      <c r="ELW4" s="325"/>
      <c r="ELX4" s="325"/>
      <c r="ELY4" s="325"/>
      <c r="ELZ4" s="325"/>
      <c r="EMA4" s="325"/>
      <c r="EMB4" s="325"/>
      <c r="EMC4" s="325"/>
      <c r="EMD4" s="325"/>
      <c r="EME4" s="325"/>
      <c r="EMF4" s="325"/>
      <c r="EMG4" s="325"/>
      <c r="EMH4" s="325"/>
      <c r="EMI4" s="325"/>
      <c r="EMJ4" s="325"/>
      <c r="EMK4" s="325"/>
      <c r="EML4" s="325"/>
      <c r="EMM4" s="325"/>
      <c r="EMN4" s="325"/>
      <c r="EMO4" s="325"/>
      <c r="EMP4" s="325"/>
      <c r="EMQ4" s="325"/>
      <c r="EMR4" s="325"/>
      <c r="EMS4" s="325"/>
      <c r="EMT4" s="325"/>
      <c r="EMU4" s="325"/>
      <c r="EMV4" s="325"/>
      <c r="EMW4" s="325"/>
      <c r="EMX4" s="325"/>
      <c r="EMY4" s="325"/>
      <c r="EMZ4" s="325"/>
      <c r="ENA4" s="325"/>
      <c r="ENB4" s="325"/>
      <c r="ENC4" s="325"/>
      <c r="END4" s="325"/>
      <c r="ENE4" s="325"/>
      <c r="ENF4" s="325"/>
      <c r="ENG4" s="325"/>
      <c r="ENH4" s="325"/>
      <c r="ENI4" s="325"/>
      <c r="ENJ4" s="325"/>
      <c r="ENK4" s="325"/>
      <c r="ENL4" s="325"/>
      <c r="ENM4" s="325"/>
      <c r="ENN4" s="325"/>
      <c r="ENO4" s="325"/>
      <c r="ENP4" s="325"/>
      <c r="ENQ4" s="325"/>
      <c r="ENR4" s="325"/>
      <c r="ENS4" s="325"/>
      <c r="ENT4" s="325"/>
      <c r="ENU4" s="325"/>
      <c r="ENV4" s="325"/>
      <c r="ENW4" s="325"/>
      <c r="ENX4" s="325"/>
      <c r="ENY4" s="325"/>
      <c r="ENZ4" s="325"/>
      <c r="EOA4" s="325"/>
      <c r="EOB4" s="325"/>
      <c r="EOC4" s="325"/>
      <c r="EOD4" s="325"/>
      <c r="EOE4" s="325"/>
      <c r="EOF4" s="325"/>
      <c r="EOG4" s="325"/>
      <c r="EOH4" s="325"/>
      <c r="EOI4" s="325"/>
      <c r="EOJ4" s="325"/>
      <c r="EOK4" s="325"/>
      <c r="EOL4" s="325"/>
      <c r="EOM4" s="325"/>
      <c r="EON4" s="325"/>
      <c r="EOO4" s="325"/>
      <c r="EOP4" s="325"/>
      <c r="EOQ4" s="325"/>
      <c r="EOR4" s="325"/>
      <c r="EOS4" s="325"/>
      <c r="EOT4" s="325"/>
      <c r="EOU4" s="325"/>
      <c r="EOV4" s="325"/>
      <c r="EOW4" s="325"/>
      <c r="EOX4" s="325"/>
      <c r="EOY4" s="325"/>
      <c r="EOZ4" s="325"/>
      <c r="EPA4" s="325"/>
      <c r="EPB4" s="325"/>
      <c r="EPC4" s="325"/>
      <c r="EPD4" s="325"/>
      <c r="EPE4" s="325"/>
      <c r="EPF4" s="325"/>
      <c r="EPG4" s="325"/>
      <c r="EPH4" s="325"/>
      <c r="EPI4" s="325"/>
      <c r="EPJ4" s="325"/>
      <c r="EPK4" s="325"/>
      <c r="EPL4" s="325"/>
      <c r="EPM4" s="325"/>
      <c r="EPN4" s="325"/>
      <c r="EPO4" s="325"/>
      <c r="EPP4" s="325"/>
      <c r="EPQ4" s="325"/>
      <c r="EPR4" s="325"/>
      <c r="EPS4" s="325"/>
      <c r="EPT4" s="325"/>
      <c r="EPU4" s="325"/>
      <c r="EPV4" s="325"/>
      <c r="EPW4" s="325"/>
      <c r="EPX4" s="325"/>
      <c r="EPY4" s="325"/>
      <c r="EPZ4" s="325"/>
      <c r="EQA4" s="325"/>
      <c r="EQB4" s="325"/>
      <c r="EQC4" s="325"/>
      <c r="EQD4" s="325"/>
      <c r="EQE4" s="325"/>
      <c r="EQF4" s="325"/>
      <c r="EQG4" s="325"/>
      <c r="EQH4" s="325"/>
      <c r="EQI4" s="325"/>
      <c r="EQJ4" s="325"/>
      <c r="EQK4" s="325"/>
      <c r="EQL4" s="325"/>
      <c r="EQM4" s="325"/>
      <c r="EQN4" s="325"/>
      <c r="EQO4" s="325"/>
      <c r="EQP4" s="325"/>
      <c r="EQQ4" s="325"/>
      <c r="EQR4" s="325"/>
      <c r="EQS4" s="325"/>
      <c r="EQT4" s="325"/>
      <c r="EQU4" s="325"/>
      <c r="EQV4" s="325"/>
      <c r="EQW4" s="325"/>
      <c r="EQX4" s="325"/>
      <c r="EQY4" s="325"/>
      <c r="EQZ4" s="325"/>
      <c r="ERA4" s="325"/>
      <c r="ERB4" s="325"/>
      <c r="ERC4" s="325"/>
      <c r="ERD4" s="325"/>
      <c r="ERE4" s="325"/>
      <c r="ERF4" s="325"/>
      <c r="ERG4" s="325"/>
      <c r="ERH4" s="325"/>
      <c r="ERI4" s="325"/>
      <c r="ERJ4" s="325"/>
      <c r="ERK4" s="325"/>
      <c r="ERL4" s="325"/>
      <c r="ERM4" s="325"/>
      <c r="ERN4" s="325"/>
      <c r="ERO4" s="325"/>
      <c r="ERP4" s="325"/>
      <c r="ERQ4" s="325"/>
      <c r="ERR4" s="325"/>
      <c r="ERS4" s="325"/>
      <c r="ERT4" s="325"/>
      <c r="ERU4" s="325"/>
      <c r="ERV4" s="325"/>
      <c r="ERW4" s="325"/>
      <c r="ERX4" s="325"/>
      <c r="ERY4" s="325"/>
      <c r="ERZ4" s="325"/>
      <c r="ESA4" s="325"/>
      <c r="ESB4" s="325"/>
      <c r="ESC4" s="325"/>
      <c r="ESD4" s="325"/>
      <c r="ESE4" s="325"/>
      <c r="ESF4" s="325"/>
      <c r="ESG4" s="325"/>
      <c r="ESH4" s="325"/>
      <c r="ESI4" s="325"/>
      <c r="ESJ4" s="325"/>
      <c r="ESK4" s="325"/>
      <c r="ESL4" s="325"/>
      <c r="ESM4" s="325"/>
      <c r="ESN4" s="325"/>
      <c r="ESO4" s="325"/>
      <c r="ESP4" s="325"/>
      <c r="ESQ4" s="325"/>
      <c r="ESR4" s="325"/>
      <c r="ESS4" s="325"/>
      <c r="EST4" s="325"/>
      <c r="ESU4" s="325"/>
      <c r="ESV4" s="325"/>
      <c r="ESW4" s="325"/>
      <c r="ESX4" s="325"/>
      <c r="ESY4" s="325"/>
      <c r="ESZ4" s="325"/>
      <c r="ETA4" s="325"/>
      <c r="ETB4" s="325"/>
      <c r="ETC4" s="325"/>
      <c r="ETD4" s="325"/>
      <c r="ETE4" s="325"/>
      <c r="ETF4" s="325"/>
      <c r="ETG4" s="325"/>
      <c r="ETH4" s="325"/>
      <c r="ETI4" s="325"/>
      <c r="ETJ4" s="325"/>
      <c r="ETK4" s="325"/>
      <c r="ETL4" s="325"/>
      <c r="ETM4" s="325"/>
      <c r="ETN4" s="325"/>
      <c r="ETO4" s="325"/>
      <c r="ETP4" s="325"/>
      <c r="ETQ4" s="325"/>
      <c r="ETR4" s="325"/>
      <c r="ETS4" s="325"/>
      <c r="ETT4" s="325"/>
      <c r="ETU4" s="325"/>
      <c r="ETV4" s="325"/>
      <c r="ETW4" s="325"/>
      <c r="ETX4" s="325"/>
      <c r="ETY4" s="325"/>
      <c r="ETZ4" s="325"/>
      <c r="EUA4" s="325"/>
      <c r="EUB4" s="325"/>
      <c r="EUC4" s="325"/>
      <c r="EUD4" s="325"/>
      <c r="EUE4" s="325"/>
      <c r="EUF4" s="325"/>
      <c r="EUG4" s="325"/>
      <c r="EUH4" s="325"/>
      <c r="EUI4" s="325"/>
      <c r="EUJ4" s="325"/>
      <c r="EUK4" s="325"/>
      <c r="EUL4" s="325"/>
      <c r="EUM4" s="325"/>
      <c r="EUN4" s="325"/>
      <c r="EUO4" s="325"/>
      <c r="EUP4" s="325"/>
      <c r="EUQ4" s="325"/>
      <c r="EUR4" s="325"/>
      <c r="EUS4" s="325"/>
      <c r="EUT4" s="325"/>
      <c r="EUU4" s="325"/>
      <c r="EUV4" s="325"/>
      <c r="EUW4" s="325"/>
      <c r="EUX4" s="325"/>
      <c r="EUY4" s="325"/>
      <c r="EUZ4" s="325"/>
      <c r="EVA4" s="325"/>
      <c r="EVB4" s="325"/>
      <c r="EVC4" s="325"/>
      <c r="EVD4" s="325"/>
      <c r="EVE4" s="325"/>
      <c r="EVF4" s="325"/>
      <c r="EVG4" s="325"/>
      <c r="EVH4" s="325"/>
      <c r="EVI4" s="325"/>
      <c r="EVJ4" s="325"/>
      <c r="EVK4" s="325"/>
      <c r="EVL4" s="325"/>
      <c r="EVM4" s="325"/>
      <c r="EVN4" s="325"/>
      <c r="EVO4" s="325"/>
      <c r="EVP4" s="325"/>
      <c r="EVQ4" s="325"/>
      <c r="EVR4" s="325"/>
      <c r="EVS4" s="325"/>
      <c r="EVT4" s="325"/>
      <c r="EVU4" s="325"/>
      <c r="EVV4" s="325"/>
      <c r="EVW4" s="325"/>
      <c r="EVX4" s="325"/>
      <c r="EVY4" s="325"/>
      <c r="EVZ4" s="325"/>
      <c r="EWA4" s="325"/>
      <c r="EWB4" s="325"/>
      <c r="EWC4" s="325"/>
      <c r="EWD4" s="325"/>
      <c r="EWE4" s="325"/>
      <c r="EWF4" s="325"/>
      <c r="EWG4" s="325"/>
      <c r="EWH4" s="325"/>
      <c r="EWI4" s="325"/>
      <c r="EWJ4" s="325"/>
      <c r="EWK4" s="325"/>
      <c r="EWL4" s="325"/>
      <c r="EWM4" s="325"/>
      <c r="EWN4" s="325"/>
      <c r="EWO4" s="325"/>
      <c r="EWP4" s="325"/>
      <c r="EWQ4" s="325"/>
      <c r="EWR4" s="325"/>
      <c r="EWS4" s="325"/>
      <c r="EWT4" s="325"/>
      <c r="EWU4" s="325"/>
      <c r="EWV4" s="325"/>
      <c r="EWW4" s="325"/>
      <c r="EWX4" s="325"/>
      <c r="EWY4" s="325"/>
      <c r="EWZ4" s="325"/>
      <c r="EXA4" s="325"/>
      <c r="EXB4" s="325"/>
      <c r="EXC4" s="325"/>
      <c r="EXD4" s="325"/>
      <c r="EXE4" s="325"/>
      <c r="EXF4" s="325"/>
      <c r="EXG4" s="325"/>
      <c r="EXH4" s="325"/>
      <c r="EXI4" s="325"/>
      <c r="EXJ4" s="325"/>
      <c r="EXK4" s="325"/>
      <c r="EXL4" s="325"/>
      <c r="EXM4" s="325"/>
      <c r="EXN4" s="325"/>
      <c r="EXO4" s="325"/>
      <c r="EXP4" s="325"/>
      <c r="EXQ4" s="325"/>
      <c r="EXR4" s="325"/>
      <c r="EXS4" s="325"/>
      <c r="EXT4" s="325"/>
      <c r="EXU4" s="325"/>
      <c r="EXV4" s="325"/>
      <c r="EXW4" s="325"/>
      <c r="EXX4" s="325"/>
      <c r="EXY4" s="325"/>
      <c r="EXZ4" s="325"/>
      <c r="EYA4" s="325"/>
      <c r="EYB4" s="325"/>
      <c r="EYC4" s="325"/>
      <c r="EYD4" s="325"/>
      <c r="EYE4" s="325"/>
      <c r="EYF4" s="325"/>
      <c r="EYG4" s="325"/>
      <c r="EYH4" s="325"/>
      <c r="EYI4" s="325"/>
      <c r="EYJ4" s="325"/>
      <c r="EYK4" s="325"/>
      <c r="EYL4" s="325"/>
      <c r="EYM4" s="325"/>
      <c r="EYN4" s="325"/>
      <c r="EYO4" s="325"/>
      <c r="EYP4" s="325"/>
      <c r="EYQ4" s="325"/>
      <c r="EYR4" s="325"/>
      <c r="EYS4" s="325"/>
      <c r="EYT4" s="325"/>
      <c r="EYU4" s="325"/>
      <c r="EYV4" s="325"/>
      <c r="EYW4" s="325"/>
      <c r="EYX4" s="325"/>
      <c r="EYY4" s="325"/>
      <c r="EYZ4" s="325"/>
      <c r="EZA4" s="325"/>
      <c r="EZB4" s="325"/>
      <c r="EZC4" s="325"/>
      <c r="EZD4" s="325"/>
      <c r="EZE4" s="325"/>
      <c r="EZF4" s="325"/>
      <c r="EZG4" s="325"/>
      <c r="EZH4" s="325"/>
      <c r="EZI4" s="325"/>
      <c r="EZJ4" s="325"/>
      <c r="EZK4" s="325"/>
      <c r="EZL4" s="325"/>
      <c r="EZM4" s="325"/>
      <c r="EZN4" s="325"/>
      <c r="EZO4" s="325"/>
      <c r="EZP4" s="325"/>
      <c r="EZQ4" s="325"/>
      <c r="EZR4" s="325"/>
      <c r="EZS4" s="325"/>
      <c r="EZT4" s="325"/>
      <c r="EZU4" s="325"/>
      <c r="EZV4" s="325"/>
      <c r="EZW4" s="325"/>
      <c r="EZX4" s="325"/>
      <c r="EZY4" s="325"/>
      <c r="EZZ4" s="325"/>
      <c r="FAA4" s="325"/>
      <c r="FAB4" s="325"/>
      <c r="FAC4" s="325"/>
      <c r="FAD4" s="325"/>
      <c r="FAE4" s="325"/>
      <c r="FAF4" s="325"/>
      <c r="FAG4" s="325"/>
      <c r="FAH4" s="325"/>
      <c r="FAI4" s="325"/>
      <c r="FAJ4" s="325"/>
      <c r="FAK4" s="325"/>
      <c r="FAL4" s="325"/>
      <c r="FAM4" s="325"/>
      <c r="FAN4" s="325"/>
      <c r="FAO4" s="325"/>
      <c r="FAP4" s="325"/>
      <c r="FAQ4" s="325"/>
      <c r="FAR4" s="325"/>
      <c r="FAS4" s="325"/>
      <c r="FAT4" s="325"/>
      <c r="FAU4" s="325"/>
      <c r="FAV4" s="325"/>
      <c r="FAW4" s="325"/>
      <c r="FAX4" s="325"/>
      <c r="FAY4" s="325"/>
      <c r="FAZ4" s="325"/>
      <c r="FBA4" s="325"/>
      <c r="FBB4" s="325"/>
      <c r="FBC4" s="325"/>
      <c r="FBD4" s="325"/>
      <c r="FBE4" s="325"/>
      <c r="FBF4" s="325"/>
      <c r="FBG4" s="325"/>
      <c r="FBH4" s="325"/>
      <c r="FBI4" s="325"/>
      <c r="FBJ4" s="325"/>
      <c r="FBK4" s="325"/>
      <c r="FBL4" s="325"/>
      <c r="FBM4" s="325"/>
      <c r="FBN4" s="325"/>
      <c r="FBO4" s="325"/>
      <c r="FBP4" s="325"/>
      <c r="FBQ4" s="325"/>
      <c r="FBR4" s="325"/>
      <c r="FBS4" s="325"/>
      <c r="FBT4" s="325"/>
      <c r="FBU4" s="325"/>
      <c r="FBV4" s="325"/>
      <c r="FBW4" s="325"/>
      <c r="FBX4" s="325"/>
      <c r="FBY4" s="325"/>
      <c r="FBZ4" s="325"/>
      <c r="FCA4" s="325"/>
      <c r="FCB4" s="325"/>
      <c r="FCC4" s="325"/>
      <c r="FCD4" s="325"/>
      <c r="FCE4" s="325"/>
      <c r="FCF4" s="325"/>
      <c r="FCG4" s="325"/>
      <c r="FCH4" s="325"/>
      <c r="FCI4" s="325"/>
      <c r="FCJ4" s="325"/>
      <c r="FCK4" s="325"/>
      <c r="FCL4" s="325"/>
      <c r="FCM4" s="325"/>
      <c r="FCN4" s="325"/>
      <c r="FCO4" s="325"/>
      <c r="FCP4" s="325"/>
      <c r="FCQ4" s="325"/>
      <c r="FCR4" s="325"/>
      <c r="FCS4" s="325"/>
      <c r="FCT4" s="325"/>
      <c r="FCU4" s="325"/>
      <c r="FCV4" s="325"/>
      <c r="FCW4" s="325"/>
      <c r="FCX4" s="325"/>
      <c r="FCY4" s="325"/>
      <c r="FCZ4" s="325"/>
      <c r="FDA4" s="325"/>
      <c r="FDB4" s="325"/>
      <c r="FDC4" s="325"/>
      <c r="FDD4" s="325"/>
      <c r="FDE4" s="325"/>
      <c r="FDF4" s="325"/>
      <c r="FDG4" s="325"/>
      <c r="FDH4" s="325"/>
      <c r="FDI4" s="325"/>
      <c r="FDJ4" s="325"/>
      <c r="FDK4" s="325"/>
      <c r="FDL4" s="325"/>
      <c r="FDM4" s="325"/>
      <c r="FDN4" s="325"/>
      <c r="FDO4" s="325"/>
      <c r="FDP4" s="325"/>
      <c r="FDQ4" s="325"/>
      <c r="FDR4" s="325"/>
      <c r="FDS4" s="325"/>
      <c r="FDT4" s="325"/>
      <c r="FDU4" s="325"/>
      <c r="FDV4" s="325"/>
      <c r="FDW4" s="325"/>
      <c r="FDX4" s="325"/>
      <c r="FDY4" s="325"/>
      <c r="FDZ4" s="325"/>
      <c r="FEA4" s="325"/>
      <c r="FEB4" s="325"/>
      <c r="FEC4" s="325"/>
      <c r="FED4" s="325"/>
      <c r="FEE4" s="325"/>
      <c r="FEF4" s="325"/>
      <c r="FEG4" s="325"/>
      <c r="FEH4" s="325"/>
      <c r="FEI4" s="325"/>
      <c r="FEJ4" s="325"/>
      <c r="FEK4" s="325"/>
      <c r="FEL4" s="325"/>
      <c r="FEM4" s="325"/>
      <c r="FEN4" s="325"/>
      <c r="FEO4" s="325"/>
      <c r="FEP4" s="325"/>
      <c r="FEQ4" s="325"/>
      <c r="FER4" s="325"/>
      <c r="FES4" s="325"/>
      <c r="FET4" s="325"/>
      <c r="FEU4" s="325"/>
      <c r="FEV4" s="325"/>
      <c r="FEW4" s="325"/>
      <c r="FEX4" s="325"/>
      <c r="FEY4" s="325"/>
      <c r="FEZ4" s="325"/>
      <c r="FFA4" s="325"/>
      <c r="FFB4" s="325"/>
      <c r="FFC4" s="325"/>
      <c r="FFD4" s="325"/>
      <c r="FFE4" s="325"/>
      <c r="FFF4" s="325"/>
      <c r="FFG4" s="325"/>
      <c r="FFH4" s="325"/>
      <c r="FFI4" s="325"/>
      <c r="FFJ4" s="325"/>
      <c r="FFK4" s="325"/>
      <c r="FFL4" s="325"/>
      <c r="FFM4" s="325"/>
      <c r="FFN4" s="325"/>
      <c r="FFO4" s="325"/>
      <c r="FFP4" s="325"/>
      <c r="FFQ4" s="325"/>
      <c r="FFR4" s="325"/>
      <c r="FFS4" s="325"/>
      <c r="FFT4" s="325"/>
      <c r="FFU4" s="325"/>
      <c r="FFV4" s="325"/>
      <c r="FFW4" s="325"/>
      <c r="FFX4" s="325"/>
      <c r="FFY4" s="325"/>
      <c r="FFZ4" s="325"/>
      <c r="FGA4" s="325"/>
      <c r="FGB4" s="325"/>
      <c r="FGC4" s="325"/>
      <c r="FGD4" s="325"/>
      <c r="FGE4" s="325"/>
      <c r="FGF4" s="325"/>
      <c r="FGG4" s="325"/>
      <c r="FGH4" s="325"/>
      <c r="FGI4" s="325"/>
      <c r="FGJ4" s="325"/>
      <c r="FGK4" s="325"/>
      <c r="FGL4" s="325"/>
      <c r="FGM4" s="325"/>
      <c r="FGN4" s="325"/>
      <c r="FGO4" s="325"/>
      <c r="FGP4" s="325"/>
      <c r="FGQ4" s="325"/>
      <c r="FGR4" s="325"/>
      <c r="FGS4" s="325"/>
      <c r="FGT4" s="325"/>
      <c r="FGU4" s="325"/>
      <c r="FGV4" s="325"/>
      <c r="FGW4" s="325"/>
      <c r="FGX4" s="325"/>
      <c r="FGY4" s="325"/>
      <c r="FGZ4" s="325"/>
      <c r="FHA4" s="325"/>
      <c r="FHB4" s="325"/>
      <c r="FHC4" s="325"/>
      <c r="FHD4" s="325"/>
      <c r="FHE4" s="325"/>
      <c r="FHF4" s="325"/>
      <c r="FHG4" s="325"/>
      <c r="FHH4" s="325"/>
      <c r="FHI4" s="325"/>
      <c r="FHJ4" s="325"/>
      <c r="FHK4" s="325"/>
      <c r="FHL4" s="325"/>
      <c r="FHM4" s="325"/>
      <c r="FHN4" s="325"/>
      <c r="FHO4" s="325"/>
      <c r="FHP4" s="325"/>
      <c r="FHQ4" s="325"/>
      <c r="FHR4" s="325"/>
      <c r="FHS4" s="325"/>
      <c r="FHT4" s="325"/>
      <c r="FHU4" s="325"/>
      <c r="FHV4" s="325"/>
      <c r="FHW4" s="325"/>
      <c r="FHX4" s="325"/>
      <c r="FHY4" s="325"/>
      <c r="FHZ4" s="325"/>
      <c r="FIA4" s="325"/>
      <c r="FIB4" s="325"/>
      <c r="FIC4" s="325"/>
      <c r="FID4" s="325"/>
      <c r="FIE4" s="325"/>
      <c r="FIF4" s="325"/>
      <c r="FIG4" s="325"/>
      <c r="FIH4" s="325"/>
      <c r="FII4" s="325"/>
      <c r="FIJ4" s="325"/>
      <c r="FIK4" s="325"/>
      <c r="FIL4" s="325"/>
      <c r="FIM4" s="325"/>
      <c r="FIN4" s="325"/>
      <c r="FIO4" s="325"/>
      <c r="FIP4" s="325"/>
      <c r="FIQ4" s="325"/>
      <c r="FIR4" s="325"/>
      <c r="FIS4" s="325"/>
      <c r="FIT4" s="325"/>
      <c r="FIU4" s="325"/>
      <c r="FIV4" s="325"/>
      <c r="FIW4" s="325"/>
      <c r="FIX4" s="325"/>
      <c r="FIY4" s="325"/>
      <c r="FIZ4" s="325"/>
      <c r="FJA4" s="325"/>
      <c r="FJB4" s="325"/>
      <c r="FJC4" s="325"/>
      <c r="FJD4" s="325"/>
      <c r="FJE4" s="325"/>
      <c r="FJF4" s="325"/>
      <c r="FJG4" s="325"/>
      <c r="FJH4" s="325"/>
      <c r="FJI4" s="325"/>
      <c r="FJJ4" s="325"/>
      <c r="FJK4" s="325"/>
      <c r="FJL4" s="325"/>
      <c r="FJM4" s="325"/>
      <c r="FJN4" s="325"/>
      <c r="FJO4" s="325"/>
      <c r="FJP4" s="325"/>
      <c r="FJQ4" s="325"/>
      <c r="FJR4" s="325"/>
      <c r="FJS4" s="325"/>
      <c r="FJT4" s="325"/>
      <c r="FJU4" s="325"/>
      <c r="FJV4" s="325"/>
      <c r="FJW4" s="325"/>
      <c r="FJX4" s="325"/>
      <c r="FJY4" s="325"/>
      <c r="FJZ4" s="325"/>
      <c r="FKA4" s="325"/>
      <c r="FKB4" s="325"/>
      <c r="FKC4" s="325"/>
      <c r="FKD4" s="325"/>
      <c r="FKE4" s="325"/>
      <c r="FKF4" s="325"/>
      <c r="FKG4" s="325"/>
      <c r="FKH4" s="325"/>
      <c r="FKI4" s="325"/>
      <c r="FKJ4" s="325"/>
      <c r="FKK4" s="325"/>
      <c r="FKL4" s="325"/>
      <c r="FKM4" s="325"/>
      <c r="FKN4" s="325"/>
      <c r="FKO4" s="325"/>
      <c r="FKP4" s="325"/>
      <c r="FKQ4" s="325"/>
      <c r="FKR4" s="325"/>
      <c r="FKS4" s="325"/>
      <c r="FKT4" s="325"/>
      <c r="FKU4" s="325"/>
      <c r="FKV4" s="325"/>
      <c r="FKW4" s="325"/>
      <c r="FKX4" s="325"/>
      <c r="FKY4" s="325"/>
      <c r="FKZ4" s="325"/>
      <c r="FLA4" s="325"/>
      <c r="FLB4" s="325"/>
      <c r="FLC4" s="325"/>
      <c r="FLD4" s="325"/>
      <c r="FLE4" s="325"/>
      <c r="FLF4" s="325"/>
      <c r="FLG4" s="325"/>
      <c r="FLH4" s="325"/>
      <c r="FLI4" s="325"/>
      <c r="FLJ4" s="325"/>
      <c r="FLK4" s="325"/>
      <c r="FLL4" s="325"/>
      <c r="FLM4" s="325"/>
      <c r="FLN4" s="325"/>
      <c r="FLO4" s="325"/>
      <c r="FLP4" s="325"/>
      <c r="FLQ4" s="325"/>
      <c r="FLR4" s="325"/>
      <c r="FLS4" s="325"/>
      <c r="FLT4" s="325"/>
      <c r="FLU4" s="325"/>
      <c r="FLV4" s="325"/>
      <c r="FLW4" s="325"/>
      <c r="FLX4" s="325"/>
      <c r="FLY4" s="325"/>
      <c r="FLZ4" s="325"/>
      <c r="FMA4" s="325"/>
      <c r="FMB4" s="325"/>
      <c r="FMC4" s="325"/>
      <c r="FMD4" s="325"/>
      <c r="FME4" s="325"/>
      <c r="FMF4" s="325"/>
      <c r="FMG4" s="325"/>
      <c r="FMH4" s="325"/>
      <c r="FMI4" s="325"/>
      <c r="FMJ4" s="325"/>
      <c r="FMK4" s="325"/>
      <c r="FML4" s="325"/>
      <c r="FMM4" s="325"/>
      <c r="FMN4" s="325"/>
      <c r="FMO4" s="325"/>
      <c r="FMP4" s="325"/>
      <c r="FMQ4" s="325"/>
      <c r="FMR4" s="325"/>
      <c r="FMS4" s="325"/>
      <c r="FMT4" s="325"/>
      <c r="FMU4" s="325"/>
      <c r="FMV4" s="325"/>
      <c r="FMW4" s="325"/>
      <c r="FMX4" s="325"/>
      <c r="FMY4" s="325"/>
      <c r="FMZ4" s="325"/>
      <c r="FNA4" s="325"/>
      <c r="FNB4" s="325"/>
      <c r="FNC4" s="325"/>
      <c r="FND4" s="325"/>
      <c r="FNE4" s="325"/>
      <c r="FNF4" s="325"/>
      <c r="FNG4" s="325"/>
      <c r="FNH4" s="325"/>
      <c r="FNI4" s="325"/>
      <c r="FNJ4" s="325"/>
      <c r="FNK4" s="325"/>
      <c r="FNL4" s="325"/>
      <c r="FNM4" s="325"/>
      <c r="FNN4" s="325"/>
      <c r="FNO4" s="325"/>
      <c r="FNP4" s="325"/>
      <c r="FNQ4" s="325"/>
      <c r="FNR4" s="325"/>
      <c r="FNS4" s="325"/>
      <c r="FNT4" s="325"/>
      <c r="FNU4" s="325"/>
      <c r="FNV4" s="325"/>
      <c r="FNW4" s="325"/>
      <c r="FNX4" s="325"/>
      <c r="FNY4" s="325"/>
      <c r="FNZ4" s="325"/>
      <c r="FOA4" s="325"/>
      <c r="FOB4" s="325"/>
      <c r="FOC4" s="325"/>
      <c r="FOD4" s="325"/>
      <c r="FOE4" s="325"/>
      <c r="FOF4" s="325"/>
      <c r="FOG4" s="325"/>
      <c r="FOH4" s="325"/>
      <c r="FOI4" s="325"/>
      <c r="FOJ4" s="325"/>
      <c r="FOK4" s="325"/>
      <c r="FOL4" s="325"/>
      <c r="FOM4" s="325"/>
      <c r="FON4" s="325"/>
      <c r="FOO4" s="325"/>
      <c r="FOP4" s="325"/>
      <c r="FOQ4" s="325"/>
      <c r="FOR4" s="325"/>
      <c r="FOS4" s="325"/>
      <c r="FOT4" s="325"/>
      <c r="FOU4" s="325"/>
      <c r="FOV4" s="325"/>
      <c r="FOW4" s="325"/>
      <c r="FOX4" s="325"/>
      <c r="FOY4" s="325"/>
      <c r="FOZ4" s="325"/>
      <c r="FPA4" s="325"/>
      <c r="FPB4" s="325"/>
      <c r="FPC4" s="325"/>
      <c r="FPD4" s="325"/>
      <c r="FPE4" s="325"/>
      <c r="FPF4" s="325"/>
      <c r="FPG4" s="325"/>
      <c r="FPH4" s="325"/>
      <c r="FPI4" s="325"/>
      <c r="FPJ4" s="325"/>
      <c r="FPK4" s="325"/>
      <c r="FPL4" s="325"/>
      <c r="FPM4" s="325"/>
      <c r="FPN4" s="325"/>
      <c r="FPO4" s="325"/>
      <c r="FPP4" s="325"/>
      <c r="FPQ4" s="325"/>
      <c r="FPR4" s="325"/>
      <c r="FPS4" s="325"/>
      <c r="FPT4" s="325"/>
      <c r="FPU4" s="325"/>
      <c r="FPV4" s="325"/>
      <c r="FPW4" s="325"/>
      <c r="FPX4" s="325"/>
      <c r="FPY4" s="325"/>
      <c r="FPZ4" s="325"/>
      <c r="FQA4" s="325"/>
      <c r="FQB4" s="325"/>
      <c r="FQC4" s="325"/>
      <c r="FQD4" s="325"/>
      <c r="FQE4" s="325"/>
      <c r="FQF4" s="325"/>
      <c r="FQG4" s="325"/>
      <c r="FQH4" s="325"/>
      <c r="FQI4" s="325"/>
      <c r="FQJ4" s="325"/>
      <c r="FQK4" s="325"/>
      <c r="FQL4" s="325"/>
      <c r="FQM4" s="325"/>
      <c r="FQN4" s="325"/>
      <c r="FQO4" s="325"/>
      <c r="FQP4" s="325"/>
      <c r="FQQ4" s="325"/>
      <c r="FQR4" s="325"/>
      <c r="FQS4" s="325"/>
      <c r="FQT4" s="325"/>
      <c r="FQU4" s="325"/>
      <c r="FQV4" s="325"/>
      <c r="FQW4" s="325"/>
      <c r="FQX4" s="325"/>
      <c r="FQY4" s="325"/>
      <c r="FQZ4" s="325"/>
      <c r="FRA4" s="325"/>
      <c r="FRB4" s="325"/>
      <c r="FRC4" s="325"/>
      <c r="FRD4" s="325"/>
      <c r="FRE4" s="325"/>
      <c r="FRF4" s="325"/>
      <c r="FRG4" s="325"/>
      <c r="FRH4" s="325"/>
      <c r="FRI4" s="325"/>
      <c r="FRJ4" s="325"/>
      <c r="FRK4" s="325"/>
      <c r="FRL4" s="325"/>
      <c r="FRM4" s="325"/>
      <c r="FRN4" s="325"/>
      <c r="FRO4" s="325"/>
      <c r="FRP4" s="325"/>
      <c r="FRQ4" s="325"/>
      <c r="FRR4" s="325"/>
      <c r="FRS4" s="325"/>
      <c r="FRT4" s="325"/>
      <c r="FRU4" s="325"/>
      <c r="FRV4" s="325"/>
      <c r="FRW4" s="325"/>
      <c r="FRX4" s="325"/>
      <c r="FRY4" s="325"/>
      <c r="FRZ4" s="325"/>
      <c r="FSA4" s="325"/>
      <c r="FSB4" s="325"/>
      <c r="FSC4" s="325"/>
      <c r="FSD4" s="325"/>
      <c r="FSE4" s="325"/>
      <c r="FSF4" s="325"/>
      <c r="FSG4" s="325"/>
      <c r="FSH4" s="325"/>
      <c r="FSI4" s="325"/>
      <c r="FSJ4" s="325"/>
      <c r="FSK4" s="325"/>
      <c r="FSL4" s="325"/>
      <c r="FSM4" s="325"/>
      <c r="FSN4" s="325"/>
      <c r="FSO4" s="325"/>
      <c r="FSP4" s="325"/>
      <c r="FSQ4" s="325"/>
      <c r="FSR4" s="325"/>
      <c r="FSS4" s="325"/>
      <c r="FST4" s="325"/>
      <c r="FSU4" s="325"/>
      <c r="FSV4" s="325"/>
      <c r="FSW4" s="325"/>
      <c r="FSX4" s="325"/>
      <c r="FSY4" s="325"/>
      <c r="FSZ4" s="325"/>
      <c r="FTA4" s="325"/>
      <c r="FTB4" s="325"/>
      <c r="FTC4" s="325"/>
      <c r="FTD4" s="325"/>
      <c r="FTE4" s="325"/>
      <c r="FTF4" s="325"/>
      <c r="FTG4" s="325"/>
      <c r="FTH4" s="325"/>
      <c r="FTI4" s="325"/>
      <c r="FTJ4" s="325"/>
      <c r="FTK4" s="325"/>
      <c r="FTL4" s="325"/>
      <c r="FTM4" s="325"/>
      <c r="FTN4" s="325"/>
      <c r="FTO4" s="325"/>
      <c r="FTP4" s="325"/>
      <c r="FTQ4" s="325"/>
      <c r="FTR4" s="325"/>
      <c r="FTS4" s="325"/>
      <c r="FTT4" s="325"/>
      <c r="FTU4" s="325"/>
      <c r="FTV4" s="325"/>
      <c r="FTW4" s="325"/>
      <c r="FTX4" s="325"/>
      <c r="FTY4" s="325"/>
      <c r="FTZ4" s="325"/>
      <c r="FUA4" s="325"/>
      <c r="FUB4" s="325"/>
      <c r="FUC4" s="325"/>
      <c r="FUD4" s="325"/>
      <c r="FUE4" s="325"/>
      <c r="FUF4" s="325"/>
      <c r="FUG4" s="325"/>
      <c r="FUH4" s="325"/>
      <c r="FUI4" s="325"/>
      <c r="FUJ4" s="325"/>
      <c r="FUK4" s="325"/>
      <c r="FUL4" s="325"/>
      <c r="FUM4" s="325"/>
      <c r="FUN4" s="325"/>
      <c r="FUO4" s="325"/>
      <c r="FUP4" s="325"/>
      <c r="FUQ4" s="325"/>
      <c r="FUR4" s="325"/>
      <c r="FUS4" s="325"/>
      <c r="FUT4" s="325"/>
      <c r="FUU4" s="325"/>
      <c r="FUV4" s="325"/>
      <c r="FUW4" s="325"/>
      <c r="FUX4" s="325"/>
      <c r="FUY4" s="325"/>
      <c r="FUZ4" s="325"/>
      <c r="FVA4" s="325"/>
      <c r="FVB4" s="325"/>
      <c r="FVC4" s="325"/>
      <c r="FVD4" s="325"/>
      <c r="FVE4" s="325"/>
      <c r="FVF4" s="325"/>
      <c r="FVG4" s="325"/>
      <c r="FVH4" s="325"/>
      <c r="FVI4" s="325"/>
      <c r="FVJ4" s="325"/>
      <c r="FVK4" s="325"/>
      <c r="FVL4" s="325"/>
      <c r="FVM4" s="325"/>
      <c r="FVN4" s="325"/>
      <c r="FVO4" s="325"/>
      <c r="FVP4" s="325"/>
      <c r="FVQ4" s="325"/>
      <c r="FVR4" s="325"/>
      <c r="FVS4" s="325"/>
      <c r="FVT4" s="325"/>
      <c r="FVU4" s="325"/>
      <c r="FVV4" s="325"/>
      <c r="FVW4" s="325"/>
      <c r="FVX4" s="325"/>
      <c r="FVY4" s="325"/>
      <c r="FVZ4" s="325"/>
      <c r="FWA4" s="325"/>
      <c r="FWB4" s="325"/>
      <c r="FWC4" s="325"/>
      <c r="FWD4" s="325"/>
      <c r="FWE4" s="325"/>
      <c r="FWF4" s="325"/>
      <c r="FWG4" s="325"/>
      <c r="FWH4" s="325"/>
      <c r="FWI4" s="325"/>
      <c r="FWJ4" s="325"/>
      <c r="FWK4" s="325"/>
      <c r="FWL4" s="325"/>
      <c r="FWM4" s="325"/>
      <c r="FWN4" s="325"/>
      <c r="FWO4" s="325"/>
      <c r="FWP4" s="325"/>
      <c r="FWQ4" s="325"/>
      <c r="FWR4" s="325"/>
      <c r="FWS4" s="325"/>
      <c r="FWT4" s="325"/>
      <c r="FWU4" s="325"/>
      <c r="FWV4" s="325"/>
      <c r="FWW4" s="325"/>
      <c r="FWX4" s="325"/>
      <c r="FWY4" s="325"/>
      <c r="FWZ4" s="325"/>
      <c r="FXA4" s="325"/>
      <c r="FXB4" s="325"/>
      <c r="FXC4" s="325"/>
      <c r="FXD4" s="325"/>
      <c r="FXE4" s="325"/>
      <c r="FXF4" s="325"/>
      <c r="FXG4" s="325"/>
      <c r="FXH4" s="325"/>
      <c r="FXI4" s="325"/>
      <c r="FXJ4" s="325"/>
      <c r="FXK4" s="325"/>
      <c r="FXL4" s="325"/>
      <c r="FXM4" s="325"/>
      <c r="FXN4" s="325"/>
      <c r="FXO4" s="325"/>
      <c r="FXP4" s="325"/>
      <c r="FXQ4" s="325"/>
      <c r="FXR4" s="325"/>
      <c r="FXS4" s="325"/>
      <c r="FXT4" s="325"/>
      <c r="FXU4" s="325"/>
      <c r="FXV4" s="325"/>
      <c r="FXW4" s="325"/>
      <c r="FXX4" s="325"/>
      <c r="FXY4" s="325"/>
      <c r="FXZ4" s="325"/>
      <c r="FYA4" s="325"/>
      <c r="FYB4" s="325"/>
      <c r="FYC4" s="325"/>
      <c r="FYD4" s="325"/>
      <c r="FYE4" s="325"/>
      <c r="FYF4" s="325"/>
      <c r="FYG4" s="325"/>
      <c r="FYH4" s="325"/>
      <c r="FYI4" s="325"/>
      <c r="FYJ4" s="325"/>
      <c r="FYK4" s="325"/>
      <c r="FYL4" s="325"/>
      <c r="FYM4" s="325"/>
      <c r="FYN4" s="325"/>
      <c r="FYO4" s="325"/>
      <c r="FYP4" s="325"/>
      <c r="FYQ4" s="325"/>
      <c r="FYR4" s="325"/>
      <c r="FYS4" s="325"/>
      <c r="FYT4" s="325"/>
      <c r="FYU4" s="325"/>
      <c r="FYV4" s="325"/>
      <c r="FYW4" s="325"/>
      <c r="FYX4" s="325"/>
      <c r="FYY4" s="325"/>
      <c r="FYZ4" s="325"/>
      <c r="FZA4" s="325"/>
      <c r="FZB4" s="325"/>
      <c r="FZC4" s="325"/>
      <c r="FZD4" s="325"/>
      <c r="FZE4" s="325"/>
      <c r="FZF4" s="325"/>
      <c r="FZG4" s="325"/>
      <c r="FZH4" s="325"/>
      <c r="FZI4" s="325"/>
      <c r="FZJ4" s="325"/>
      <c r="FZK4" s="325"/>
      <c r="FZL4" s="325"/>
      <c r="FZM4" s="325"/>
      <c r="FZN4" s="325"/>
      <c r="FZO4" s="325"/>
      <c r="FZP4" s="325"/>
      <c r="FZQ4" s="325"/>
      <c r="FZR4" s="325"/>
      <c r="FZS4" s="325"/>
      <c r="FZT4" s="325"/>
      <c r="FZU4" s="325"/>
      <c r="FZV4" s="325"/>
      <c r="FZW4" s="325"/>
      <c r="FZX4" s="325"/>
      <c r="FZY4" s="325"/>
      <c r="FZZ4" s="325"/>
      <c r="GAA4" s="325"/>
      <c r="GAB4" s="325"/>
      <c r="GAC4" s="325"/>
      <c r="GAD4" s="325"/>
      <c r="GAE4" s="325"/>
      <c r="GAF4" s="325"/>
      <c r="GAG4" s="325"/>
      <c r="GAH4" s="325"/>
      <c r="GAI4" s="325"/>
      <c r="GAJ4" s="325"/>
      <c r="GAK4" s="325"/>
      <c r="GAL4" s="325"/>
      <c r="GAM4" s="325"/>
      <c r="GAN4" s="325"/>
      <c r="GAO4" s="325"/>
      <c r="GAP4" s="325"/>
      <c r="GAQ4" s="325"/>
      <c r="GAR4" s="325"/>
      <c r="GAS4" s="325"/>
      <c r="GAT4" s="325"/>
      <c r="GAU4" s="325"/>
      <c r="GAV4" s="325"/>
      <c r="GAW4" s="325"/>
      <c r="GAX4" s="325"/>
      <c r="GAY4" s="325"/>
      <c r="GAZ4" s="325"/>
      <c r="GBA4" s="325"/>
      <c r="GBB4" s="325"/>
      <c r="GBC4" s="325"/>
      <c r="GBD4" s="325"/>
      <c r="GBE4" s="325"/>
      <c r="GBF4" s="325"/>
      <c r="GBG4" s="325"/>
      <c r="GBH4" s="325"/>
      <c r="GBI4" s="325"/>
      <c r="GBJ4" s="325"/>
      <c r="GBK4" s="325"/>
      <c r="GBL4" s="325"/>
      <c r="GBM4" s="325"/>
      <c r="GBN4" s="325"/>
      <c r="GBO4" s="325"/>
      <c r="GBP4" s="325"/>
      <c r="GBQ4" s="325"/>
      <c r="GBR4" s="325"/>
      <c r="GBS4" s="325"/>
      <c r="GBT4" s="325"/>
      <c r="GBU4" s="325"/>
      <c r="GBV4" s="325"/>
      <c r="GBW4" s="325"/>
      <c r="GBX4" s="325"/>
      <c r="GBY4" s="325"/>
      <c r="GBZ4" s="325"/>
      <c r="GCA4" s="325"/>
      <c r="GCB4" s="325"/>
      <c r="GCC4" s="325"/>
      <c r="GCD4" s="325"/>
      <c r="GCE4" s="325"/>
      <c r="GCF4" s="325"/>
      <c r="GCG4" s="325"/>
      <c r="GCH4" s="325"/>
      <c r="GCI4" s="325"/>
      <c r="GCJ4" s="325"/>
      <c r="GCK4" s="325"/>
      <c r="GCL4" s="325"/>
      <c r="GCM4" s="325"/>
      <c r="GCN4" s="325"/>
      <c r="GCO4" s="325"/>
      <c r="GCP4" s="325"/>
      <c r="GCQ4" s="325"/>
      <c r="GCR4" s="325"/>
      <c r="GCS4" s="325"/>
      <c r="GCT4" s="325"/>
      <c r="GCU4" s="325"/>
      <c r="GCV4" s="325"/>
      <c r="GCW4" s="325"/>
      <c r="GCX4" s="325"/>
      <c r="GCY4" s="325"/>
      <c r="GCZ4" s="325"/>
      <c r="GDA4" s="325"/>
      <c r="GDB4" s="325"/>
      <c r="GDC4" s="325"/>
      <c r="GDD4" s="325"/>
      <c r="GDE4" s="325"/>
      <c r="GDF4" s="325"/>
      <c r="GDG4" s="325"/>
      <c r="GDH4" s="325"/>
      <c r="GDI4" s="325"/>
      <c r="GDJ4" s="325"/>
      <c r="GDK4" s="325"/>
      <c r="GDL4" s="325"/>
      <c r="GDM4" s="325"/>
      <c r="GDN4" s="325"/>
      <c r="GDO4" s="325"/>
      <c r="GDP4" s="325"/>
      <c r="GDQ4" s="325"/>
      <c r="GDR4" s="325"/>
      <c r="GDS4" s="325"/>
      <c r="GDT4" s="325"/>
      <c r="GDU4" s="325"/>
      <c r="GDV4" s="325"/>
      <c r="GDW4" s="325"/>
      <c r="GDX4" s="325"/>
      <c r="GDY4" s="325"/>
      <c r="GDZ4" s="325"/>
      <c r="GEA4" s="325"/>
      <c r="GEB4" s="325"/>
      <c r="GEC4" s="325"/>
      <c r="GED4" s="325"/>
      <c r="GEE4" s="325"/>
      <c r="GEF4" s="325"/>
      <c r="GEG4" s="325"/>
      <c r="GEH4" s="325"/>
      <c r="GEI4" s="325"/>
      <c r="GEJ4" s="325"/>
      <c r="GEK4" s="325"/>
      <c r="GEL4" s="325"/>
      <c r="GEM4" s="325"/>
      <c r="GEN4" s="325"/>
      <c r="GEO4" s="325"/>
      <c r="GEP4" s="325"/>
      <c r="GEQ4" s="325"/>
      <c r="GER4" s="325"/>
      <c r="GES4" s="325"/>
      <c r="GET4" s="325"/>
      <c r="GEU4" s="325"/>
      <c r="GEV4" s="325"/>
      <c r="GEW4" s="325"/>
      <c r="GEX4" s="325"/>
      <c r="GEY4" s="325"/>
      <c r="GEZ4" s="325"/>
      <c r="GFA4" s="325"/>
      <c r="GFB4" s="325"/>
      <c r="GFC4" s="325"/>
      <c r="GFD4" s="325"/>
      <c r="GFE4" s="325"/>
      <c r="GFF4" s="325"/>
      <c r="GFG4" s="325"/>
      <c r="GFH4" s="325"/>
      <c r="GFI4" s="325"/>
      <c r="GFJ4" s="325"/>
      <c r="GFK4" s="325"/>
      <c r="GFL4" s="325"/>
      <c r="GFM4" s="325"/>
      <c r="GFN4" s="325"/>
      <c r="GFO4" s="325"/>
      <c r="GFP4" s="325"/>
      <c r="GFQ4" s="325"/>
      <c r="GFR4" s="325"/>
      <c r="GFS4" s="325"/>
      <c r="GFT4" s="325"/>
      <c r="GFU4" s="325"/>
      <c r="GFV4" s="325"/>
      <c r="GFW4" s="325"/>
      <c r="GFX4" s="325"/>
      <c r="GFY4" s="325"/>
      <c r="GFZ4" s="325"/>
      <c r="GGA4" s="325"/>
      <c r="GGB4" s="325"/>
      <c r="GGC4" s="325"/>
      <c r="GGD4" s="325"/>
      <c r="GGE4" s="325"/>
      <c r="GGF4" s="325"/>
      <c r="GGG4" s="325"/>
      <c r="GGH4" s="325"/>
      <c r="GGI4" s="325"/>
      <c r="GGJ4" s="325"/>
      <c r="GGK4" s="325"/>
      <c r="GGL4" s="325"/>
      <c r="GGM4" s="325"/>
      <c r="GGN4" s="325"/>
      <c r="GGO4" s="325"/>
      <c r="GGP4" s="325"/>
      <c r="GGQ4" s="325"/>
      <c r="GGR4" s="325"/>
      <c r="GGS4" s="325"/>
      <c r="GGT4" s="325"/>
      <c r="GGU4" s="325"/>
      <c r="GGV4" s="325"/>
      <c r="GGW4" s="325"/>
      <c r="GGX4" s="325"/>
      <c r="GGY4" s="325"/>
      <c r="GGZ4" s="325"/>
      <c r="GHA4" s="325"/>
      <c r="GHB4" s="325"/>
      <c r="GHC4" s="325"/>
      <c r="GHD4" s="325"/>
      <c r="GHE4" s="325"/>
      <c r="GHF4" s="325"/>
      <c r="GHG4" s="325"/>
      <c r="GHH4" s="325"/>
      <c r="GHI4" s="325"/>
      <c r="GHJ4" s="325"/>
      <c r="GHK4" s="325"/>
      <c r="GHL4" s="325"/>
      <c r="GHM4" s="325"/>
      <c r="GHN4" s="325"/>
      <c r="GHO4" s="325"/>
      <c r="GHP4" s="325"/>
      <c r="GHQ4" s="325"/>
      <c r="GHR4" s="325"/>
      <c r="GHS4" s="325"/>
      <c r="GHT4" s="325"/>
      <c r="GHU4" s="325"/>
      <c r="GHV4" s="325"/>
      <c r="GHW4" s="325"/>
      <c r="GHX4" s="325"/>
      <c r="GHY4" s="325"/>
      <c r="GHZ4" s="325"/>
      <c r="GIA4" s="325"/>
      <c r="GIB4" s="325"/>
      <c r="GIC4" s="325"/>
      <c r="GID4" s="325"/>
      <c r="GIE4" s="325"/>
      <c r="GIF4" s="325"/>
      <c r="GIG4" s="325"/>
      <c r="GIH4" s="325"/>
      <c r="GII4" s="325"/>
      <c r="GIJ4" s="325"/>
      <c r="GIK4" s="325"/>
      <c r="GIL4" s="325"/>
      <c r="GIM4" s="325"/>
      <c r="GIN4" s="325"/>
      <c r="GIO4" s="325"/>
      <c r="GIP4" s="325"/>
      <c r="GIQ4" s="325"/>
      <c r="GIR4" s="325"/>
      <c r="GIS4" s="325"/>
      <c r="GIT4" s="325"/>
      <c r="GIU4" s="325"/>
      <c r="GIV4" s="325"/>
      <c r="GIW4" s="325"/>
      <c r="GIX4" s="325"/>
      <c r="GIY4" s="325"/>
      <c r="GIZ4" s="325"/>
      <c r="GJA4" s="325"/>
      <c r="GJB4" s="325"/>
      <c r="GJC4" s="325"/>
      <c r="GJD4" s="325"/>
      <c r="GJE4" s="325"/>
      <c r="GJF4" s="325"/>
      <c r="GJG4" s="325"/>
      <c r="GJH4" s="325"/>
      <c r="GJI4" s="325"/>
      <c r="GJJ4" s="325"/>
      <c r="GJK4" s="325"/>
      <c r="GJL4" s="325"/>
      <c r="GJM4" s="325"/>
      <c r="GJN4" s="325"/>
      <c r="GJO4" s="325"/>
      <c r="GJP4" s="325"/>
      <c r="GJQ4" s="325"/>
      <c r="GJR4" s="325"/>
      <c r="GJS4" s="325"/>
      <c r="GJT4" s="325"/>
      <c r="GJU4" s="325"/>
      <c r="GJV4" s="325"/>
      <c r="GJW4" s="325"/>
      <c r="GJX4" s="325"/>
      <c r="GJY4" s="325"/>
      <c r="GJZ4" s="325"/>
      <c r="GKA4" s="325"/>
      <c r="GKB4" s="325"/>
      <c r="GKC4" s="325"/>
      <c r="GKD4" s="325"/>
      <c r="GKE4" s="325"/>
      <c r="GKF4" s="325"/>
      <c r="GKG4" s="325"/>
      <c r="GKH4" s="325"/>
      <c r="GKI4" s="325"/>
      <c r="GKJ4" s="325"/>
      <c r="GKK4" s="325"/>
      <c r="GKL4" s="325"/>
      <c r="GKM4" s="325"/>
      <c r="GKN4" s="325"/>
      <c r="GKO4" s="325"/>
      <c r="GKP4" s="325"/>
      <c r="GKQ4" s="325"/>
      <c r="GKR4" s="325"/>
      <c r="GKS4" s="325"/>
      <c r="GKT4" s="325"/>
      <c r="GKU4" s="325"/>
      <c r="GKV4" s="325"/>
      <c r="GKW4" s="325"/>
      <c r="GKX4" s="325"/>
      <c r="GKY4" s="325"/>
      <c r="GKZ4" s="325"/>
      <c r="GLA4" s="325"/>
      <c r="GLB4" s="325"/>
      <c r="GLC4" s="325"/>
      <c r="GLD4" s="325"/>
      <c r="GLE4" s="325"/>
      <c r="GLF4" s="325"/>
      <c r="GLG4" s="325"/>
      <c r="GLH4" s="325"/>
      <c r="GLI4" s="325"/>
      <c r="GLJ4" s="325"/>
      <c r="GLK4" s="325"/>
      <c r="GLL4" s="325"/>
      <c r="GLM4" s="325"/>
      <c r="GLN4" s="325"/>
      <c r="GLO4" s="325"/>
      <c r="GLP4" s="325"/>
      <c r="GLQ4" s="325"/>
      <c r="GLR4" s="325"/>
      <c r="GLS4" s="325"/>
      <c r="GLT4" s="325"/>
      <c r="GLU4" s="325"/>
      <c r="GLV4" s="325"/>
      <c r="GLW4" s="325"/>
      <c r="GLX4" s="325"/>
      <c r="GLY4" s="325"/>
      <c r="GLZ4" s="325"/>
      <c r="GMA4" s="325"/>
      <c r="GMB4" s="325"/>
      <c r="GMC4" s="325"/>
      <c r="GMD4" s="325"/>
      <c r="GME4" s="325"/>
      <c r="GMF4" s="325"/>
      <c r="GMG4" s="325"/>
      <c r="GMH4" s="325"/>
      <c r="GMI4" s="325"/>
      <c r="GMJ4" s="325"/>
      <c r="GMK4" s="325"/>
      <c r="GML4" s="325"/>
      <c r="GMM4" s="325"/>
      <c r="GMN4" s="325"/>
      <c r="GMO4" s="325"/>
      <c r="GMP4" s="325"/>
      <c r="GMQ4" s="325"/>
      <c r="GMR4" s="325"/>
      <c r="GMS4" s="325"/>
      <c r="GMT4" s="325"/>
      <c r="GMU4" s="325"/>
      <c r="GMV4" s="325"/>
      <c r="GMW4" s="325"/>
      <c r="GMX4" s="325"/>
      <c r="GMY4" s="325"/>
      <c r="GMZ4" s="325"/>
      <c r="GNA4" s="325"/>
      <c r="GNB4" s="325"/>
      <c r="GNC4" s="325"/>
      <c r="GND4" s="325"/>
      <c r="GNE4" s="325"/>
      <c r="GNF4" s="325"/>
      <c r="GNG4" s="325"/>
      <c r="GNH4" s="325"/>
      <c r="GNI4" s="325"/>
      <c r="GNJ4" s="325"/>
      <c r="GNK4" s="325"/>
      <c r="GNL4" s="325"/>
      <c r="GNM4" s="325"/>
      <c r="GNN4" s="325"/>
      <c r="GNO4" s="325"/>
      <c r="GNP4" s="325"/>
      <c r="GNQ4" s="325"/>
      <c r="GNR4" s="325"/>
      <c r="GNS4" s="325"/>
      <c r="GNT4" s="325"/>
      <c r="GNU4" s="325"/>
      <c r="GNV4" s="325"/>
      <c r="GNW4" s="325"/>
      <c r="GNX4" s="325"/>
      <c r="GNY4" s="325"/>
      <c r="GNZ4" s="325"/>
      <c r="GOA4" s="325"/>
      <c r="GOB4" s="325"/>
      <c r="GOC4" s="325"/>
      <c r="GOD4" s="325"/>
      <c r="GOE4" s="325"/>
      <c r="GOF4" s="325"/>
      <c r="GOG4" s="325"/>
      <c r="GOH4" s="325"/>
      <c r="GOI4" s="325"/>
      <c r="GOJ4" s="325"/>
      <c r="GOK4" s="325"/>
      <c r="GOL4" s="325"/>
      <c r="GOM4" s="325"/>
      <c r="GON4" s="325"/>
      <c r="GOO4" s="325"/>
      <c r="GOP4" s="325"/>
      <c r="GOQ4" s="325"/>
      <c r="GOR4" s="325"/>
      <c r="GOS4" s="325"/>
      <c r="GOT4" s="325"/>
      <c r="GOU4" s="325"/>
      <c r="GOV4" s="325"/>
      <c r="GOW4" s="325"/>
      <c r="GOX4" s="325"/>
      <c r="GOY4" s="325"/>
      <c r="GOZ4" s="325"/>
      <c r="GPA4" s="325"/>
      <c r="GPB4" s="325"/>
      <c r="GPC4" s="325"/>
      <c r="GPD4" s="325"/>
      <c r="GPE4" s="325"/>
      <c r="GPF4" s="325"/>
      <c r="GPG4" s="325"/>
      <c r="GPH4" s="325"/>
      <c r="GPI4" s="325"/>
      <c r="GPJ4" s="325"/>
      <c r="GPK4" s="325"/>
      <c r="GPL4" s="325"/>
      <c r="GPM4" s="325"/>
      <c r="GPN4" s="325"/>
      <c r="GPO4" s="325"/>
      <c r="GPP4" s="325"/>
      <c r="GPQ4" s="325"/>
      <c r="GPR4" s="325"/>
      <c r="GPS4" s="325"/>
      <c r="GPT4" s="325"/>
      <c r="GPU4" s="325"/>
      <c r="GPV4" s="325"/>
      <c r="GPW4" s="325"/>
      <c r="GPX4" s="325"/>
      <c r="GPY4" s="325"/>
      <c r="GPZ4" s="325"/>
      <c r="GQA4" s="325"/>
      <c r="GQB4" s="325"/>
      <c r="GQC4" s="325"/>
      <c r="GQD4" s="325"/>
      <c r="GQE4" s="325"/>
      <c r="GQF4" s="325"/>
      <c r="GQG4" s="325"/>
      <c r="GQH4" s="325"/>
      <c r="GQI4" s="325"/>
      <c r="GQJ4" s="325"/>
      <c r="GQK4" s="325"/>
      <c r="GQL4" s="325"/>
      <c r="GQM4" s="325"/>
      <c r="GQN4" s="325"/>
      <c r="GQO4" s="325"/>
      <c r="GQP4" s="325"/>
      <c r="GQQ4" s="325"/>
      <c r="GQR4" s="325"/>
      <c r="GQS4" s="325"/>
      <c r="GQT4" s="325"/>
      <c r="GQU4" s="325"/>
      <c r="GQV4" s="325"/>
      <c r="GQW4" s="325"/>
      <c r="GQX4" s="325"/>
      <c r="GQY4" s="325"/>
      <c r="GQZ4" s="325"/>
      <c r="GRA4" s="325"/>
      <c r="GRB4" s="325"/>
      <c r="GRC4" s="325"/>
      <c r="GRD4" s="325"/>
      <c r="GRE4" s="325"/>
      <c r="GRF4" s="325"/>
      <c r="GRG4" s="325"/>
      <c r="GRH4" s="325"/>
      <c r="GRI4" s="325"/>
      <c r="GRJ4" s="325"/>
      <c r="GRK4" s="325"/>
      <c r="GRL4" s="325"/>
      <c r="GRM4" s="325"/>
      <c r="GRN4" s="325"/>
      <c r="GRO4" s="325"/>
      <c r="GRP4" s="325"/>
      <c r="GRQ4" s="325"/>
      <c r="GRR4" s="325"/>
      <c r="GRS4" s="325"/>
      <c r="GRT4" s="325"/>
      <c r="GRU4" s="325"/>
      <c r="GRV4" s="325"/>
      <c r="GRW4" s="325"/>
      <c r="GRX4" s="325"/>
      <c r="GRY4" s="325"/>
      <c r="GRZ4" s="325"/>
      <c r="GSA4" s="325"/>
      <c r="GSB4" s="325"/>
      <c r="GSC4" s="325"/>
      <c r="GSD4" s="325"/>
      <c r="GSE4" s="325"/>
      <c r="GSF4" s="325"/>
      <c r="GSG4" s="325"/>
      <c r="GSH4" s="325"/>
      <c r="GSI4" s="325"/>
      <c r="GSJ4" s="325"/>
      <c r="GSK4" s="325"/>
      <c r="GSL4" s="325"/>
      <c r="GSM4" s="325"/>
      <c r="GSN4" s="325"/>
      <c r="GSO4" s="325"/>
      <c r="GSP4" s="325"/>
      <c r="GSQ4" s="325"/>
      <c r="GSR4" s="325"/>
      <c r="GSS4" s="325"/>
      <c r="GST4" s="325"/>
      <c r="GSU4" s="325"/>
      <c r="GSV4" s="325"/>
      <c r="GSW4" s="325"/>
      <c r="GSX4" s="325"/>
      <c r="GSY4" s="325"/>
      <c r="GSZ4" s="325"/>
      <c r="GTA4" s="325"/>
      <c r="GTB4" s="325"/>
      <c r="GTC4" s="325"/>
      <c r="GTD4" s="325"/>
      <c r="GTE4" s="325"/>
      <c r="GTF4" s="325"/>
      <c r="GTG4" s="325"/>
      <c r="GTH4" s="325"/>
      <c r="GTI4" s="325"/>
      <c r="GTJ4" s="325"/>
      <c r="GTK4" s="325"/>
      <c r="GTL4" s="325"/>
      <c r="GTM4" s="325"/>
      <c r="GTN4" s="325"/>
      <c r="GTO4" s="325"/>
      <c r="GTP4" s="325"/>
      <c r="GTQ4" s="325"/>
      <c r="GTR4" s="325"/>
      <c r="GTS4" s="325"/>
      <c r="GTT4" s="325"/>
      <c r="GTU4" s="325"/>
      <c r="GTV4" s="325"/>
      <c r="GTW4" s="325"/>
      <c r="GTX4" s="325"/>
      <c r="GTY4" s="325"/>
      <c r="GTZ4" s="325"/>
      <c r="GUA4" s="325"/>
      <c r="GUB4" s="325"/>
      <c r="GUC4" s="325"/>
      <c r="GUD4" s="325"/>
      <c r="GUE4" s="325"/>
      <c r="GUF4" s="325"/>
      <c r="GUG4" s="325"/>
      <c r="GUH4" s="325"/>
      <c r="GUI4" s="325"/>
      <c r="GUJ4" s="325"/>
      <c r="GUK4" s="325"/>
      <c r="GUL4" s="325"/>
      <c r="GUM4" s="325"/>
      <c r="GUN4" s="325"/>
      <c r="GUO4" s="325"/>
      <c r="GUP4" s="325"/>
      <c r="GUQ4" s="325"/>
      <c r="GUR4" s="325"/>
      <c r="GUS4" s="325"/>
      <c r="GUT4" s="325"/>
      <c r="GUU4" s="325"/>
      <c r="GUV4" s="325"/>
      <c r="GUW4" s="325"/>
      <c r="GUX4" s="325"/>
      <c r="GUY4" s="325"/>
      <c r="GUZ4" s="325"/>
      <c r="GVA4" s="325"/>
      <c r="GVB4" s="325"/>
      <c r="GVC4" s="325"/>
      <c r="GVD4" s="325"/>
      <c r="GVE4" s="325"/>
      <c r="GVF4" s="325"/>
      <c r="GVG4" s="325"/>
      <c r="GVH4" s="325"/>
      <c r="GVI4" s="325"/>
      <c r="GVJ4" s="325"/>
      <c r="GVK4" s="325"/>
      <c r="GVL4" s="325"/>
      <c r="GVM4" s="325"/>
      <c r="GVN4" s="325"/>
      <c r="GVO4" s="325"/>
      <c r="GVP4" s="325"/>
      <c r="GVQ4" s="325"/>
      <c r="GVR4" s="325"/>
      <c r="GVS4" s="325"/>
      <c r="GVT4" s="325"/>
      <c r="GVU4" s="325"/>
      <c r="GVV4" s="325"/>
      <c r="GVW4" s="325"/>
      <c r="GVX4" s="325"/>
      <c r="GVY4" s="325"/>
      <c r="GVZ4" s="325"/>
      <c r="GWA4" s="325"/>
      <c r="GWB4" s="325"/>
      <c r="GWC4" s="325"/>
      <c r="GWD4" s="325"/>
      <c r="GWE4" s="325"/>
      <c r="GWF4" s="325"/>
      <c r="GWG4" s="325"/>
      <c r="GWH4" s="325"/>
      <c r="GWI4" s="325"/>
      <c r="GWJ4" s="325"/>
      <c r="GWK4" s="325"/>
      <c r="GWL4" s="325"/>
      <c r="GWM4" s="325"/>
      <c r="GWN4" s="325"/>
      <c r="GWO4" s="325"/>
      <c r="GWP4" s="325"/>
      <c r="GWQ4" s="325"/>
      <c r="GWR4" s="325"/>
      <c r="GWS4" s="325"/>
      <c r="GWT4" s="325"/>
      <c r="GWU4" s="325"/>
      <c r="GWV4" s="325"/>
      <c r="GWW4" s="325"/>
      <c r="GWX4" s="325"/>
      <c r="GWY4" s="325"/>
      <c r="GWZ4" s="325"/>
      <c r="GXA4" s="325"/>
      <c r="GXB4" s="325"/>
      <c r="GXC4" s="325"/>
      <c r="GXD4" s="325"/>
      <c r="GXE4" s="325"/>
      <c r="GXF4" s="325"/>
      <c r="GXG4" s="325"/>
      <c r="GXH4" s="325"/>
      <c r="GXI4" s="325"/>
      <c r="GXJ4" s="325"/>
      <c r="GXK4" s="325"/>
      <c r="GXL4" s="325"/>
      <c r="GXM4" s="325"/>
      <c r="GXN4" s="325"/>
      <c r="GXO4" s="325"/>
      <c r="GXP4" s="325"/>
      <c r="GXQ4" s="325"/>
      <c r="GXR4" s="325"/>
      <c r="GXS4" s="325"/>
      <c r="GXT4" s="325"/>
      <c r="GXU4" s="325"/>
      <c r="GXV4" s="325"/>
      <c r="GXW4" s="325"/>
      <c r="GXX4" s="325"/>
      <c r="GXY4" s="325"/>
      <c r="GXZ4" s="325"/>
      <c r="GYA4" s="325"/>
      <c r="GYB4" s="325"/>
      <c r="GYC4" s="325"/>
      <c r="GYD4" s="325"/>
      <c r="GYE4" s="325"/>
      <c r="GYF4" s="325"/>
      <c r="GYG4" s="325"/>
      <c r="GYH4" s="325"/>
      <c r="GYI4" s="325"/>
      <c r="GYJ4" s="325"/>
      <c r="GYK4" s="325"/>
      <c r="GYL4" s="325"/>
      <c r="GYM4" s="325"/>
      <c r="GYN4" s="325"/>
      <c r="GYO4" s="325"/>
      <c r="GYP4" s="325"/>
      <c r="GYQ4" s="325"/>
      <c r="GYR4" s="325"/>
      <c r="GYS4" s="325"/>
      <c r="GYT4" s="325"/>
      <c r="GYU4" s="325"/>
      <c r="GYV4" s="325"/>
      <c r="GYW4" s="325"/>
      <c r="GYX4" s="325"/>
      <c r="GYY4" s="325"/>
      <c r="GYZ4" s="325"/>
      <c r="GZA4" s="325"/>
      <c r="GZB4" s="325"/>
      <c r="GZC4" s="325"/>
      <c r="GZD4" s="325"/>
      <c r="GZE4" s="325"/>
      <c r="GZF4" s="325"/>
      <c r="GZG4" s="325"/>
      <c r="GZH4" s="325"/>
      <c r="GZI4" s="325"/>
      <c r="GZJ4" s="325"/>
      <c r="GZK4" s="325"/>
      <c r="GZL4" s="325"/>
      <c r="GZM4" s="325"/>
      <c r="GZN4" s="325"/>
      <c r="GZO4" s="325"/>
      <c r="GZP4" s="325"/>
      <c r="GZQ4" s="325"/>
      <c r="GZR4" s="325"/>
      <c r="GZS4" s="325"/>
      <c r="GZT4" s="325"/>
      <c r="GZU4" s="325"/>
      <c r="GZV4" s="325"/>
      <c r="GZW4" s="325"/>
      <c r="GZX4" s="325"/>
      <c r="GZY4" s="325"/>
      <c r="GZZ4" s="325"/>
      <c r="HAA4" s="325"/>
      <c r="HAB4" s="325"/>
      <c r="HAC4" s="325"/>
      <c r="HAD4" s="325"/>
      <c r="HAE4" s="325"/>
      <c r="HAF4" s="325"/>
      <c r="HAG4" s="325"/>
      <c r="HAH4" s="325"/>
      <c r="HAI4" s="325"/>
      <c r="HAJ4" s="325"/>
      <c r="HAK4" s="325"/>
      <c r="HAL4" s="325"/>
      <c r="HAM4" s="325"/>
      <c r="HAN4" s="325"/>
      <c r="HAO4" s="325"/>
      <c r="HAP4" s="325"/>
      <c r="HAQ4" s="325"/>
      <c r="HAR4" s="325"/>
      <c r="HAS4" s="325"/>
      <c r="HAT4" s="325"/>
      <c r="HAU4" s="325"/>
      <c r="HAV4" s="325"/>
      <c r="HAW4" s="325"/>
      <c r="HAX4" s="325"/>
      <c r="HAY4" s="325"/>
      <c r="HAZ4" s="325"/>
      <c r="HBA4" s="325"/>
      <c r="HBB4" s="325"/>
      <c r="HBC4" s="325"/>
      <c r="HBD4" s="325"/>
      <c r="HBE4" s="325"/>
      <c r="HBF4" s="325"/>
      <c r="HBG4" s="325"/>
      <c r="HBH4" s="325"/>
      <c r="HBI4" s="325"/>
      <c r="HBJ4" s="325"/>
      <c r="HBK4" s="325"/>
      <c r="HBL4" s="325"/>
      <c r="HBM4" s="325"/>
      <c r="HBN4" s="325"/>
      <c r="HBO4" s="325"/>
      <c r="HBP4" s="325"/>
      <c r="HBQ4" s="325"/>
      <c r="HBR4" s="325"/>
      <c r="HBS4" s="325"/>
      <c r="HBT4" s="325"/>
      <c r="HBU4" s="325"/>
      <c r="HBV4" s="325"/>
      <c r="HBW4" s="325"/>
      <c r="HBX4" s="325"/>
      <c r="HBY4" s="325"/>
      <c r="HBZ4" s="325"/>
      <c r="HCA4" s="325"/>
      <c r="HCB4" s="325"/>
      <c r="HCC4" s="325"/>
      <c r="HCD4" s="325"/>
      <c r="HCE4" s="325"/>
      <c r="HCF4" s="325"/>
      <c r="HCG4" s="325"/>
      <c r="HCH4" s="325"/>
      <c r="HCI4" s="325"/>
      <c r="HCJ4" s="325"/>
      <c r="HCK4" s="325"/>
      <c r="HCL4" s="325"/>
      <c r="HCM4" s="325"/>
      <c r="HCN4" s="325"/>
      <c r="HCO4" s="325"/>
      <c r="HCP4" s="325"/>
      <c r="HCQ4" s="325"/>
      <c r="HCR4" s="325"/>
      <c r="HCS4" s="325"/>
      <c r="HCT4" s="325"/>
      <c r="HCU4" s="325"/>
      <c r="HCV4" s="325"/>
      <c r="HCW4" s="325"/>
      <c r="HCX4" s="325"/>
      <c r="HCY4" s="325"/>
      <c r="HCZ4" s="325"/>
      <c r="HDA4" s="325"/>
      <c r="HDB4" s="325"/>
      <c r="HDC4" s="325"/>
      <c r="HDD4" s="325"/>
      <c r="HDE4" s="325"/>
      <c r="HDF4" s="325"/>
      <c r="HDG4" s="325"/>
      <c r="HDH4" s="325"/>
      <c r="HDI4" s="325"/>
      <c r="HDJ4" s="325"/>
      <c r="HDK4" s="325"/>
      <c r="HDL4" s="325"/>
      <c r="HDM4" s="325"/>
      <c r="HDN4" s="325"/>
      <c r="HDO4" s="325"/>
      <c r="HDP4" s="325"/>
      <c r="HDQ4" s="325"/>
      <c r="HDR4" s="325"/>
      <c r="HDS4" s="325"/>
      <c r="HDT4" s="325"/>
      <c r="HDU4" s="325"/>
      <c r="HDV4" s="325"/>
      <c r="HDW4" s="325"/>
      <c r="HDX4" s="325"/>
      <c r="HDY4" s="325"/>
      <c r="HDZ4" s="325"/>
      <c r="HEA4" s="325"/>
      <c r="HEB4" s="325"/>
      <c r="HEC4" s="325"/>
      <c r="HED4" s="325"/>
      <c r="HEE4" s="325"/>
      <c r="HEF4" s="325"/>
      <c r="HEG4" s="325"/>
      <c r="HEH4" s="325"/>
      <c r="HEI4" s="325"/>
      <c r="HEJ4" s="325"/>
      <c r="HEK4" s="325"/>
      <c r="HEL4" s="325"/>
      <c r="HEM4" s="325"/>
      <c r="HEN4" s="325"/>
      <c r="HEO4" s="325"/>
      <c r="HEP4" s="325"/>
      <c r="HEQ4" s="325"/>
      <c r="HER4" s="325"/>
      <c r="HES4" s="325"/>
      <c r="HET4" s="325"/>
      <c r="HEU4" s="325"/>
      <c r="HEV4" s="325"/>
      <c r="HEW4" s="325"/>
      <c r="HEX4" s="325"/>
      <c r="HEY4" s="325"/>
      <c r="HEZ4" s="325"/>
      <c r="HFA4" s="325"/>
      <c r="HFB4" s="325"/>
      <c r="HFC4" s="325"/>
      <c r="HFD4" s="325"/>
      <c r="HFE4" s="325"/>
      <c r="HFF4" s="325"/>
      <c r="HFG4" s="325"/>
      <c r="HFH4" s="325"/>
      <c r="HFI4" s="325"/>
      <c r="HFJ4" s="325"/>
      <c r="HFK4" s="325"/>
      <c r="HFL4" s="325"/>
      <c r="HFM4" s="325"/>
      <c r="HFN4" s="325"/>
      <c r="HFO4" s="325"/>
      <c r="HFP4" s="325"/>
      <c r="HFQ4" s="325"/>
      <c r="HFR4" s="325"/>
      <c r="HFS4" s="325"/>
      <c r="HFT4" s="325"/>
      <c r="HFU4" s="325"/>
      <c r="HFV4" s="325"/>
      <c r="HFW4" s="325"/>
      <c r="HFX4" s="325"/>
      <c r="HFY4" s="325"/>
      <c r="HFZ4" s="325"/>
      <c r="HGA4" s="325"/>
      <c r="HGB4" s="325"/>
      <c r="HGC4" s="325"/>
      <c r="HGD4" s="325"/>
      <c r="HGE4" s="325"/>
      <c r="HGF4" s="325"/>
      <c r="HGG4" s="325"/>
      <c r="HGH4" s="325"/>
      <c r="HGI4" s="325"/>
      <c r="HGJ4" s="325"/>
      <c r="HGK4" s="325"/>
      <c r="HGL4" s="325"/>
      <c r="HGM4" s="325"/>
      <c r="HGN4" s="325"/>
      <c r="HGO4" s="325"/>
      <c r="HGP4" s="325"/>
      <c r="HGQ4" s="325"/>
      <c r="HGR4" s="325"/>
      <c r="HGS4" s="325"/>
      <c r="HGT4" s="325"/>
      <c r="HGU4" s="325"/>
      <c r="HGV4" s="325"/>
      <c r="HGW4" s="325"/>
      <c r="HGX4" s="325"/>
      <c r="HGY4" s="325"/>
      <c r="HGZ4" s="325"/>
      <c r="HHA4" s="325"/>
      <c r="HHB4" s="325"/>
      <c r="HHC4" s="325"/>
      <c r="HHD4" s="325"/>
      <c r="HHE4" s="325"/>
      <c r="HHF4" s="325"/>
      <c r="HHG4" s="325"/>
      <c r="HHH4" s="325"/>
      <c r="HHI4" s="325"/>
      <c r="HHJ4" s="325"/>
      <c r="HHK4" s="325"/>
      <c r="HHL4" s="325"/>
      <c r="HHM4" s="325"/>
      <c r="HHN4" s="325"/>
      <c r="HHO4" s="325"/>
      <c r="HHP4" s="325"/>
      <c r="HHQ4" s="325"/>
      <c r="HHR4" s="325"/>
      <c r="HHS4" s="325"/>
      <c r="HHT4" s="325"/>
      <c r="HHU4" s="325"/>
      <c r="HHV4" s="325"/>
      <c r="HHW4" s="325"/>
      <c r="HHX4" s="325"/>
      <c r="HHY4" s="325"/>
      <c r="HHZ4" s="325"/>
      <c r="HIA4" s="325"/>
      <c r="HIB4" s="325"/>
      <c r="HIC4" s="325"/>
      <c r="HID4" s="325"/>
      <c r="HIE4" s="325"/>
      <c r="HIF4" s="325"/>
      <c r="HIG4" s="325"/>
      <c r="HIH4" s="325"/>
      <c r="HII4" s="325"/>
      <c r="HIJ4" s="325"/>
      <c r="HIK4" s="325"/>
      <c r="HIL4" s="325"/>
      <c r="HIM4" s="325"/>
      <c r="HIN4" s="325"/>
      <c r="HIO4" s="325"/>
      <c r="HIP4" s="325"/>
      <c r="HIQ4" s="325"/>
      <c r="HIR4" s="325"/>
      <c r="HIS4" s="325"/>
      <c r="HIT4" s="325"/>
      <c r="HIU4" s="325"/>
      <c r="HIV4" s="325"/>
      <c r="HIW4" s="325"/>
      <c r="HIX4" s="325"/>
      <c r="HIY4" s="325"/>
      <c r="HIZ4" s="325"/>
      <c r="HJA4" s="325"/>
      <c r="HJB4" s="325"/>
      <c r="HJC4" s="325"/>
      <c r="HJD4" s="325"/>
      <c r="HJE4" s="325"/>
      <c r="HJF4" s="325"/>
      <c r="HJG4" s="325"/>
      <c r="HJH4" s="325"/>
      <c r="HJI4" s="325"/>
      <c r="HJJ4" s="325"/>
      <c r="HJK4" s="325"/>
      <c r="HJL4" s="325"/>
      <c r="HJM4" s="325"/>
      <c r="HJN4" s="325"/>
      <c r="HJO4" s="325"/>
      <c r="HJP4" s="325"/>
      <c r="HJQ4" s="325"/>
      <c r="HJR4" s="325"/>
      <c r="HJS4" s="325"/>
      <c r="HJT4" s="325"/>
      <c r="HJU4" s="325"/>
      <c r="HJV4" s="325"/>
      <c r="HJW4" s="325"/>
      <c r="HJX4" s="325"/>
      <c r="HJY4" s="325"/>
      <c r="HJZ4" s="325"/>
      <c r="HKA4" s="325"/>
      <c r="HKB4" s="325"/>
      <c r="HKC4" s="325"/>
      <c r="HKD4" s="325"/>
      <c r="HKE4" s="325"/>
      <c r="HKF4" s="325"/>
      <c r="HKG4" s="325"/>
      <c r="HKH4" s="325"/>
      <c r="HKI4" s="325"/>
      <c r="HKJ4" s="325"/>
      <c r="HKK4" s="325"/>
      <c r="HKL4" s="325"/>
      <c r="HKM4" s="325"/>
      <c r="HKN4" s="325"/>
      <c r="HKO4" s="325"/>
      <c r="HKP4" s="325"/>
      <c r="HKQ4" s="325"/>
      <c r="HKR4" s="325"/>
      <c r="HKS4" s="325"/>
      <c r="HKT4" s="325"/>
      <c r="HKU4" s="325"/>
      <c r="HKV4" s="325"/>
      <c r="HKW4" s="325"/>
      <c r="HKX4" s="325"/>
      <c r="HKY4" s="325"/>
      <c r="HKZ4" s="325"/>
      <c r="HLA4" s="325"/>
      <c r="HLB4" s="325"/>
      <c r="HLC4" s="325"/>
      <c r="HLD4" s="325"/>
      <c r="HLE4" s="325"/>
      <c r="HLF4" s="325"/>
      <c r="HLG4" s="325"/>
      <c r="HLH4" s="325"/>
      <c r="HLI4" s="325"/>
      <c r="HLJ4" s="325"/>
      <c r="HLK4" s="325"/>
      <c r="HLL4" s="325"/>
      <c r="HLM4" s="325"/>
      <c r="HLN4" s="325"/>
      <c r="HLO4" s="325"/>
      <c r="HLP4" s="325"/>
      <c r="HLQ4" s="325"/>
      <c r="HLR4" s="325"/>
      <c r="HLS4" s="325"/>
      <c r="HLT4" s="325"/>
      <c r="HLU4" s="325"/>
      <c r="HLV4" s="325"/>
      <c r="HLW4" s="325"/>
      <c r="HLX4" s="325"/>
      <c r="HLY4" s="325"/>
      <c r="HLZ4" s="325"/>
      <c r="HMA4" s="325"/>
      <c r="HMB4" s="325"/>
      <c r="HMC4" s="325"/>
      <c r="HMD4" s="325"/>
      <c r="HME4" s="325"/>
      <c r="HMF4" s="325"/>
      <c r="HMG4" s="325"/>
      <c r="HMH4" s="325"/>
      <c r="HMI4" s="325"/>
      <c r="HMJ4" s="325"/>
      <c r="HMK4" s="325"/>
      <c r="HML4" s="325"/>
      <c r="HMM4" s="325"/>
      <c r="HMN4" s="325"/>
      <c r="HMO4" s="325"/>
      <c r="HMP4" s="325"/>
      <c r="HMQ4" s="325"/>
      <c r="HMR4" s="325"/>
      <c r="HMS4" s="325"/>
      <c r="HMT4" s="325"/>
      <c r="HMU4" s="325"/>
      <c r="HMV4" s="325"/>
      <c r="HMW4" s="325"/>
      <c r="HMX4" s="325"/>
      <c r="HMY4" s="325"/>
      <c r="HMZ4" s="325"/>
      <c r="HNA4" s="325"/>
      <c r="HNB4" s="325"/>
      <c r="HNC4" s="325"/>
      <c r="HND4" s="325"/>
      <c r="HNE4" s="325"/>
      <c r="HNF4" s="325"/>
      <c r="HNG4" s="325"/>
      <c r="HNH4" s="325"/>
      <c r="HNI4" s="325"/>
      <c r="HNJ4" s="325"/>
      <c r="HNK4" s="325"/>
      <c r="HNL4" s="325"/>
      <c r="HNM4" s="325"/>
      <c r="HNN4" s="325"/>
      <c r="HNO4" s="325"/>
      <c r="HNP4" s="325"/>
      <c r="HNQ4" s="325"/>
      <c r="HNR4" s="325"/>
      <c r="HNS4" s="325"/>
      <c r="HNT4" s="325"/>
      <c r="HNU4" s="325"/>
      <c r="HNV4" s="325"/>
      <c r="HNW4" s="325"/>
      <c r="HNX4" s="325"/>
      <c r="HNY4" s="325"/>
      <c r="HNZ4" s="325"/>
      <c r="HOA4" s="325"/>
      <c r="HOB4" s="325"/>
      <c r="HOC4" s="325"/>
      <c r="HOD4" s="325"/>
      <c r="HOE4" s="325"/>
      <c r="HOF4" s="325"/>
      <c r="HOG4" s="325"/>
      <c r="HOH4" s="325"/>
      <c r="HOI4" s="325"/>
      <c r="HOJ4" s="325"/>
      <c r="HOK4" s="325"/>
      <c r="HOL4" s="325"/>
      <c r="HOM4" s="325"/>
      <c r="HON4" s="325"/>
      <c r="HOO4" s="325"/>
      <c r="HOP4" s="325"/>
      <c r="HOQ4" s="325"/>
      <c r="HOR4" s="325"/>
      <c r="HOS4" s="325"/>
      <c r="HOT4" s="325"/>
      <c r="HOU4" s="325"/>
      <c r="HOV4" s="325"/>
      <c r="HOW4" s="325"/>
      <c r="HOX4" s="325"/>
      <c r="HOY4" s="325"/>
      <c r="HOZ4" s="325"/>
      <c r="HPA4" s="325"/>
      <c r="HPB4" s="325"/>
      <c r="HPC4" s="325"/>
      <c r="HPD4" s="325"/>
      <c r="HPE4" s="325"/>
      <c r="HPF4" s="325"/>
      <c r="HPG4" s="325"/>
      <c r="HPH4" s="325"/>
      <c r="HPI4" s="325"/>
      <c r="HPJ4" s="325"/>
      <c r="HPK4" s="325"/>
      <c r="HPL4" s="325"/>
      <c r="HPM4" s="325"/>
      <c r="HPN4" s="325"/>
      <c r="HPO4" s="325"/>
      <c r="HPP4" s="325"/>
      <c r="HPQ4" s="325"/>
      <c r="HPR4" s="325"/>
      <c r="HPS4" s="325"/>
      <c r="HPT4" s="325"/>
      <c r="HPU4" s="325"/>
      <c r="HPV4" s="325"/>
      <c r="HPW4" s="325"/>
      <c r="HPX4" s="325"/>
      <c r="HPY4" s="325"/>
      <c r="HPZ4" s="325"/>
      <c r="HQA4" s="325"/>
      <c r="HQB4" s="325"/>
      <c r="HQC4" s="325"/>
      <c r="HQD4" s="325"/>
      <c r="HQE4" s="325"/>
      <c r="HQF4" s="325"/>
      <c r="HQG4" s="325"/>
      <c r="HQH4" s="325"/>
      <c r="HQI4" s="325"/>
      <c r="HQJ4" s="325"/>
      <c r="HQK4" s="325"/>
      <c r="HQL4" s="325"/>
      <c r="HQM4" s="325"/>
      <c r="HQN4" s="325"/>
      <c r="HQO4" s="325"/>
      <c r="HQP4" s="325"/>
      <c r="HQQ4" s="325"/>
      <c r="HQR4" s="325"/>
      <c r="HQS4" s="325"/>
      <c r="HQT4" s="325"/>
      <c r="HQU4" s="325"/>
      <c r="HQV4" s="325"/>
      <c r="HQW4" s="325"/>
      <c r="HQX4" s="325"/>
      <c r="HQY4" s="325"/>
      <c r="HQZ4" s="325"/>
      <c r="HRA4" s="325"/>
      <c r="HRB4" s="325"/>
      <c r="HRC4" s="325"/>
      <c r="HRD4" s="325"/>
      <c r="HRE4" s="325"/>
      <c r="HRF4" s="325"/>
      <c r="HRG4" s="325"/>
      <c r="HRH4" s="325"/>
      <c r="HRI4" s="325"/>
      <c r="HRJ4" s="325"/>
      <c r="HRK4" s="325"/>
      <c r="HRL4" s="325"/>
      <c r="HRM4" s="325"/>
      <c r="HRN4" s="325"/>
      <c r="HRO4" s="325"/>
      <c r="HRP4" s="325"/>
      <c r="HRQ4" s="325"/>
      <c r="HRR4" s="325"/>
      <c r="HRS4" s="325"/>
      <c r="HRT4" s="325"/>
      <c r="HRU4" s="325"/>
      <c r="HRV4" s="325"/>
      <c r="HRW4" s="325"/>
      <c r="HRX4" s="325"/>
      <c r="HRY4" s="325"/>
      <c r="HRZ4" s="325"/>
      <c r="HSA4" s="325"/>
      <c r="HSB4" s="325"/>
      <c r="HSC4" s="325"/>
      <c r="HSD4" s="325"/>
      <c r="HSE4" s="325"/>
      <c r="HSF4" s="325"/>
      <c r="HSG4" s="325"/>
      <c r="HSH4" s="325"/>
      <c r="HSI4" s="325"/>
      <c r="HSJ4" s="325"/>
      <c r="HSK4" s="325"/>
      <c r="HSL4" s="325"/>
      <c r="HSM4" s="325"/>
      <c r="HSN4" s="325"/>
      <c r="HSO4" s="325"/>
      <c r="HSP4" s="325"/>
      <c r="HSQ4" s="325"/>
      <c r="HSR4" s="325"/>
      <c r="HSS4" s="325"/>
      <c r="HST4" s="325"/>
      <c r="HSU4" s="325"/>
      <c r="HSV4" s="325"/>
      <c r="HSW4" s="325"/>
      <c r="HSX4" s="325"/>
      <c r="HSY4" s="325"/>
      <c r="HSZ4" s="325"/>
      <c r="HTA4" s="325"/>
      <c r="HTB4" s="325"/>
      <c r="HTC4" s="325"/>
      <c r="HTD4" s="325"/>
      <c r="HTE4" s="325"/>
      <c r="HTF4" s="325"/>
      <c r="HTG4" s="325"/>
      <c r="HTH4" s="325"/>
      <c r="HTI4" s="325"/>
      <c r="HTJ4" s="325"/>
      <c r="HTK4" s="325"/>
      <c r="HTL4" s="325"/>
      <c r="HTM4" s="325"/>
      <c r="HTN4" s="325"/>
      <c r="HTO4" s="325"/>
      <c r="HTP4" s="325"/>
      <c r="HTQ4" s="325"/>
      <c r="HTR4" s="325"/>
      <c r="HTS4" s="325"/>
      <c r="HTT4" s="325"/>
      <c r="HTU4" s="325"/>
      <c r="HTV4" s="325"/>
      <c r="HTW4" s="325"/>
      <c r="HTX4" s="325"/>
      <c r="HTY4" s="325"/>
      <c r="HTZ4" s="325"/>
      <c r="HUA4" s="325"/>
      <c r="HUB4" s="325"/>
      <c r="HUC4" s="325"/>
      <c r="HUD4" s="325"/>
      <c r="HUE4" s="325"/>
      <c r="HUF4" s="325"/>
      <c r="HUG4" s="325"/>
      <c r="HUH4" s="325"/>
      <c r="HUI4" s="325"/>
      <c r="HUJ4" s="325"/>
      <c r="HUK4" s="325"/>
      <c r="HUL4" s="325"/>
      <c r="HUM4" s="325"/>
      <c r="HUN4" s="325"/>
      <c r="HUO4" s="325"/>
      <c r="HUP4" s="325"/>
      <c r="HUQ4" s="325"/>
      <c r="HUR4" s="325"/>
      <c r="HUS4" s="325"/>
      <c r="HUT4" s="325"/>
      <c r="HUU4" s="325"/>
      <c r="HUV4" s="325"/>
      <c r="HUW4" s="325"/>
      <c r="HUX4" s="325"/>
      <c r="HUY4" s="325"/>
      <c r="HUZ4" s="325"/>
      <c r="HVA4" s="325"/>
      <c r="HVB4" s="325"/>
      <c r="HVC4" s="325"/>
      <c r="HVD4" s="325"/>
      <c r="HVE4" s="325"/>
      <c r="HVF4" s="325"/>
      <c r="HVG4" s="325"/>
      <c r="HVH4" s="325"/>
      <c r="HVI4" s="325"/>
      <c r="HVJ4" s="325"/>
      <c r="HVK4" s="325"/>
      <c r="HVL4" s="325"/>
      <c r="HVM4" s="325"/>
      <c r="HVN4" s="325"/>
      <c r="HVO4" s="325"/>
      <c r="HVP4" s="325"/>
      <c r="HVQ4" s="325"/>
      <c r="HVR4" s="325"/>
      <c r="HVS4" s="325"/>
      <c r="HVT4" s="325"/>
      <c r="HVU4" s="325"/>
      <c r="HVV4" s="325"/>
      <c r="HVW4" s="325"/>
      <c r="HVX4" s="325"/>
      <c r="HVY4" s="325"/>
      <c r="HVZ4" s="325"/>
      <c r="HWA4" s="325"/>
      <c r="HWB4" s="325"/>
      <c r="HWC4" s="325"/>
      <c r="HWD4" s="325"/>
      <c r="HWE4" s="325"/>
      <c r="HWF4" s="325"/>
      <c r="HWG4" s="325"/>
      <c r="HWH4" s="325"/>
      <c r="HWI4" s="325"/>
      <c r="HWJ4" s="325"/>
      <c r="HWK4" s="325"/>
      <c r="HWL4" s="325"/>
      <c r="HWM4" s="325"/>
      <c r="HWN4" s="325"/>
      <c r="HWO4" s="325"/>
      <c r="HWP4" s="325"/>
      <c r="HWQ4" s="325"/>
      <c r="HWR4" s="325"/>
      <c r="HWS4" s="325"/>
      <c r="HWT4" s="325"/>
      <c r="HWU4" s="325"/>
      <c r="HWV4" s="325"/>
      <c r="HWW4" s="325"/>
      <c r="HWX4" s="325"/>
      <c r="HWY4" s="325"/>
      <c r="HWZ4" s="325"/>
      <c r="HXA4" s="325"/>
      <c r="HXB4" s="325"/>
      <c r="HXC4" s="325"/>
      <c r="HXD4" s="325"/>
      <c r="HXE4" s="325"/>
      <c r="HXF4" s="325"/>
      <c r="HXG4" s="325"/>
      <c r="HXH4" s="325"/>
      <c r="HXI4" s="325"/>
      <c r="HXJ4" s="325"/>
      <c r="HXK4" s="325"/>
      <c r="HXL4" s="325"/>
      <c r="HXM4" s="325"/>
      <c r="HXN4" s="325"/>
      <c r="HXO4" s="325"/>
      <c r="HXP4" s="325"/>
      <c r="HXQ4" s="325"/>
      <c r="HXR4" s="325"/>
      <c r="HXS4" s="325"/>
      <c r="HXT4" s="325"/>
      <c r="HXU4" s="325"/>
      <c r="HXV4" s="325"/>
      <c r="HXW4" s="325"/>
      <c r="HXX4" s="325"/>
      <c r="HXY4" s="325"/>
      <c r="HXZ4" s="325"/>
      <c r="HYA4" s="325"/>
      <c r="HYB4" s="325"/>
      <c r="HYC4" s="325"/>
      <c r="HYD4" s="325"/>
      <c r="HYE4" s="325"/>
      <c r="HYF4" s="325"/>
      <c r="HYG4" s="325"/>
      <c r="HYH4" s="325"/>
      <c r="HYI4" s="325"/>
      <c r="HYJ4" s="325"/>
      <c r="HYK4" s="325"/>
      <c r="HYL4" s="325"/>
      <c r="HYM4" s="325"/>
      <c r="HYN4" s="325"/>
      <c r="HYO4" s="325"/>
      <c r="HYP4" s="325"/>
      <c r="HYQ4" s="325"/>
      <c r="HYR4" s="325"/>
      <c r="HYS4" s="325"/>
      <c r="HYT4" s="325"/>
      <c r="HYU4" s="325"/>
      <c r="HYV4" s="325"/>
      <c r="HYW4" s="325"/>
      <c r="HYX4" s="325"/>
      <c r="HYY4" s="325"/>
      <c r="HYZ4" s="325"/>
      <c r="HZA4" s="325"/>
      <c r="HZB4" s="325"/>
      <c r="HZC4" s="325"/>
      <c r="HZD4" s="325"/>
      <c r="HZE4" s="325"/>
      <c r="HZF4" s="325"/>
      <c r="HZG4" s="325"/>
      <c r="HZH4" s="325"/>
      <c r="HZI4" s="325"/>
      <c r="HZJ4" s="325"/>
      <c r="HZK4" s="325"/>
      <c r="HZL4" s="325"/>
      <c r="HZM4" s="325"/>
      <c r="HZN4" s="325"/>
      <c r="HZO4" s="325"/>
      <c r="HZP4" s="325"/>
      <c r="HZQ4" s="325"/>
      <c r="HZR4" s="325"/>
      <c r="HZS4" s="325"/>
      <c r="HZT4" s="325"/>
      <c r="HZU4" s="325"/>
      <c r="HZV4" s="325"/>
      <c r="HZW4" s="325"/>
      <c r="HZX4" s="325"/>
      <c r="HZY4" s="325"/>
      <c r="HZZ4" s="325"/>
      <c r="IAA4" s="325"/>
      <c r="IAB4" s="325"/>
      <c r="IAC4" s="325"/>
      <c r="IAD4" s="325"/>
      <c r="IAE4" s="325"/>
      <c r="IAF4" s="325"/>
      <c r="IAG4" s="325"/>
      <c r="IAH4" s="325"/>
      <c r="IAI4" s="325"/>
      <c r="IAJ4" s="325"/>
      <c r="IAK4" s="325"/>
      <c r="IAL4" s="325"/>
      <c r="IAM4" s="325"/>
      <c r="IAN4" s="325"/>
      <c r="IAO4" s="325"/>
      <c r="IAP4" s="325"/>
      <c r="IAQ4" s="325"/>
      <c r="IAR4" s="325"/>
      <c r="IAS4" s="325"/>
      <c r="IAT4" s="325"/>
      <c r="IAU4" s="325"/>
      <c r="IAV4" s="325"/>
      <c r="IAW4" s="325"/>
      <c r="IAX4" s="325"/>
      <c r="IAY4" s="325"/>
      <c r="IAZ4" s="325"/>
      <c r="IBA4" s="325"/>
      <c r="IBB4" s="325"/>
      <c r="IBC4" s="325"/>
      <c r="IBD4" s="325"/>
      <c r="IBE4" s="325"/>
      <c r="IBF4" s="325"/>
      <c r="IBG4" s="325"/>
      <c r="IBH4" s="325"/>
      <c r="IBI4" s="325"/>
      <c r="IBJ4" s="325"/>
      <c r="IBK4" s="325"/>
      <c r="IBL4" s="325"/>
      <c r="IBM4" s="325"/>
      <c r="IBN4" s="325"/>
      <c r="IBO4" s="325"/>
      <c r="IBP4" s="325"/>
      <c r="IBQ4" s="325"/>
      <c r="IBR4" s="325"/>
      <c r="IBS4" s="325"/>
      <c r="IBT4" s="325"/>
      <c r="IBU4" s="325"/>
      <c r="IBV4" s="325"/>
      <c r="IBW4" s="325"/>
      <c r="IBX4" s="325"/>
      <c r="IBY4" s="325"/>
      <c r="IBZ4" s="325"/>
      <c r="ICA4" s="325"/>
      <c r="ICB4" s="325"/>
      <c r="ICC4" s="325"/>
      <c r="ICD4" s="325"/>
      <c r="ICE4" s="325"/>
      <c r="ICF4" s="325"/>
      <c r="ICG4" s="325"/>
      <c r="ICH4" s="325"/>
      <c r="ICI4" s="325"/>
      <c r="ICJ4" s="325"/>
      <c r="ICK4" s="325"/>
      <c r="ICL4" s="325"/>
      <c r="ICM4" s="325"/>
      <c r="ICN4" s="325"/>
      <c r="ICO4" s="325"/>
      <c r="ICP4" s="325"/>
      <c r="ICQ4" s="325"/>
      <c r="ICR4" s="325"/>
      <c r="ICS4" s="325"/>
      <c r="ICT4" s="325"/>
      <c r="ICU4" s="325"/>
      <c r="ICV4" s="325"/>
      <c r="ICW4" s="325"/>
      <c r="ICX4" s="325"/>
      <c r="ICY4" s="325"/>
      <c r="ICZ4" s="325"/>
      <c r="IDA4" s="325"/>
      <c r="IDB4" s="325"/>
      <c r="IDC4" s="325"/>
      <c r="IDD4" s="325"/>
      <c r="IDE4" s="325"/>
      <c r="IDF4" s="325"/>
      <c r="IDG4" s="325"/>
      <c r="IDH4" s="325"/>
      <c r="IDI4" s="325"/>
      <c r="IDJ4" s="325"/>
      <c r="IDK4" s="325"/>
      <c r="IDL4" s="325"/>
      <c r="IDM4" s="325"/>
      <c r="IDN4" s="325"/>
      <c r="IDO4" s="325"/>
      <c r="IDP4" s="325"/>
      <c r="IDQ4" s="325"/>
      <c r="IDR4" s="325"/>
      <c r="IDS4" s="325"/>
      <c r="IDT4" s="325"/>
      <c r="IDU4" s="325"/>
      <c r="IDV4" s="325"/>
      <c r="IDW4" s="325"/>
      <c r="IDX4" s="325"/>
      <c r="IDY4" s="325"/>
      <c r="IDZ4" s="325"/>
      <c r="IEA4" s="325"/>
      <c r="IEB4" s="325"/>
      <c r="IEC4" s="325"/>
      <c r="IED4" s="325"/>
      <c r="IEE4" s="325"/>
      <c r="IEF4" s="325"/>
      <c r="IEG4" s="325"/>
      <c r="IEH4" s="325"/>
      <c r="IEI4" s="325"/>
      <c r="IEJ4" s="325"/>
      <c r="IEK4" s="325"/>
      <c r="IEL4" s="325"/>
      <c r="IEM4" s="325"/>
      <c r="IEN4" s="325"/>
      <c r="IEO4" s="325"/>
      <c r="IEP4" s="325"/>
      <c r="IEQ4" s="325"/>
      <c r="IER4" s="325"/>
      <c r="IES4" s="325"/>
      <c r="IET4" s="325"/>
      <c r="IEU4" s="325"/>
      <c r="IEV4" s="325"/>
      <c r="IEW4" s="325"/>
      <c r="IEX4" s="325"/>
      <c r="IEY4" s="325"/>
      <c r="IEZ4" s="325"/>
      <c r="IFA4" s="325"/>
      <c r="IFB4" s="325"/>
      <c r="IFC4" s="325"/>
      <c r="IFD4" s="325"/>
      <c r="IFE4" s="325"/>
      <c r="IFF4" s="325"/>
      <c r="IFG4" s="325"/>
      <c r="IFH4" s="325"/>
      <c r="IFI4" s="325"/>
      <c r="IFJ4" s="325"/>
      <c r="IFK4" s="325"/>
      <c r="IFL4" s="325"/>
      <c r="IFM4" s="325"/>
      <c r="IFN4" s="325"/>
      <c r="IFO4" s="325"/>
      <c r="IFP4" s="325"/>
      <c r="IFQ4" s="325"/>
      <c r="IFR4" s="325"/>
      <c r="IFS4" s="325"/>
      <c r="IFT4" s="325"/>
      <c r="IFU4" s="325"/>
      <c r="IFV4" s="325"/>
      <c r="IFW4" s="325"/>
      <c r="IFX4" s="325"/>
      <c r="IFY4" s="325"/>
      <c r="IFZ4" s="325"/>
      <c r="IGA4" s="325"/>
      <c r="IGB4" s="325"/>
      <c r="IGC4" s="325"/>
      <c r="IGD4" s="325"/>
      <c r="IGE4" s="325"/>
      <c r="IGF4" s="325"/>
      <c r="IGG4" s="325"/>
      <c r="IGH4" s="325"/>
      <c r="IGI4" s="325"/>
      <c r="IGJ4" s="325"/>
      <c r="IGK4" s="325"/>
      <c r="IGL4" s="325"/>
      <c r="IGM4" s="325"/>
      <c r="IGN4" s="325"/>
      <c r="IGO4" s="325"/>
      <c r="IGP4" s="325"/>
      <c r="IGQ4" s="325"/>
      <c r="IGR4" s="325"/>
      <c r="IGS4" s="325"/>
      <c r="IGT4" s="325"/>
      <c r="IGU4" s="325"/>
      <c r="IGV4" s="325"/>
      <c r="IGW4" s="325"/>
      <c r="IGX4" s="325"/>
      <c r="IGY4" s="325"/>
      <c r="IGZ4" s="325"/>
      <c r="IHA4" s="325"/>
      <c r="IHB4" s="325"/>
      <c r="IHC4" s="325"/>
      <c r="IHD4" s="325"/>
      <c r="IHE4" s="325"/>
      <c r="IHF4" s="325"/>
      <c r="IHG4" s="325"/>
      <c r="IHH4" s="325"/>
      <c r="IHI4" s="325"/>
      <c r="IHJ4" s="325"/>
      <c r="IHK4" s="325"/>
      <c r="IHL4" s="325"/>
      <c r="IHM4" s="325"/>
      <c r="IHN4" s="325"/>
      <c r="IHO4" s="325"/>
      <c r="IHP4" s="325"/>
      <c r="IHQ4" s="325"/>
      <c r="IHR4" s="325"/>
      <c r="IHS4" s="325"/>
      <c r="IHT4" s="325"/>
      <c r="IHU4" s="325"/>
      <c r="IHV4" s="325"/>
      <c r="IHW4" s="325"/>
      <c r="IHX4" s="325"/>
      <c r="IHY4" s="325"/>
      <c r="IHZ4" s="325"/>
      <c r="IIA4" s="325"/>
      <c r="IIB4" s="325"/>
      <c r="IIC4" s="325"/>
      <c r="IID4" s="325"/>
      <c r="IIE4" s="325"/>
      <c r="IIF4" s="325"/>
      <c r="IIG4" s="325"/>
      <c r="IIH4" s="325"/>
      <c r="III4" s="325"/>
      <c r="IIJ4" s="325"/>
      <c r="IIK4" s="325"/>
      <c r="IIL4" s="325"/>
      <c r="IIM4" s="325"/>
      <c r="IIN4" s="325"/>
      <c r="IIO4" s="325"/>
      <c r="IIP4" s="325"/>
      <c r="IIQ4" s="325"/>
      <c r="IIR4" s="325"/>
      <c r="IIS4" s="325"/>
      <c r="IIT4" s="325"/>
      <c r="IIU4" s="325"/>
      <c r="IIV4" s="325"/>
      <c r="IIW4" s="325"/>
      <c r="IIX4" s="325"/>
      <c r="IIY4" s="325"/>
      <c r="IIZ4" s="325"/>
      <c r="IJA4" s="325"/>
      <c r="IJB4" s="325"/>
      <c r="IJC4" s="325"/>
      <c r="IJD4" s="325"/>
      <c r="IJE4" s="325"/>
      <c r="IJF4" s="325"/>
      <c r="IJG4" s="325"/>
      <c r="IJH4" s="325"/>
      <c r="IJI4" s="325"/>
      <c r="IJJ4" s="325"/>
      <c r="IJK4" s="325"/>
      <c r="IJL4" s="325"/>
      <c r="IJM4" s="325"/>
      <c r="IJN4" s="325"/>
      <c r="IJO4" s="325"/>
      <c r="IJP4" s="325"/>
      <c r="IJQ4" s="325"/>
      <c r="IJR4" s="325"/>
      <c r="IJS4" s="325"/>
      <c r="IJT4" s="325"/>
      <c r="IJU4" s="325"/>
      <c r="IJV4" s="325"/>
      <c r="IJW4" s="325"/>
      <c r="IJX4" s="325"/>
      <c r="IJY4" s="325"/>
      <c r="IJZ4" s="325"/>
      <c r="IKA4" s="325"/>
      <c r="IKB4" s="325"/>
      <c r="IKC4" s="325"/>
      <c r="IKD4" s="325"/>
      <c r="IKE4" s="325"/>
      <c r="IKF4" s="325"/>
      <c r="IKG4" s="325"/>
      <c r="IKH4" s="325"/>
      <c r="IKI4" s="325"/>
      <c r="IKJ4" s="325"/>
      <c r="IKK4" s="325"/>
      <c r="IKL4" s="325"/>
      <c r="IKM4" s="325"/>
      <c r="IKN4" s="325"/>
      <c r="IKO4" s="325"/>
      <c r="IKP4" s="325"/>
      <c r="IKQ4" s="325"/>
      <c r="IKR4" s="325"/>
      <c r="IKS4" s="325"/>
      <c r="IKT4" s="325"/>
      <c r="IKU4" s="325"/>
      <c r="IKV4" s="325"/>
      <c r="IKW4" s="325"/>
      <c r="IKX4" s="325"/>
      <c r="IKY4" s="325"/>
      <c r="IKZ4" s="325"/>
      <c r="ILA4" s="325"/>
      <c r="ILB4" s="325"/>
      <c r="ILC4" s="325"/>
      <c r="ILD4" s="325"/>
      <c r="ILE4" s="325"/>
      <c r="ILF4" s="325"/>
      <c r="ILG4" s="325"/>
      <c r="ILH4" s="325"/>
      <c r="ILI4" s="325"/>
      <c r="ILJ4" s="325"/>
      <c r="ILK4" s="325"/>
      <c r="ILL4" s="325"/>
      <c r="ILM4" s="325"/>
      <c r="ILN4" s="325"/>
      <c r="ILO4" s="325"/>
      <c r="ILP4" s="325"/>
      <c r="ILQ4" s="325"/>
      <c r="ILR4" s="325"/>
      <c r="ILS4" s="325"/>
      <c r="ILT4" s="325"/>
      <c r="ILU4" s="325"/>
      <c r="ILV4" s="325"/>
      <c r="ILW4" s="325"/>
      <c r="ILX4" s="325"/>
      <c r="ILY4" s="325"/>
      <c r="ILZ4" s="325"/>
      <c r="IMA4" s="325"/>
      <c r="IMB4" s="325"/>
      <c r="IMC4" s="325"/>
      <c r="IMD4" s="325"/>
      <c r="IME4" s="325"/>
      <c r="IMF4" s="325"/>
      <c r="IMG4" s="325"/>
      <c r="IMH4" s="325"/>
      <c r="IMI4" s="325"/>
      <c r="IMJ4" s="325"/>
      <c r="IMK4" s="325"/>
      <c r="IML4" s="325"/>
      <c r="IMM4" s="325"/>
      <c r="IMN4" s="325"/>
      <c r="IMO4" s="325"/>
      <c r="IMP4" s="325"/>
      <c r="IMQ4" s="325"/>
      <c r="IMR4" s="325"/>
      <c r="IMS4" s="325"/>
      <c r="IMT4" s="325"/>
      <c r="IMU4" s="325"/>
      <c r="IMV4" s="325"/>
      <c r="IMW4" s="325"/>
      <c r="IMX4" s="325"/>
      <c r="IMY4" s="325"/>
      <c r="IMZ4" s="325"/>
      <c r="INA4" s="325"/>
      <c r="INB4" s="325"/>
      <c r="INC4" s="325"/>
      <c r="IND4" s="325"/>
      <c r="INE4" s="325"/>
      <c r="INF4" s="325"/>
      <c r="ING4" s="325"/>
      <c r="INH4" s="325"/>
      <c r="INI4" s="325"/>
      <c r="INJ4" s="325"/>
      <c r="INK4" s="325"/>
      <c r="INL4" s="325"/>
      <c r="INM4" s="325"/>
      <c r="INN4" s="325"/>
      <c r="INO4" s="325"/>
      <c r="INP4" s="325"/>
      <c r="INQ4" s="325"/>
      <c r="INR4" s="325"/>
      <c r="INS4" s="325"/>
      <c r="INT4" s="325"/>
      <c r="INU4" s="325"/>
      <c r="INV4" s="325"/>
      <c r="INW4" s="325"/>
      <c r="INX4" s="325"/>
      <c r="INY4" s="325"/>
      <c r="INZ4" s="325"/>
      <c r="IOA4" s="325"/>
      <c r="IOB4" s="325"/>
      <c r="IOC4" s="325"/>
      <c r="IOD4" s="325"/>
      <c r="IOE4" s="325"/>
      <c r="IOF4" s="325"/>
      <c r="IOG4" s="325"/>
      <c r="IOH4" s="325"/>
      <c r="IOI4" s="325"/>
      <c r="IOJ4" s="325"/>
      <c r="IOK4" s="325"/>
      <c r="IOL4" s="325"/>
      <c r="IOM4" s="325"/>
      <c r="ION4" s="325"/>
      <c r="IOO4" s="325"/>
      <c r="IOP4" s="325"/>
      <c r="IOQ4" s="325"/>
      <c r="IOR4" s="325"/>
      <c r="IOS4" s="325"/>
      <c r="IOT4" s="325"/>
      <c r="IOU4" s="325"/>
      <c r="IOV4" s="325"/>
      <c r="IOW4" s="325"/>
      <c r="IOX4" s="325"/>
      <c r="IOY4" s="325"/>
      <c r="IOZ4" s="325"/>
      <c r="IPA4" s="325"/>
      <c r="IPB4" s="325"/>
      <c r="IPC4" s="325"/>
      <c r="IPD4" s="325"/>
      <c r="IPE4" s="325"/>
      <c r="IPF4" s="325"/>
      <c r="IPG4" s="325"/>
      <c r="IPH4" s="325"/>
      <c r="IPI4" s="325"/>
      <c r="IPJ4" s="325"/>
      <c r="IPK4" s="325"/>
      <c r="IPL4" s="325"/>
      <c r="IPM4" s="325"/>
      <c r="IPN4" s="325"/>
      <c r="IPO4" s="325"/>
      <c r="IPP4" s="325"/>
      <c r="IPQ4" s="325"/>
      <c r="IPR4" s="325"/>
      <c r="IPS4" s="325"/>
      <c r="IPT4" s="325"/>
      <c r="IPU4" s="325"/>
      <c r="IPV4" s="325"/>
      <c r="IPW4" s="325"/>
      <c r="IPX4" s="325"/>
      <c r="IPY4" s="325"/>
      <c r="IPZ4" s="325"/>
      <c r="IQA4" s="325"/>
      <c r="IQB4" s="325"/>
      <c r="IQC4" s="325"/>
      <c r="IQD4" s="325"/>
      <c r="IQE4" s="325"/>
      <c r="IQF4" s="325"/>
      <c r="IQG4" s="325"/>
      <c r="IQH4" s="325"/>
      <c r="IQI4" s="325"/>
      <c r="IQJ4" s="325"/>
      <c r="IQK4" s="325"/>
      <c r="IQL4" s="325"/>
      <c r="IQM4" s="325"/>
      <c r="IQN4" s="325"/>
      <c r="IQO4" s="325"/>
      <c r="IQP4" s="325"/>
      <c r="IQQ4" s="325"/>
      <c r="IQR4" s="325"/>
      <c r="IQS4" s="325"/>
      <c r="IQT4" s="325"/>
      <c r="IQU4" s="325"/>
      <c r="IQV4" s="325"/>
      <c r="IQW4" s="325"/>
      <c r="IQX4" s="325"/>
      <c r="IQY4" s="325"/>
      <c r="IQZ4" s="325"/>
      <c r="IRA4" s="325"/>
      <c r="IRB4" s="325"/>
      <c r="IRC4" s="325"/>
      <c r="IRD4" s="325"/>
      <c r="IRE4" s="325"/>
      <c r="IRF4" s="325"/>
      <c r="IRG4" s="325"/>
      <c r="IRH4" s="325"/>
      <c r="IRI4" s="325"/>
      <c r="IRJ4" s="325"/>
      <c r="IRK4" s="325"/>
      <c r="IRL4" s="325"/>
      <c r="IRM4" s="325"/>
      <c r="IRN4" s="325"/>
      <c r="IRO4" s="325"/>
      <c r="IRP4" s="325"/>
      <c r="IRQ4" s="325"/>
      <c r="IRR4" s="325"/>
      <c r="IRS4" s="325"/>
      <c r="IRT4" s="325"/>
      <c r="IRU4" s="325"/>
      <c r="IRV4" s="325"/>
      <c r="IRW4" s="325"/>
      <c r="IRX4" s="325"/>
      <c r="IRY4" s="325"/>
      <c r="IRZ4" s="325"/>
      <c r="ISA4" s="325"/>
      <c r="ISB4" s="325"/>
      <c r="ISC4" s="325"/>
      <c r="ISD4" s="325"/>
      <c r="ISE4" s="325"/>
      <c r="ISF4" s="325"/>
      <c r="ISG4" s="325"/>
      <c r="ISH4" s="325"/>
      <c r="ISI4" s="325"/>
      <c r="ISJ4" s="325"/>
      <c r="ISK4" s="325"/>
      <c r="ISL4" s="325"/>
      <c r="ISM4" s="325"/>
      <c r="ISN4" s="325"/>
      <c r="ISO4" s="325"/>
      <c r="ISP4" s="325"/>
      <c r="ISQ4" s="325"/>
      <c r="ISR4" s="325"/>
      <c r="ISS4" s="325"/>
      <c r="IST4" s="325"/>
      <c r="ISU4" s="325"/>
      <c r="ISV4" s="325"/>
      <c r="ISW4" s="325"/>
      <c r="ISX4" s="325"/>
      <c r="ISY4" s="325"/>
      <c r="ISZ4" s="325"/>
      <c r="ITA4" s="325"/>
      <c r="ITB4" s="325"/>
      <c r="ITC4" s="325"/>
      <c r="ITD4" s="325"/>
      <c r="ITE4" s="325"/>
      <c r="ITF4" s="325"/>
      <c r="ITG4" s="325"/>
      <c r="ITH4" s="325"/>
      <c r="ITI4" s="325"/>
      <c r="ITJ4" s="325"/>
      <c r="ITK4" s="325"/>
      <c r="ITL4" s="325"/>
      <c r="ITM4" s="325"/>
      <c r="ITN4" s="325"/>
      <c r="ITO4" s="325"/>
      <c r="ITP4" s="325"/>
      <c r="ITQ4" s="325"/>
      <c r="ITR4" s="325"/>
      <c r="ITS4" s="325"/>
      <c r="ITT4" s="325"/>
      <c r="ITU4" s="325"/>
      <c r="ITV4" s="325"/>
      <c r="ITW4" s="325"/>
      <c r="ITX4" s="325"/>
      <c r="ITY4" s="325"/>
      <c r="ITZ4" s="325"/>
      <c r="IUA4" s="325"/>
      <c r="IUB4" s="325"/>
      <c r="IUC4" s="325"/>
      <c r="IUD4" s="325"/>
      <c r="IUE4" s="325"/>
      <c r="IUF4" s="325"/>
      <c r="IUG4" s="325"/>
      <c r="IUH4" s="325"/>
      <c r="IUI4" s="325"/>
      <c r="IUJ4" s="325"/>
      <c r="IUK4" s="325"/>
      <c r="IUL4" s="325"/>
      <c r="IUM4" s="325"/>
      <c r="IUN4" s="325"/>
      <c r="IUO4" s="325"/>
      <c r="IUP4" s="325"/>
      <c r="IUQ4" s="325"/>
      <c r="IUR4" s="325"/>
      <c r="IUS4" s="325"/>
      <c r="IUT4" s="325"/>
      <c r="IUU4" s="325"/>
      <c r="IUV4" s="325"/>
      <c r="IUW4" s="325"/>
      <c r="IUX4" s="325"/>
      <c r="IUY4" s="325"/>
      <c r="IUZ4" s="325"/>
      <c r="IVA4" s="325"/>
      <c r="IVB4" s="325"/>
      <c r="IVC4" s="325"/>
      <c r="IVD4" s="325"/>
      <c r="IVE4" s="325"/>
      <c r="IVF4" s="325"/>
      <c r="IVG4" s="325"/>
      <c r="IVH4" s="325"/>
      <c r="IVI4" s="325"/>
      <c r="IVJ4" s="325"/>
      <c r="IVK4" s="325"/>
      <c r="IVL4" s="325"/>
      <c r="IVM4" s="325"/>
      <c r="IVN4" s="325"/>
      <c r="IVO4" s="325"/>
      <c r="IVP4" s="325"/>
      <c r="IVQ4" s="325"/>
      <c r="IVR4" s="325"/>
      <c r="IVS4" s="325"/>
      <c r="IVT4" s="325"/>
      <c r="IVU4" s="325"/>
      <c r="IVV4" s="325"/>
      <c r="IVW4" s="325"/>
      <c r="IVX4" s="325"/>
      <c r="IVY4" s="325"/>
      <c r="IVZ4" s="325"/>
      <c r="IWA4" s="325"/>
      <c r="IWB4" s="325"/>
      <c r="IWC4" s="325"/>
      <c r="IWD4" s="325"/>
      <c r="IWE4" s="325"/>
      <c r="IWF4" s="325"/>
      <c r="IWG4" s="325"/>
      <c r="IWH4" s="325"/>
      <c r="IWI4" s="325"/>
      <c r="IWJ4" s="325"/>
      <c r="IWK4" s="325"/>
      <c r="IWL4" s="325"/>
      <c r="IWM4" s="325"/>
      <c r="IWN4" s="325"/>
      <c r="IWO4" s="325"/>
      <c r="IWP4" s="325"/>
      <c r="IWQ4" s="325"/>
      <c r="IWR4" s="325"/>
      <c r="IWS4" s="325"/>
      <c r="IWT4" s="325"/>
      <c r="IWU4" s="325"/>
      <c r="IWV4" s="325"/>
      <c r="IWW4" s="325"/>
      <c r="IWX4" s="325"/>
      <c r="IWY4" s="325"/>
      <c r="IWZ4" s="325"/>
      <c r="IXA4" s="325"/>
      <c r="IXB4" s="325"/>
      <c r="IXC4" s="325"/>
      <c r="IXD4" s="325"/>
      <c r="IXE4" s="325"/>
      <c r="IXF4" s="325"/>
      <c r="IXG4" s="325"/>
      <c r="IXH4" s="325"/>
      <c r="IXI4" s="325"/>
      <c r="IXJ4" s="325"/>
      <c r="IXK4" s="325"/>
      <c r="IXL4" s="325"/>
      <c r="IXM4" s="325"/>
      <c r="IXN4" s="325"/>
      <c r="IXO4" s="325"/>
      <c r="IXP4" s="325"/>
      <c r="IXQ4" s="325"/>
      <c r="IXR4" s="325"/>
      <c r="IXS4" s="325"/>
      <c r="IXT4" s="325"/>
      <c r="IXU4" s="325"/>
      <c r="IXV4" s="325"/>
      <c r="IXW4" s="325"/>
      <c r="IXX4" s="325"/>
      <c r="IXY4" s="325"/>
      <c r="IXZ4" s="325"/>
      <c r="IYA4" s="325"/>
      <c r="IYB4" s="325"/>
      <c r="IYC4" s="325"/>
      <c r="IYD4" s="325"/>
      <c r="IYE4" s="325"/>
      <c r="IYF4" s="325"/>
      <c r="IYG4" s="325"/>
      <c r="IYH4" s="325"/>
      <c r="IYI4" s="325"/>
      <c r="IYJ4" s="325"/>
      <c r="IYK4" s="325"/>
      <c r="IYL4" s="325"/>
      <c r="IYM4" s="325"/>
      <c r="IYN4" s="325"/>
      <c r="IYO4" s="325"/>
      <c r="IYP4" s="325"/>
      <c r="IYQ4" s="325"/>
      <c r="IYR4" s="325"/>
      <c r="IYS4" s="325"/>
      <c r="IYT4" s="325"/>
      <c r="IYU4" s="325"/>
      <c r="IYV4" s="325"/>
      <c r="IYW4" s="325"/>
      <c r="IYX4" s="325"/>
      <c r="IYY4" s="325"/>
      <c r="IYZ4" s="325"/>
      <c r="IZA4" s="325"/>
      <c r="IZB4" s="325"/>
      <c r="IZC4" s="325"/>
      <c r="IZD4" s="325"/>
      <c r="IZE4" s="325"/>
      <c r="IZF4" s="325"/>
      <c r="IZG4" s="325"/>
      <c r="IZH4" s="325"/>
      <c r="IZI4" s="325"/>
      <c r="IZJ4" s="325"/>
      <c r="IZK4" s="325"/>
      <c r="IZL4" s="325"/>
      <c r="IZM4" s="325"/>
      <c r="IZN4" s="325"/>
      <c r="IZO4" s="325"/>
      <c r="IZP4" s="325"/>
      <c r="IZQ4" s="325"/>
      <c r="IZR4" s="325"/>
      <c r="IZS4" s="325"/>
      <c r="IZT4" s="325"/>
      <c r="IZU4" s="325"/>
      <c r="IZV4" s="325"/>
      <c r="IZW4" s="325"/>
      <c r="IZX4" s="325"/>
      <c r="IZY4" s="325"/>
      <c r="IZZ4" s="325"/>
      <c r="JAA4" s="325"/>
      <c r="JAB4" s="325"/>
      <c r="JAC4" s="325"/>
      <c r="JAD4" s="325"/>
      <c r="JAE4" s="325"/>
      <c r="JAF4" s="325"/>
      <c r="JAG4" s="325"/>
      <c r="JAH4" s="325"/>
      <c r="JAI4" s="325"/>
      <c r="JAJ4" s="325"/>
      <c r="JAK4" s="325"/>
      <c r="JAL4" s="325"/>
      <c r="JAM4" s="325"/>
      <c r="JAN4" s="325"/>
      <c r="JAO4" s="325"/>
      <c r="JAP4" s="325"/>
      <c r="JAQ4" s="325"/>
      <c r="JAR4" s="325"/>
      <c r="JAS4" s="325"/>
      <c r="JAT4" s="325"/>
      <c r="JAU4" s="325"/>
      <c r="JAV4" s="325"/>
      <c r="JAW4" s="325"/>
      <c r="JAX4" s="325"/>
      <c r="JAY4" s="325"/>
      <c r="JAZ4" s="325"/>
      <c r="JBA4" s="325"/>
      <c r="JBB4" s="325"/>
      <c r="JBC4" s="325"/>
      <c r="JBD4" s="325"/>
      <c r="JBE4" s="325"/>
      <c r="JBF4" s="325"/>
      <c r="JBG4" s="325"/>
      <c r="JBH4" s="325"/>
      <c r="JBI4" s="325"/>
      <c r="JBJ4" s="325"/>
      <c r="JBK4" s="325"/>
      <c r="JBL4" s="325"/>
      <c r="JBM4" s="325"/>
      <c r="JBN4" s="325"/>
      <c r="JBO4" s="325"/>
      <c r="JBP4" s="325"/>
      <c r="JBQ4" s="325"/>
      <c r="JBR4" s="325"/>
      <c r="JBS4" s="325"/>
      <c r="JBT4" s="325"/>
      <c r="JBU4" s="325"/>
      <c r="JBV4" s="325"/>
      <c r="JBW4" s="325"/>
      <c r="JBX4" s="325"/>
      <c r="JBY4" s="325"/>
      <c r="JBZ4" s="325"/>
      <c r="JCA4" s="325"/>
      <c r="JCB4" s="325"/>
      <c r="JCC4" s="325"/>
      <c r="JCD4" s="325"/>
      <c r="JCE4" s="325"/>
      <c r="JCF4" s="325"/>
      <c r="JCG4" s="325"/>
      <c r="JCH4" s="325"/>
      <c r="JCI4" s="325"/>
      <c r="JCJ4" s="325"/>
      <c r="JCK4" s="325"/>
      <c r="JCL4" s="325"/>
      <c r="JCM4" s="325"/>
      <c r="JCN4" s="325"/>
      <c r="JCO4" s="325"/>
      <c r="JCP4" s="325"/>
      <c r="JCQ4" s="325"/>
      <c r="JCR4" s="325"/>
      <c r="JCS4" s="325"/>
      <c r="JCT4" s="325"/>
      <c r="JCU4" s="325"/>
      <c r="JCV4" s="325"/>
      <c r="JCW4" s="325"/>
      <c r="JCX4" s="325"/>
      <c r="JCY4" s="325"/>
      <c r="JCZ4" s="325"/>
      <c r="JDA4" s="325"/>
      <c r="JDB4" s="325"/>
      <c r="JDC4" s="325"/>
      <c r="JDD4" s="325"/>
      <c r="JDE4" s="325"/>
      <c r="JDF4" s="325"/>
      <c r="JDG4" s="325"/>
      <c r="JDH4" s="325"/>
      <c r="JDI4" s="325"/>
      <c r="JDJ4" s="325"/>
      <c r="JDK4" s="325"/>
      <c r="JDL4" s="325"/>
      <c r="JDM4" s="325"/>
      <c r="JDN4" s="325"/>
      <c r="JDO4" s="325"/>
      <c r="JDP4" s="325"/>
      <c r="JDQ4" s="325"/>
      <c r="JDR4" s="325"/>
      <c r="JDS4" s="325"/>
      <c r="JDT4" s="325"/>
      <c r="JDU4" s="325"/>
      <c r="JDV4" s="325"/>
      <c r="JDW4" s="325"/>
      <c r="JDX4" s="325"/>
      <c r="JDY4" s="325"/>
      <c r="JDZ4" s="325"/>
      <c r="JEA4" s="325"/>
      <c r="JEB4" s="325"/>
      <c r="JEC4" s="325"/>
      <c r="JED4" s="325"/>
      <c r="JEE4" s="325"/>
      <c r="JEF4" s="325"/>
      <c r="JEG4" s="325"/>
      <c r="JEH4" s="325"/>
      <c r="JEI4" s="325"/>
      <c r="JEJ4" s="325"/>
      <c r="JEK4" s="325"/>
      <c r="JEL4" s="325"/>
      <c r="JEM4" s="325"/>
      <c r="JEN4" s="325"/>
      <c r="JEO4" s="325"/>
      <c r="JEP4" s="325"/>
      <c r="JEQ4" s="325"/>
      <c r="JER4" s="325"/>
      <c r="JES4" s="325"/>
      <c r="JET4" s="325"/>
      <c r="JEU4" s="325"/>
      <c r="JEV4" s="325"/>
      <c r="JEW4" s="325"/>
      <c r="JEX4" s="325"/>
      <c r="JEY4" s="325"/>
      <c r="JEZ4" s="325"/>
      <c r="JFA4" s="325"/>
      <c r="JFB4" s="325"/>
      <c r="JFC4" s="325"/>
      <c r="JFD4" s="325"/>
      <c r="JFE4" s="325"/>
      <c r="JFF4" s="325"/>
      <c r="JFG4" s="325"/>
      <c r="JFH4" s="325"/>
      <c r="JFI4" s="325"/>
      <c r="JFJ4" s="325"/>
      <c r="JFK4" s="325"/>
      <c r="JFL4" s="325"/>
      <c r="JFM4" s="325"/>
      <c r="JFN4" s="325"/>
      <c r="JFO4" s="325"/>
      <c r="JFP4" s="325"/>
      <c r="JFQ4" s="325"/>
      <c r="JFR4" s="325"/>
      <c r="JFS4" s="325"/>
      <c r="JFT4" s="325"/>
      <c r="JFU4" s="325"/>
      <c r="JFV4" s="325"/>
      <c r="JFW4" s="325"/>
      <c r="JFX4" s="325"/>
      <c r="JFY4" s="325"/>
      <c r="JFZ4" s="325"/>
      <c r="JGA4" s="325"/>
      <c r="JGB4" s="325"/>
      <c r="JGC4" s="325"/>
      <c r="JGD4" s="325"/>
      <c r="JGE4" s="325"/>
      <c r="JGF4" s="325"/>
      <c r="JGG4" s="325"/>
      <c r="JGH4" s="325"/>
      <c r="JGI4" s="325"/>
      <c r="JGJ4" s="325"/>
      <c r="JGK4" s="325"/>
      <c r="JGL4" s="325"/>
      <c r="JGM4" s="325"/>
      <c r="JGN4" s="325"/>
      <c r="JGO4" s="325"/>
      <c r="JGP4" s="325"/>
      <c r="JGQ4" s="325"/>
      <c r="JGR4" s="325"/>
      <c r="JGS4" s="325"/>
      <c r="JGT4" s="325"/>
      <c r="JGU4" s="325"/>
      <c r="JGV4" s="325"/>
      <c r="JGW4" s="325"/>
      <c r="JGX4" s="325"/>
      <c r="JGY4" s="325"/>
      <c r="JGZ4" s="325"/>
      <c r="JHA4" s="325"/>
      <c r="JHB4" s="325"/>
      <c r="JHC4" s="325"/>
      <c r="JHD4" s="325"/>
      <c r="JHE4" s="325"/>
      <c r="JHF4" s="325"/>
      <c r="JHG4" s="325"/>
      <c r="JHH4" s="325"/>
      <c r="JHI4" s="325"/>
      <c r="JHJ4" s="325"/>
      <c r="JHK4" s="325"/>
      <c r="JHL4" s="325"/>
      <c r="JHM4" s="325"/>
      <c r="JHN4" s="325"/>
      <c r="JHO4" s="325"/>
      <c r="JHP4" s="325"/>
      <c r="JHQ4" s="325"/>
      <c r="JHR4" s="325"/>
      <c r="JHS4" s="325"/>
      <c r="JHT4" s="325"/>
      <c r="JHU4" s="325"/>
      <c r="JHV4" s="325"/>
      <c r="JHW4" s="325"/>
      <c r="JHX4" s="325"/>
      <c r="JHY4" s="325"/>
      <c r="JHZ4" s="325"/>
      <c r="JIA4" s="325"/>
      <c r="JIB4" s="325"/>
      <c r="JIC4" s="325"/>
      <c r="JID4" s="325"/>
      <c r="JIE4" s="325"/>
      <c r="JIF4" s="325"/>
      <c r="JIG4" s="325"/>
      <c r="JIH4" s="325"/>
      <c r="JII4" s="325"/>
      <c r="JIJ4" s="325"/>
      <c r="JIK4" s="325"/>
      <c r="JIL4" s="325"/>
      <c r="JIM4" s="325"/>
      <c r="JIN4" s="325"/>
      <c r="JIO4" s="325"/>
      <c r="JIP4" s="325"/>
      <c r="JIQ4" s="325"/>
      <c r="JIR4" s="325"/>
      <c r="JIS4" s="325"/>
      <c r="JIT4" s="325"/>
      <c r="JIU4" s="325"/>
      <c r="JIV4" s="325"/>
      <c r="JIW4" s="325"/>
      <c r="JIX4" s="325"/>
      <c r="JIY4" s="325"/>
      <c r="JIZ4" s="325"/>
      <c r="JJA4" s="325"/>
      <c r="JJB4" s="325"/>
      <c r="JJC4" s="325"/>
      <c r="JJD4" s="325"/>
      <c r="JJE4" s="325"/>
      <c r="JJF4" s="325"/>
      <c r="JJG4" s="325"/>
      <c r="JJH4" s="325"/>
      <c r="JJI4" s="325"/>
      <c r="JJJ4" s="325"/>
      <c r="JJK4" s="325"/>
      <c r="JJL4" s="325"/>
      <c r="JJM4" s="325"/>
      <c r="JJN4" s="325"/>
      <c r="JJO4" s="325"/>
      <c r="JJP4" s="325"/>
      <c r="JJQ4" s="325"/>
      <c r="JJR4" s="325"/>
      <c r="JJS4" s="325"/>
      <c r="JJT4" s="325"/>
      <c r="JJU4" s="325"/>
      <c r="JJV4" s="325"/>
      <c r="JJW4" s="325"/>
      <c r="JJX4" s="325"/>
      <c r="JJY4" s="325"/>
      <c r="JJZ4" s="325"/>
      <c r="JKA4" s="325"/>
      <c r="JKB4" s="325"/>
      <c r="JKC4" s="325"/>
      <c r="JKD4" s="325"/>
      <c r="JKE4" s="325"/>
      <c r="JKF4" s="325"/>
      <c r="JKG4" s="325"/>
      <c r="JKH4" s="325"/>
      <c r="JKI4" s="325"/>
      <c r="JKJ4" s="325"/>
      <c r="JKK4" s="325"/>
      <c r="JKL4" s="325"/>
      <c r="JKM4" s="325"/>
      <c r="JKN4" s="325"/>
      <c r="JKO4" s="325"/>
      <c r="JKP4" s="325"/>
      <c r="JKQ4" s="325"/>
      <c r="JKR4" s="325"/>
      <c r="JKS4" s="325"/>
      <c r="JKT4" s="325"/>
      <c r="JKU4" s="325"/>
      <c r="JKV4" s="325"/>
      <c r="JKW4" s="325"/>
      <c r="JKX4" s="325"/>
      <c r="JKY4" s="325"/>
      <c r="JKZ4" s="325"/>
      <c r="JLA4" s="325"/>
      <c r="JLB4" s="325"/>
      <c r="JLC4" s="325"/>
      <c r="JLD4" s="325"/>
      <c r="JLE4" s="325"/>
      <c r="JLF4" s="325"/>
      <c r="JLG4" s="325"/>
      <c r="JLH4" s="325"/>
      <c r="JLI4" s="325"/>
      <c r="JLJ4" s="325"/>
      <c r="JLK4" s="325"/>
      <c r="JLL4" s="325"/>
      <c r="JLM4" s="325"/>
      <c r="JLN4" s="325"/>
      <c r="JLO4" s="325"/>
      <c r="JLP4" s="325"/>
      <c r="JLQ4" s="325"/>
      <c r="JLR4" s="325"/>
      <c r="JLS4" s="325"/>
      <c r="JLT4" s="325"/>
      <c r="JLU4" s="325"/>
      <c r="JLV4" s="325"/>
      <c r="JLW4" s="325"/>
      <c r="JLX4" s="325"/>
      <c r="JLY4" s="325"/>
      <c r="JLZ4" s="325"/>
      <c r="JMA4" s="325"/>
      <c r="JMB4" s="325"/>
      <c r="JMC4" s="325"/>
      <c r="JMD4" s="325"/>
      <c r="JME4" s="325"/>
      <c r="JMF4" s="325"/>
      <c r="JMG4" s="325"/>
      <c r="JMH4" s="325"/>
      <c r="JMI4" s="325"/>
      <c r="JMJ4" s="325"/>
      <c r="JMK4" s="325"/>
      <c r="JML4" s="325"/>
      <c r="JMM4" s="325"/>
      <c r="JMN4" s="325"/>
      <c r="JMO4" s="325"/>
      <c r="JMP4" s="325"/>
      <c r="JMQ4" s="325"/>
      <c r="JMR4" s="325"/>
      <c r="JMS4" s="325"/>
      <c r="JMT4" s="325"/>
      <c r="JMU4" s="325"/>
      <c r="JMV4" s="325"/>
      <c r="JMW4" s="325"/>
      <c r="JMX4" s="325"/>
      <c r="JMY4" s="325"/>
      <c r="JMZ4" s="325"/>
      <c r="JNA4" s="325"/>
      <c r="JNB4" s="325"/>
      <c r="JNC4" s="325"/>
      <c r="JND4" s="325"/>
      <c r="JNE4" s="325"/>
      <c r="JNF4" s="325"/>
      <c r="JNG4" s="325"/>
      <c r="JNH4" s="325"/>
      <c r="JNI4" s="325"/>
      <c r="JNJ4" s="325"/>
      <c r="JNK4" s="325"/>
      <c r="JNL4" s="325"/>
      <c r="JNM4" s="325"/>
      <c r="JNN4" s="325"/>
      <c r="JNO4" s="325"/>
      <c r="JNP4" s="325"/>
      <c r="JNQ4" s="325"/>
      <c r="JNR4" s="325"/>
      <c r="JNS4" s="325"/>
      <c r="JNT4" s="325"/>
      <c r="JNU4" s="325"/>
      <c r="JNV4" s="325"/>
      <c r="JNW4" s="325"/>
      <c r="JNX4" s="325"/>
      <c r="JNY4" s="325"/>
      <c r="JNZ4" s="325"/>
      <c r="JOA4" s="325"/>
      <c r="JOB4" s="325"/>
      <c r="JOC4" s="325"/>
      <c r="JOD4" s="325"/>
      <c r="JOE4" s="325"/>
      <c r="JOF4" s="325"/>
      <c r="JOG4" s="325"/>
      <c r="JOH4" s="325"/>
      <c r="JOI4" s="325"/>
      <c r="JOJ4" s="325"/>
      <c r="JOK4" s="325"/>
      <c r="JOL4" s="325"/>
      <c r="JOM4" s="325"/>
      <c r="JON4" s="325"/>
      <c r="JOO4" s="325"/>
      <c r="JOP4" s="325"/>
      <c r="JOQ4" s="325"/>
      <c r="JOR4" s="325"/>
      <c r="JOS4" s="325"/>
      <c r="JOT4" s="325"/>
      <c r="JOU4" s="325"/>
      <c r="JOV4" s="325"/>
      <c r="JOW4" s="325"/>
      <c r="JOX4" s="325"/>
      <c r="JOY4" s="325"/>
      <c r="JOZ4" s="325"/>
      <c r="JPA4" s="325"/>
      <c r="JPB4" s="325"/>
      <c r="JPC4" s="325"/>
      <c r="JPD4" s="325"/>
      <c r="JPE4" s="325"/>
      <c r="JPF4" s="325"/>
      <c r="JPG4" s="325"/>
      <c r="JPH4" s="325"/>
      <c r="JPI4" s="325"/>
      <c r="JPJ4" s="325"/>
      <c r="JPK4" s="325"/>
      <c r="JPL4" s="325"/>
      <c r="JPM4" s="325"/>
      <c r="JPN4" s="325"/>
      <c r="JPO4" s="325"/>
      <c r="JPP4" s="325"/>
      <c r="JPQ4" s="325"/>
      <c r="JPR4" s="325"/>
      <c r="JPS4" s="325"/>
      <c r="JPT4" s="325"/>
      <c r="JPU4" s="325"/>
      <c r="JPV4" s="325"/>
      <c r="JPW4" s="325"/>
      <c r="JPX4" s="325"/>
      <c r="JPY4" s="325"/>
      <c r="JPZ4" s="325"/>
      <c r="JQA4" s="325"/>
      <c r="JQB4" s="325"/>
      <c r="JQC4" s="325"/>
      <c r="JQD4" s="325"/>
      <c r="JQE4" s="325"/>
      <c r="JQF4" s="325"/>
      <c r="JQG4" s="325"/>
      <c r="JQH4" s="325"/>
      <c r="JQI4" s="325"/>
      <c r="JQJ4" s="325"/>
      <c r="JQK4" s="325"/>
      <c r="JQL4" s="325"/>
      <c r="JQM4" s="325"/>
      <c r="JQN4" s="325"/>
      <c r="JQO4" s="325"/>
      <c r="JQP4" s="325"/>
      <c r="JQQ4" s="325"/>
      <c r="JQR4" s="325"/>
      <c r="JQS4" s="325"/>
      <c r="JQT4" s="325"/>
      <c r="JQU4" s="325"/>
      <c r="JQV4" s="325"/>
      <c r="JQW4" s="325"/>
      <c r="JQX4" s="325"/>
      <c r="JQY4" s="325"/>
      <c r="JQZ4" s="325"/>
      <c r="JRA4" s="325"/>
      <c r="JRB4" s="325"/>
      <c r="JRC4" s="325"/>
      <c r="JRD4" s="325"/>
      <c r="JRE4" s="325"/>
      <c r="JRF4" s="325"/>
      <c r="JRG4" s="325"/>
      <c r="JRH4" s="325"/>
      <c r="JRI4" s="325"/>
      <c r="JRJ4" s="325"/>
      <c r="JRK4" s="325"/>
      <c r="JRL4" s="325"/>
      <c r="JRM4" s="325"/>
      <c r="JRN4" s="325"/>
      <c r="JRO4" s="325"/>
      <c r="JRP4" s="325"/>
      <c r="JRQ4" s="325"/>
      <c r="JRR4" s="325"/>
      <c r="JRS4" s="325"/>
      <c r="JRT4" s="325"/>
      <c r="JRU4" s="325"/>
      <c r="JRV4" s="325"/>
      <c r="JRW4" s="325"/>
      <c r="JRX4" s="325"/>
      <c r="JRY4" s="325"/>
      <c r="JRZ4" s="325"/>
      <c r="JSA4" s="325"/>
      <c r="JSB4" s="325"/>
      <c r="JSC4" s="325"/>
      <c r="JSD4" s="325"/>
      <c r="JSE4" s="325"/>
      <c r="JSF4" s="325"/>
      <c r="JSG4" s="325"/>
      <c r="JSH4" s="325"/>
      <c r="JSI4" s="325"/>
      <c r="JSJ4" s="325"/>
      <c r="JSK4" s="325"/>
      <c r="JSL4" s="325"/>
      <c r="JSM4" s="325"/>
      <c r="JSN4" s="325"/>
      <c r="JSO4" s="325"/>
      <c r="JSP4" s="325"/>
      <c r="JSQ4" s="325"/>
      <c r="JSR4" s="325"/>
      <c r="JSS4" s="325"/>
      <c r="JST4" s="325"/>
      <c r="JSU4" s="325"/>
      <c r="JSV4" s="325"/>
      <c r="JSW4" s="325"/>
      <c r="JSX4" s="325"/>
      <c r="JSY4" s="325"/>
      <c r="JSZ4" s="325"/>
      <c r="JTA4" s="325"/>
      <c r="JTB4" s="325"/>
      <c r="JTC4" s="325"/>
      <c r="JTD4" s="325"/>
      <c r="JTE4" s="325"/>
      <c r="JTF4" s="325"/>
      <c r="JTG4" s="325"/>
      <c r="JTH4" s="325"/>
      <c r="JTI4" s="325"/>
      <c r="JTJ4" s="325"/>
      <c r="JTK4" s="325"/>
      <c r="JTL4" s="325"/>
      <c r="JTM4" s="325"/>
      <c r="JTN4" s="325"/>
      <c r="JTO4" s="325"/>
      <c r="JTP4" s="325"/>
      <c r="JTQ4" s="325"/>
      <c r="JTR4" s="325"/>
      <c r="JTS4" s="325"/>
      <c r="JTT4" s="325"/>
      <c r="JTU4" s="325"/>
      <c r="JTV4" s="325"/>
      <c r="JTW4" s="325"/>
      <c r="JTX4" s="325"/>
      <c r="JTY4" s="325"/>
      <c r="JTZ4" s="325"/>
      <c r="JUA4" s="325"/>
      <c r="JUB4" s="325"/>
      <c r="JUC4" s="325"/>
      <c r="JUD4" s="325"/>
      <c r="JUE4" s="325"/>
      <c r="JUF4" s="325"/>
      <c r="JUG4" s="325"/>
      <c r="JUH4" s="325"/>
      <c r="JUI4" s="325"/>
      <c r="JUJ4" s="325"/>
      <c r="JUK4" s="325"/>
      <c r="JUL4" s="325"/>
      <c r="JUM4" s="325"/>
      <c r="JUN4" s="325"/>
      <c r="JUO4" s="325"/>
      <c r="JUP4" s="325"/>
      <c r="JUQ4" s="325"/>
      <c r="JUR4" s="325"/>
      <c r="JUS4" s="325"/>
      <c r="JUT4" s="325"/>
      <c r="JUU4" s="325"/>
      <c r="JUV4" s="325"/>
      <c r="JUW4" s="325"/>
      <c r="JUX4" s="325"/>
      <c r="JUY4" s="325"/>
      <c r="JUZ4" s="325"/>
      <c r="JVA4" s="325"/>
      <c r="JVB4" s="325"/>
      <c r="JVC4" s="325"/>
      <c r="JVD4" s="325"/>
      <c r="JVE4" s="325"/>
      <c r="JVF4" s="325"/>
      <c r="JVG4" s="325"/>
      <c r="JVH4" s="325"/>
      <c r="JVI4" s="325"/>
      <c r="JVJ4" s="325"/>
      <c r="JVK4" s="325"/>
      <c r="JVL4" s="325"/>
      <c r="JVM4" s="325"/>
      <c r="JVN4" s="325"/>
      <c r="JVO4" s="325"/>
      <c r="JVP4" s="325"/>
      <c r="JVQ4" s="325"/>
      <c r="JVR4" s="325"/>
      <c r="JVS4" s="325"/>
      <c r="JVT4" s="325"/>
      <c r="JVU4" s="325"/>
      <c r="JVV4" s="325"/>
      <c r="JVW4" s="325"/>
      <c r="JVX4" s="325"/>
      <c r="JVY4" s="325"/>
      <c r="JVZ4" s="325"/>
      <c r="JWA4" s="325"/>
      <c r="JWB4" s="325"/>
      <c r="JWC4" s="325"/>
      <c r="JWD4" s="325"/>
      <c r="JWE4" s="325"/>
      <c r="JWF4" s="325"/>
      <c r="JWG4" s="325"/>
      <c r="JWH4" s="325"/>
      <c r="JWI4" s="325"/>
      <c r="JWJ4" s="325"/>
      <c r="JWK4" s="325"/>
      <c r="JWL4" s="325"/>
      <c r="JWM4" s="325"/>
      <c r="JWN4" s="325"/>
      <c r="JWO4" s="325"/>
      <c r="JWP4" s="325"/>
      <c r="JWQ4" s="325"/>
      <c r="JWR4" s="325"/>
      <c r="JWS4" s="325"/>
      <c r="JWT4" s="325"/>
      <c r="JWU4" s="325"/>
      <c r="JWV4" s="325"/>
      <c r="JWW4" s="325"/>
      <c r="JWX4" s="325"/>
      <c r="JWY4" s="325"/>
      <c r="JWZ4" s="325"/>
      <c r="JXA4" s="325"/>
      <c r="JXB4" s="325"/>
      <c r="JXC4" s="325"/>
      <c r="JXD4" s="325"/>
      <c r="JXE4" s="325"/>
      <c r="JXF4" s="325"/>
      <c r="JXG4" s="325"/>
      <c r="JXH4" s="325"/>
      <c r="JXI4" s="325"/>
      <c r="JXJ4" s="325"/>
      <c r="JXK4" s="325"/>
      <c r="JXL4" s="325"/>
      <c r="JXM4" s="325"/>
      <c r="JXN4" s="325"/>
      <c r="JXO4" s="325"/>
      <c r="JXP4" s="325"/>
      <c r="JXQ4" s="325"/>
      <c r="JXR4" s="325"/>
      <c r="JXS4" s="325"/>
      <c r="JXT4" s="325"/>
      <c r="JXU4" s="325"/>
      <c r="JXV4" s="325"/>
      <c r="JXW4" s="325"/>
      <c r="JXX4" s="325"/>
      <c r="JXY4" s="325"/>
      <c r="JXZ4" s="325"/>
      <c r="JYA4" s="325"/>
      <c r="JYB4" s="325"/>
      <c r="JYC4" s="325"/>
      <c r="JYD4" s="325"/>
      <c r="JYE4" s="325"/>
      <c r="JYF4" s="325"/>
      <c r="JYG4" s="325"/>
      <c r="JYH4" s="325"/>
      <c r="JYI4" s="325"/>
      <c r="JYJ4" s="325"/>
      <c r="JYK4" s="325"/>
      <c r="JYL4" s="325"/>
      <c r="JYM4" s="325"/>
      <c r="JYN4" s="325"/>
      <c r="JYO4" s="325"/>
      <c r="JYP4" s="325"/>
      <c r="JYQ4" s="325"/>
      <c r="JYR4" s="325"/>
      <c r="JYS4" s="325"/>
      <c r="JYT4" s="325"/>
      <c r="JYU4" s="325"/>
      <c r="JYV4" s="325"/>
      <c r="JYW4" s="325"/>
      <c r="JYX4" s="325"/>
      <c r="JYY4" s="325"/>
      <c r="JYZ4" s="325"/>
      <c r="JZA4" s="325"/>
      <c r="JZB4" s="325"/>
      <c r="JZC4" s="325"/>
      <c r="JZD4" s="325"/>
      <c r="JZE4" s="325"/>
      <c r="JZF4" s="325"/>
      <c r="JZG4" s="325"/>
      <c r="JZH4" s="325"/>
      <c r="JZI4" s="325"/>
      <c r="JZJ4" s="325"/>
      <c r="JZK4" s="325"/>
      <c r="JZL4" s="325"/>
      <c r="JZM4" s="325"/>
      <c r="JZN4" s="325"/>
      <c r="JZO4" s="325"/>
      <c r="JZP4" s="325"/>
      <c r="JZQ4" s="325"/>
      <c r="JZR4" s="325"/>
      <c r="JZS4" s="325"/>
      <c r="JZT4" s="325"/>
      <c r="JZU4" s="325"/>
      <c r="JZV4" s="325"/>
      <c r="JZW4" s="325"/>
      <c r="JZX4" s="325"/>
      <c r="JZY4" s="325"/>
      <c r="JZZ4" s="325"/>
      <c r="KAA4" s="325"/>
      <c r="KAB4" s="325"/>
      <c r="KAC4" s="325"/>
      <c r="KAD4" s="325"/>
      <c r="KAE4" s="325"/>
      <c r="KAF4" s="325"/>
      <c r="KAG4" s="325"/>
      <c r="KAH4" s="325"/>
      <c r="KAI4" s="325"/>
      <c r="KAJ4" s="325"/>
      <c r="KAK4" s="325"/>
      <c r="KAL4" s="325"/>
      <c r="KAM4" s="325"/>
      <c r="KAN4" s="325"/>
      <c r="KAO4" s="325"/>
      <c r="KAP4" s="325"/>
      <c r="KAQ4" s="325"/>
      <c r="KAR4" s="325"/>
      <c r="KAS4" s="325"/>
      <c r="KAT4" s="325"/>
      <c r="KAU4" s="325"/>
      <c r="KAV4" s="325"/>
      <c r="KAW4" s="325"/>
      <c r="KAX4" s="325"/>
      <c r="KAY4" s="325"/>
      <c r="KAZ4" s="325"/>
      <c r="KBA4" s="325"/>
      <c r="KBB4" s="325"/>
      <c r="KBC4" s="325"/>
      <c r="KBD4" s="325"/>
      <c r="KBE4" s="325"/>
      <c r="KBF4" s="325"/>
      <c r="KBG4" s="325"/>
      <c r="KBH4" s="325"/>
      <c r="KBI4" s="325"/>
      <c r="KBJ4" s="325"/>
      <c r="KBK4" s="325"/>
      <c r="KBL4" s="325"/>
      <c r="KBM4" s="325"/>
      <c r="KBN4" s="325"/>
      <c r="KBO4" s="325"/>
      <c r="KBP4" s="325"/>
      <c r="KBQ4" s="325"/>
      <c r="KBR4" s="325"/>
      <c r="KBS4" s="325"/>
      <c r="KBT4" s="325"/>
      <c r="KBU4" s="325"/>
      <c r="KBV4" s="325"/>
      <c r="KBW4" s="325"/>
      <c r="KBX4" s="325"/>
      <c r="KBY4" s="325"/>
      <c r="KBZ4" s="325"/>
      <c r="KCA4" s="325"/>
      <c r="KCB4" s="325"/>
      <c r="KCC4" s="325"/>
      <c r="KCD4" s="325"/>
      <c r="KCE4" s="325"/>
      <c r="KCF4" s="325"/>
      <c r="KCG4" s="325"/>
      <c r="KCH4" s="325"/>
      <c r="KCI4" s="325"/>
      <c r="KCJ4" s="325"/>
      <c r="KCK4" s="325"/>
      <c r="KCL4" s="325"/>
      <c r="KCM4" s="325"/>
      <c r="KCN4" s="325"/>
      <c r="KCO4" s="325"/>
      <c r="KCP4" s="325"/>
      <c r="KCQ4" s="325"/>
      <c r="KCR4" s="325"/>
      <c r="KCS4" s="325"/>
      <c r="KCT4" s="325"/>
      <c r="KCU4" s="325"/>
      <c r="KCV4" s="325"/>
      <c r="KCW4" s="325"/>
      <c r="KCX4" s="325"/>
      <c r="KCY4" s="325"/>
      <c r="KCZ4" s="325"/>
      <c r="KDA4" s="325"/>
      <c r="KDB4" s="325"/>
      <c r="KDC4" s="325"/>
      <c r="KDD4" s="325"/>
      <c r="KDE4" s="325"/>
      <c r="KDF4" s="325"/>
      <c r="KDG4" s="325"/>
      <c r="KDH4" s="325"/>
      <c r="KDI4" s="325"/>
      <c r="KDJ4" s="325"/>
      <c r="KDK4" s="325"/>
      <c r="KDL4" s="325"/>
      <c r="KDM4" s="325"/>
      <c r="KDN4" s="325"/>
      <c r="KDO4" s="325"/>
      <c r="KDP4" s="325"/>
      <c r="KDQ4" s="325"/>
      <c r="KDR4" s="325"/>
      <c r="KDS4" s="325"/>
      <c r="KDT4" s="325"/>
      <c r="KDU4" s="325"/>
      <c r="KDV4" s="325"/>
      <c r="KDW4" s="325"/>
      <c r="KDX4" s="325"/>
      <c r="KDY4" s="325"/>
      <c r="KDZ4" s="325"/>
      <c r="KEA4" s="325"/>
      <c r="KEB4" s="325"/>
      <c r="KEC4" s="325"/>
      <c r="KED4" s="325"/>
      <c r="KEE4" s="325"/>
      <c r="KEF4" s="325"/>
      <c r="KEG4" s="325"/>
      <c r="KEH4" s="325"/>
      <c r="KEI4" s="325"/>
      <c r="KEJ4" s="325"/>
      <c r="KEK4" s="325"/>
      <c r="KEL4" s="325"/>
      <c r="KEM4" s="325"/>
      <c r="KEN4" s="325"/>
      <c r="KEO4" s="325"/>
      <c r="KEP4" s="325"/>
      <c r="KEQ4" s="325"/>
      <c r="KER4" s="325"/>
      <c r="KES4" s="325"/>
      <c r="KET4" s="325"/>
      <c r="KEU4" s="325"/>
      <c r="KEV4" s="325"/>
      <c r="KEW4" s="325"/>
      <c r="KEX4" s="325"/>
      <c r="KEY4" s="325"/>
      <c r="KEZ4" s="325"/>
      <c r="KFA4" s="325"/>
      <c r="KFB4" s="325"/>
      <c r="KFC4" s="325"/>
      <c r="KFD4" s="325"/>
      <c r="KFE4" s="325"/>
      <c r="KFF4" s="325"/>
      <c r="KFG4" s="325"/>
      <c r="KFH4" s="325"/>
      <c r="KFI4" s="325"/>
      <c r="KFJ4" s="325"/>
      <c r="KFK4" s="325"/>
      <c r="KFL4" s="325"/>
      <c r="KFM4" s="325"/>
      <c r="KFN4" s="325"/>
      <c r="KFO4" s="325"/>
      <c r="KFP4" s="325"/>
      <c r="KFQ4" s="325"/>
      <c r="KFR4" s="325"/>
      <c r="KFS4" s="325"/>
      <c r="KFT4" s="325"/>
      <c r="KFU4" s="325"/>
      <c r="KFV4" s="325"/>
      <c r="KFW4" s="325"/>
      <c r="KFX4" s="325"/>
      <c r="KFY4" s="325"/>
      <c r="KFZ4" s="325"/>
      <c r="KGA4" s="325"/>
      <c r="KGB4" s="325"/>
      <c r="KGC4" s="325"/>
      <c r="KGD4" s="325"/>
      <c r="KGE4" s="325"/>
      <c r="KGF4" s="325"/>
      <c r="KGG4" s="325"/>
      <c r="KGH4" s="325"/>
      <c r="KGI4" s="325"/>
      <c r="KGJ4" s="325"/>
      <c r="KGK4" s="325"/>
      <c r="KGL4" s="325"/>
      <c r="KGM4" s="325"/>
      <c r="KGN4" s="325"/>
      <c r="KGO4" s="325"/>
      <c r="KGP4" s="325"/>
      <c r="KGQ4" s="325"/>
      <c r="KGR4" s="325"/>
      <c r="KGS4" s="325"/>
      <c r="KGT4" s="325"/>
      <c r="KGU4" s="325"/>
      <c r="KGV4" s="325"/>
      <c r="KGW4" s="325"/>
      <c r="KGX4" s="325"/>
      <c r="KGY4" s="325"/>
      <c r="KGZ4" s="325"/>
      <c r="KHA4" s="325"/>
      <c r="KHB4" s="325"/>
      <c r="KHC4" s="325"/>
      <c r="KHD4" s="325"/>
      <c r="KHE4" s="325"/>
      <c r="KHF4" s="325"/>
      <c r="KHG4" s="325"/>
      <c r="KHH4" s="325"/>
      <c r="KHI4" s="325"/>
      <c r="KHJ4" s="325"/>
      <c r="KHK4" s="325"/>
      <c r="KHL4" s="325"/>
      <c r="KHM4" s="325"/>
      <c r="KHN4" s="325"/>
      <c r="KHO4" s="325"/>
      <c r="KHP4" s="325"/>
      <c r="KHQ4" s="325"/>
      <c r="KHR4" s="325"/>
      <c r="KHS4" s="325"/>
      <c r="KHT4" s="325"/>
      <c r="KHU4" s="325"/>
      <c r="KHV4" s="325"/>
      <c r="KHW4" s="325"/>
      <c r="KHX4" s="325"/>
      <c r="KHY4" s="325"/>
      <c r="KHZ4" s="325"/>
      <c r="KIA4" s="325"/>
      <c r="KIB4" s="325"/>
      <c r="KIC4" s="325"/>
      <c r="KID4" s="325"/>
      <c r="KIE4" s="325"/>
      <c r="KIF4" s="325"/>
      <c r="KIG4" s="325"/>
      <c r="KIH4" s="325"/>
      <c r="KII4" s="325"/>
      <c r="KIJ4" s="325"/>
      <c r="KIK4" s="325"/>
      <c r="KIL4" s="325"/>
      <c r="KIM4" s="325"/>
      <c r="KIN4" s="325"/>
      <c r="KIO4" s="325"/>
      <c r="KIP4" s="325"/>
      <c r="KIQ4" s="325"/>
      <c r="KIR4" s="325"/>
      <c r="KIS4" s="325"/>
      <c r="KIT4" s="325"/>
      <c r="KIU4" s="325"/>
      <c r="KIV4" s="325"/>
      <c r="KIW4" s="325"/>
      <c r="KIX4" s="325"/>
      <c r="KIY4" s="325"/>
      <c r="KIZ4" s="325"/>
      <c r="KJA4" s="325"/>
      <c r="KJB4" s="325"/>
      <c r="KJC4" s="325"/>
      <c r="KJD4" s="325"/>
      <c r="KJE4" s="325"/>
      <c r="KJF4" s="325"/>
      <c r="KJG4" s="325"/>
      <c r="KJH4" s="325"/>
      <c r="KJI4" s="325"/>
      <c r="KJJ4" s="325"/>
      <c r="KJK4" s="325"/>
      <c r="KJL4" s="325"/>
      <c r="KJM4" s="325"/>
      <c r="KJN4" s="325"/>
      <c r="KJO4" s="325"/>
      <c r="KJP4" s="325"/>
      <c r="KJQ4" s="325"/>
      <c r="KJR4" s="325"/>
      <c r="KJS4" s="325"/>
      <c r="KJT4" s="325"/>
      <c r="KJU4" s="325"/>
      <c r="KJV4" s="325"/>
      <c r="KJW4" s="325"/>
      <c r="KJX4" s="325"/>
      <c r="KJY4" s="325"/>
      <c r="KJZ4" s="325"/>
      <c r="KKA4" s="325"/>
      <c r="KKB4" s="325"/>
      <c r="KKC4" s="325"/>
      <c r="KKD4" s="325"/>
      <c r="KKE4" s="325"/>
      <c r="KKF4" s="325"/>
      <c r="KKG4" s="325"/>
      <c r="KKH4" s="325"/>
      <c r="KKI4" s="325"/>
      <c r="KKJ4" s="325"/>
      <c r="KKK4" s="325"/>
      <c r="KKL4" s="325"/>
      <c r="KKM4" s="325"/>
      <c r="KKN4" s="325"/>
      <c r="KKO4" s="325"/>
      <c r="KKP4" s="325"/>
      <c r="KKQ4" s="325"/>
      <c r="KKR4" s="325"/>
      <c r="KKS4" s="325"/>
      <c r="KKT4" s="325"/>
      <c r="KKU4" s="325"/>
      <c r="KKV4" s="325"/>
      <c r="KKW4" s="325"/>
      <c r="KKX4" s="325"/>
      <c r="KKY4" s="325"/>
      <c r="KKZ4" s="325"/>
      <c r="KLA4" s="325"/>
      <c r="KLB4" s="325"/>
      <c r="KLC4" s="325"/>
      <c r="KLD4" s="325"/>
      <c r="KLE4" s="325"/>
      <c r="KLF4" s="325"/>
      <c r="KLG4" s="325"/>
      <c r="KLH4" s="325"/>
      <c r="KLI4" s="325"/>
      <c r="KLJ4" s="325"/>
      <c r="KLK4" s="325"/>
      <c r="KLL4" s="325"/>
      <c r="KLM4" s="325"/>
      <c r="KLN4" s="325"/>
      <c r="KLO4" s="325"/>
      <c r="KLP4" s="325"/>
      <c r="KLQ4" s="325"/>
      <c r="KLR4" s="325"/>
      <c r="KLS4" s="325"/>
      <c r="KLT4" s="325"/>
      <c r="KLU4" s="325"/>
      <c r="KLV4" s="325"/>
      <c r="KLW4" s="325"/>
      <c r="KLX4" s="325"/>
      <c r="KLY4" s="325"/>
      <c r="KLZ4" s="325"/>
      <c r="KMA4" s="325"/>
      <c r="KMB4" s="325"/>
      <c r="KMC4" s="325"/>
      <c r="KMD4" s="325"/>
      <c r="KME4" s="325"/>
      <c r="KMF4" s="325"/>
      <c r="KMG4" s="325"/>
      <c r="KMH4" s="325"/>
      <c r="KMI4" s="325"/>
      <c r="KMJ4" s="325"/>
      <c r="KMK4" s="325"/>
      <c r="KML4" s="325"/>
      <c r="KMM4" s="325"/>
      <c r="KMN4" s="325"/>
      <c r="KMO4" s="325"/>
      <c r="KMP4" s="325"/>
      <c r="KMQ4" s="325"/>
      <c r="KMR4" s="325"/>
      <c r="KMS4" s="325"/>
      <c r="KMT4" s="325"/>
      <c r="KMU4" s="325"/>
      <c r="KMV4" s="325"/>
      <c r="KMW4" s="325"/>
      <c r="KMX4" s="325"/>
      <c r="KMY4" s="325"/>
      <c r="KMZ4" s="325"/>
      <c r="KNA4" s="325"/>
      <c r="KNB4" s="325"/>
      <c r="KNC4" s="325"/>
      <c r="KND4" s="325"/>
      <c r="KNE4" s="325"/>
      <c r="KNF4" s="325"/>
      <c r="KNG4" s="325"/>
      <c r="KNH4" s="325"/>
      <c r="KNI4" s="325"/>
      <c r="KNJ4" s="325"/>
      <c r="KNK4" s="325"/>
      <c r="KNL4" s="325"/>
      <c r="KNM4" s="325"/>
      <c r="KNN4" s="325"/>
      <c r="KNO4" s="325"/>
      <c r="KNP4" s="325"/>
      <c r="KNQ4" s="325"/>
      <c r="KNR4" s="325"/>
      <c r="KNS4" s="325"/>
      <c r="KNT4" s="325"/>
      <c r="KNU4" s="325"/>
      <c r="KNV4" s="325"/>
      <c r="KNW4" s="325"/>
      <c r="KNX4" s="325"/>
      <c r="KNY4" s="325"/>
      <c r="KNZ4" s="325"/>
      <c r="KOA4" s="325"/>
      <c r="KOB4" s="325"/>
      <c r="KOC4" s="325"/>
      <c r="KOD4" s="325"/>
      <c r="KOE4" s="325"/>
      <c r="KOF4" s="325"/>
      <c r="KOG4" s="325"/>
      <c r="KOH4" s="325"/>
      <c r="KOI4" s="325"/>
      <c r="KOJ4" s="325"/>
      <c r="KOK4" s="325"/>
      <c r="KOL4" s="325"/>
      <c r="KOM4" s="325"/>
      <c r="KON4" s="325"/>
      <c r="KOO4" s="325"/>
      <c r="KOP4" s="325"/>
      <c r="KOQ4" s="325"/>
      <c r="KOR4" s="325"/>
      <c r="KOS4" s="325"/>
      <c r="KOT4" s="325"/>
      <c r="KOU4" s="325"/>
      <c r="KOV4" s="325"/>
      <c r="KOW4" s="325"/>
      <c r="KOX4" s="325"/>
      <c r="KOY4" s="325"/>
      <c r="KOZ4" s="325"/>
      <c r="KPA4" s="325"/>
      <c r="KPB4" s="325"/>
      <c r="KPC4" s="325"/>
      <c r="KPD4" s="325"/>
      <c r="KPE4" s="325"/>
      <c r="KPF4" s="325"/>
      <c r="KPG4" s="325"/>
      <c r="KPH4" s="325"/>
      <c r="KPI4" s="325"/>
      <c r="KPJ4" s="325"/>
      <c r="KPK4" s="325"/>
      <c r="KPL4" s="325"/>
      <c r="KPM4" s="325"/>
      <c r="KPN4" s="325"/>
      <c r="KPO4" s="325"/>
      <c r="KPP4" s="325"/>
      <c r="KPQ4" s="325"/>
      <c r="KPR4" s="325"/>
      <c r="KPS4" s="325"/>
      <c r="KPT4" s="325"/>
      <c r="KPU4" s="325"/>
      <c r="KPV4" s="325"/>
      <c r="KPW4" s="325"/>
      <c r="KPX4" s="325"/>
      <c r="KPY4" s="325"/>
      <c r="KPZ4" s="325"/>
      <c r="KQA4" s="325"/>
      <c r="KQB4" s="325"/>
      <c r="KQC4" s="325"/>
      <c r="KQD4" s="325"/>
      <c r="KQE4" s="325"/>
      <c r="KQF4" s="325"/>
      <c r="KQG4" s="325"/>
      <c r="KQH4" s="325"/>
      <c r="KQI4" s="325"/>
      <c r="KQJ4" s="325"/>
      <c r="KQK4" s="325"/>
      <c r="KQL4" s="325"/>
      <c r="KQM4" s="325"/>
      <c r="KQN4" s="325"/>
      <c r="KQO4" s="325"/>
      <c r="KQP4" s="325"/>
      <c r="KQQ4" s="325"/>
      <c r="KQR4" s="325"/>
      <c r="KQS4" s="325"/>
      <c r="KQT4" s="325"/>
      <c r="KQU4" s="325"/>
      <c r="KQV4" s="325"/>
      <c r="KQW4" s="325"/>
      <c r="KQX4" s="325"/>
      <c r="KQY4" s="325"/>
      <c r="KQZ4" s="325"/>
      <c r="KRA4" s="325"/>
      <c r="KRB4" s="325"/>
      <c r="KRC4" s="325"/>
      <c r="KRD4" s="325"/>
      <c r="KRE4" s="325"/>
      <c r="KRF4" s="325"/>
      <c r="KRG4" s="325"/>
      <c r="KRH4" s="325"/>
      <c r="KRI4" s="325"/>
      <c r="KRJ4" s="325"/>
      <c r="KRK4" s="325"/>
      <c r="KRL4" s="325"/>
      <c r="KRM4" s="325"/>
      <c r="KRN4" s="325"/>
      <c r="KRO4" s="325"/>
      <c r="KRP4" s="325"/>
      <c r="KRQ4" s="325"/>
      <c r="KRR4" s="325"/>
      <c r="KRS4" s="325"/>
      <c r="KRT4" s="325"/>
      <c r="KRU4" s="325"/>
      <c r="KRV4" s="325"/>
      <c r="KRW4" s="325"/>
      <c r="KRX4" s="325"/>
      <c r="KRY4" s="325"/>
      <c r="KRZ4" s="325"/>
      <c r="KSA4" s="325"/>
      <c r="KSB4" s="325"/>
      <c r="KSC4" s="325"/>
      <c r="KSD4" s="325"/>
      <c r="KSE4" s="325"/>
      <c r="KSF4" s="325"/>
      <c r="KSG4" s="325"/>
      <c r="KSH4" s="325"/>
      <c r="KSI4" s="325"/>
      <c r="KSJ4" s="325"/>
      <c r="KSK4" s="325"/>
      <c r="KSL4" s="325"/>
      <c r="KSM4" s="325"/>
      <c r="KSN4" s="325"/>
      <c r="KSO4" s="325"/>
      <c r="KSP4" s="325"/>
      <c r="KSQ4" s="325"/>
      <c r="KSR4" s="325"/>
      <c r="KSS4" s="325"/>
      <c r="KST4" s="325"/>
      <c r="KSU4" s="325"/>
      <c r="KSV4" s="325"/>
      <c r="KSW4" s="325"/>
      <c r="KSX4" s="325"/>
      <c r="KSY4" s="325"/>
      <c r="KSZ4" s="325"/>
      <c r="KTA4" s="325"/>
      <c r="KTB4" s="325"/>
      <c r="KTC4" s="325"/>
      <c r="KTD4" s="325"/>
      <c r="KTE4" s="325"/>
      <c r="KTF4" s="325"/>
      <c r="KTG4" s="325"/>
      <c r="KTH4" s="325"/>
      <c r="KTI4" s="325"/>
      <c r="KTJ4" s="325"/>
      <c r="KTK4" s="325"/>
      <c r="KTL4" s="325"/>
      <c r="KTM4" s="325"/>
      <c r="KTN4" s="325"/>
      <c r="KTO4" s="325"/>
      <c r="KTP4" s="325"/>
      <c r="KTQ4" s="325"/>
      <c r="KTR4" s="325"/>
      <c r="KTS4" s="325"/>
      <c r="KTT4" s="325"/>
      <c r="KTU4" s="325"/>
      <c r="KTV4" s="325"/>
      <c r="KTW4" s="325"/>
      <c r="KTX4" s="325"/>
      <c r="KTY4" s="325"/>
      <c r="KTZ4" s="325"/>
      <c r="KUA4" s="325"/>
      <c r="KUB4" s="325"/>
      <c r="KUC4" s="325"/>
      <c r="KUD4" s="325"/>
      <c r="KUE4" s="325"/>
      <c r="KUF4" s="325"/>
      <c r="KUG4" s="325"/>
      <c r="KUH4" s="325"/>
      <c r="KUI4" s="325"/>
      <c r="KUJ4" s="325"/>
      <c r="KUK4" s="325"/>
      <c r="KUL4" s="325"/>
      <c r="KUM4" s="325"/>
      <c r="KUN4" s="325"/>
      <c r="KUO4" s="325"/>
      <c r="KUP4" s="325"/>
      <c r="KUQ4" s="325"/>
      <c r="KUR4" s="325"/>
      <c r="KUS4" s="325"/>
      <c r="KUT4" s="325"/>
      <c r="KUU4" s="325"/>
      <c r="KUV4" s="325"/>
      <c r="KUW4" s="325"/>
      <c r="KUX4" s="325"/>
      <c r="KUY4" s="325"/>
      <c r="KUZ4" s="325"/>
      <c r="KVA4" s="325"/>
      <c r="KVB4" s="325"/>
      <c r="KVC4" s="325"/>
      <c r="KVD4" s="325"/>
      <c r="KVE4" s="325"/>
      <c r="KVF4" s="325"/>
      <c r="KVG4" s="325"/>
      <c r="KVH4" s="325"/>
      <c r="KVI4" s="325"/>
      <c r="KVJ4" s="325"/>
      <c r="KVK4" s="325"/>
      <c r="KVL4" s="325"/>
      <c r="KVM4" s="325"/>
      <c r="KVN4" s="325"/>
      <c r="KVO4" s="325"/>
      <c r="KVP4" s="325"/>
      <c r="KVQ4" s="325"/>
      <c r="KVR4" s="325"/>
      <c r="KVS4" s="325"/>
      <c r="KVT4" s="325"/>
      <c r="KVU4" s="325"/>
      <c r="KVV4" s="325"/>
      <c r="KVW4" s="325"/>
      <c r="KVX4" s="325"/>
      <c r="KVY4" s="325"/>
      <c r="KVZ4" s="325"/>
      <c r="KWA4" s="325"/>
      <c r="KWB4" s="325"/>
      <c r="KWC4" s="325"/>
      <c r="KWD4" s="325"/>
      <c r="KWE4" s="325"/>
      <c r="KWF4" s="325"/>
      <c r="KWG4" s="325"/>
      <c r="KWH4" s="325"/>
      <c r="KWI4" s="325"/>
      <c r="KWJ4" s="325"/>
      <c r="KWK4" s="325"/>
      <c r="KWL4" s="325"/>
      <c r="KWM4" s="325"/>
      <c r="KWN4" s="325"/>
      <c r="KWO4" s="325"/>
      <c r="KWP4" s="325"/>
      <c r="KWQ4" s="325"/>
      <c r="KWR4" s="325"/>
      <c r="KWS4" s="325"/>
      <c r="KWT4" s="325"/>
      <c r="KWU4" s="325"/>
      <c r="KWV4" s="325"/>
      <c r="KWW4" s="325"/>
      <c r="KWX4" s="325"/>
      <c r="KWY4" s="325"/>
      <c r="KWZ4" s="325"/>
      <c r="KXA4" s="325"/>
      <c r="KXB4" s="325"/>
      <c r="KXC4" s="325"/>
      <c r="KXD4" s="325"/>
      <c r="KXE4" s="325"/>
      <c r="KXF4" s="325"/>
      <c r="KXG4" s="325"/>
      <c r="KXH4" s="325"/>
      <c r="KXI4" s="325"/>
      <c r="KXJ4" s="325"/>
      <c r="KXK4" s="325"/>
      <c r="KXL4" s="325"/>
      <c r="KXM4" s="325"/>
      <c r="KXN4" s="325"/>
      <c r="KXO4" s="325"/>
      <c r="KXP4" s="325"/>
      <c r="KXQ4" s="325"/>
      <c r="KXR4" s="325"/>
      <c r="KXS4" s="325"/>
      <c r="KXT4" s="325"/>
      <c r="KXU4" s="325"/>
      <c r="KXV4" s="325"/>
      <c r="KXW4" s="325"/>
      <c r="KXX4" s="325"/>
      <c r="KXY4" s="325"/>
      <c r="KXZ4" s="325"/>
      <c r="KYA4" s="325"/>
      <c r="KYB4" s="325"/>
      <c r="KYC4" s="325"/>
      <c r="KYD4" s="325"/>
      <c r="KYE4" s="325"/>
      <c r="KYF4" s="325"/>
      <c r="KYG4" s="325"/>
      <c r="KYH4" s="325"/>
      <c r="KYI4" s="325"/>
      <c r="KYJ4" s="325"/>
      <c r="KYK4" s="325"/>
      <c r="KYL4" s="325"/>
      <c r="KYM4" s="325"/>
      <c r="KYN4" s="325"/>
      <c r="KYO4" s="325"/>
      <c r="KYP4" s="325"/>
      <c r="KYQ4" s="325"/>
      <c r="KYR4" s="325"/>
      <c r="KYS4" s="325"/>
      <c r="KYT4" s="325"/>
      <c r="KYU4" s="325"/>
      <c r="KYV4" s="325"/>
      <c r="KYW4" s="325"/>
      <c r="KYX4" s="325"/>
      <c r="KYY4" s="325"/>
      <c r="KYZ4" s="325"/>
      <c r="KZA4" s="325"/>
      <c r="KZB4" s="325"/>
      <c r="KZC4" s="325"/>
      <c r="KZD4" s="325"/>
      <c r="KZE4" s="325"/>
      <c r="KZF4" s="325"/>
      <c r="KZG4" s="325"/>
      <c r="KZH4" s="325"/>
      <c r="KZI4" s="325"/>
      <c r="KZJ4" s="325"/>
      <c r="KZK4" s="325"/>
      <c r="KZL4" s="325"/>
      <c r="KZM4" s="325"/>
      <c r="KZN4" s="325"/>
      <c r="KZO4" s="325"/>
      <c r="KZP4" s="325"/>
      <c r="KZQ4" s="325"/>
      <c r="KZR4" s="325"/>
      <c r="KZS4" s="325"/>
      <c r="KZT4" s="325"/>
      <c r="KZU4" s="325"/>
      <c r="KZV4" s="325"/>
      <c r="KZW4" s="325"/>
      <c r="KZX4" s="325"/>
      <c r="KZY4" s="325"/>
      <c r="KZZ4" s="325"/>
      <c r="LAA4" s="325"/>
      <c r="LAB4" s="325"/>
      <c r="LAC4" s="325"/>
      <c r="LAD4" s="325"/>
      <c r="LAE4" s="325"/>
      <c r="LAF4" s="325"/>
      <c r="LAG4" s="325"/>
      <c r="LAH4" s="325"/>
      <c r="LAI4" s="325"/>
      <c r="LAJ4" s="325"/>
      <c r="LAK4" s="325"/>
      <c r="LAL4" s="325"/>
      <c r="LAM4" s="325"/>
      <c r="LAN4" s="325"/>
      <c r="LAO4" s="325"/>
      <c r="LAP4" s="325"/>
      <c r="LAQ4" s="325"/>
      <c r="LAR4" s="325"/>
      <c r="LAS4" s="325"/>
      <c r="LAT4" s="325"/>
      <c r="LAU4" s="325"/>
      <c r="LAV4" s="325"/>
      <c r="LAW4" s="325"/>
      <c r="LAX4" s="325"/>
      <c r="LAY4" s="325"/>
      <c r="LAZ4" s="325"/>
      <c r="LBA4" s="325"/>
      <c r="LBB4" s="325"/>
      <c r="LBC4" s="325"/>
      <c r="LBD4" s="325"/>
      <c r="LBE4" s="325"/>
      <c r="LBF4" s="325"/>
      <c r="LBG4" s="325"/>
      <c r="LBH4" s="325"/>
      <c r="LBI4" s="325"/>
      <c r="LBJ4" s="325"/>
      <c r="LBK4" s="325"/>
      <c r="LBL4" s="325"/>
      <c r="LBM4" s="325"/>
      <c r="LBN4" s="325"/>
      <c r="LBO4" s="325"/>
      <c r="LBP4" s="325"/>
      <c r="LBQ4" s="325"/>
      <c r="LBR4" s="325"/>
      <c r="LBS4" s="325"/>
      <c r="LBT4" s="325"/>
      <c r="LBU4" s="325"/>
      <c r="LBV4" s="325"/>
      <c r="LBW4" s="325"/>
      <c r="LBX4" s="325"/>
      <c r="LBY4" s="325"/>
      <c r="LBZ4" s="325"/>
      <c r="LCA4" s="325"/>
      <c r="LCB4" s="325"/>
      <c r="LCC4" s="325"/>
      <c r="LCD4" s="325"/>
      <c r="LCE4" s="325"/>
      <c r="LCF4" s="325"/>
      <c r="LCG4" s="325"/>
      <c r="LCH4" s="325"/>
      <c r="LCI4" s="325"/>
      <c r="LCJ4" s="325"/>
      <c r="LCK4" s="325"/>
      <c r="LCL4" s="325"/>
      <c r="LCM4" s="325"/>
      <c r="LCN4" s="325"/>
      <c r="LCO4" s="325"/>
      <c r="LCP4" s="325"/>
      <c r="LCQ4" s="325"/>
      <c r="LCR4" s="325"/>
      <c r="LCS4" s="325"/>
      <c r="LCT4" s="325"/>
      <c r="LCU4" s="325"/>
      <c r="LCV4" s="325"/>
      <c r="LCW4" s="325"/>
      <c r="LCX4" s="325"/>
      <c r="LCY4" s="325"/>
      <c r="LCZ4" s="325"/>
      <c r="LDA4" s="325"/>
      <c r="LDB4" s="325"/>
      <c r="LDC4" s="325"/>
      <c r="LDD4" s="325"/>
      <c r="LDE4" s="325"/>
      <c r="LDF4" s="325"/>
      <c r="LDG4" s="325"/>
      <c r="LDH4" s="325"/>
      <c r="LDI4" s="325"/>
      <c r="LDJ4" s="325"/>
      <c r="LDK4" s="325"/>
      <c r="LDL4" s="325"/>
      <c r="LDM4" s="325"/>
      <c r="LDN4" s="325"/>
      <c r="LDO4" s="325"/>
      <c r="LDP4" s="325"/>
      <c r="LDQ4" s="325"/>
      <c r="LDR4" s="325"/>
      <c r="LDS4" s="325"/>
      <c r="LDT4" s="325"/>
      <c r="LDU4" s="325"/>
      <c r="LDV4" s="325"/>
      <c r="LDW4" s="325"/>
      <c r="LDX4" s="325"/>
      <c r="LDY4" s="325"/>
      <c r="LDZ4" s="325"/>
      <c r="LEA4" s="325"/>
      <c r="LEB4" s="325"/>
      <c r="LEC4" s="325"/>
      <c r="LED4" s="325"/>
      <c r="LEE4" s="325"/>
      <c r="LEF4" s="325"/>
      <c r="LEG4" s="325"/>
      <c r="LEH4" s="325"/>
      <c r="LEI4" s="325"/>
      <c r="LEJ4" s="325"/>
      <c r="LEK4" s="325"/>
      <c r="LEL4" s="325"/>
      <c r="LEM4" s="325"/>
      <c r="LEN4" s="325"/>
      <c r="LEO4" s="325"/>
      <c r="LEP4" s="325"/>
      <c r="LEQ4" s="325"/>
      <c r="LER4" s="325"/>
      <c r="LES4" s="325"/>
      <c r="LET4" s="325"/>
      <c r="LEU4" s="325"/>
      <c r="LEV4" s="325"/>
      <c r="LEW4" s="325"/>
      <c r="LEX4" s="325"/>
      <c r="LEY4" s="325"/>
      <c r="LEZ4" s="325"/>
      <c r="LFA4" s="325"/>
      <c r="LFB4" s="325"/>
      <c r="LFC4" s="325"/>
      <c r="LFD4" s="325"/>
      <c r="LFE4" s="325"/>
      <c r="LFF4" s="325"/>
      <c r="LFG4" s="325"/>
      <c r="LFH4" s="325"/>
      <c r="LFI4" s="325"/>
      <c r="LFJ4" s="325"/>
      <c r="LFK4" s="325"/>
      <c r="LFL4" s="325"/>
      <c r="LFM4" s="325"/>
      <c r="LFN4" s="325"/>
      <c r="LFO4" s="325"/>
      <c r="LFP4" s="325"/>
      <c r="LFQ4" s="325"/>
      <c r="LFR4" s="325"/>
      <c r="LFS4" s="325"/>
      <c r="LFT4" s="325"/>
      <c r="LFU4" s="325"/>
      <c r="LFV4" s="325"/>
      <c r="LFW4" s="325"/>
      <c r="LFX4" s="325"/>
      <c r="LFY4" s="325"/>
      <c r="LFZ4" s="325"/>
      <c r="LGA4" s="325"/>
      <c r="LGB4" s="325"/>
      <c r="LGC4" s="325"/>
      <c r="LGD4" s="325"/>
      <c r="LGE4" s="325"/>
      <c r="LGF4" s="325"/>
      <c r="LGG4" s="325"/>
      <c r="LGH4" s="325"/>
      <c r="LGI4" s="325"/>
      <c r="LGJ4" s="325"/>
      <c r="LGK4" s="325"/>
      <c r="LGL4" s="325"/>
      <c r="LGM4" s="325"/>
      <c r="LGN4" s="325"/>
      <c r="LGO4" s="325"/>
      <c r="LGP4" s="325"/>
      <c r="LGQ4" s="325"/>
      <c r="LGR4" s="325"/>
      <c r="LGS4" s="325"/>
      <c r="LGT4" s="325"/>
      <c r="LGU4" s="325"/>
      <c r="LGV4" s="325"/>
      <c r="LGW4" s="325"/>
      <c r="LGX4" s="325"/>
      <c r="LGY4" s="325"/>
      <c r="LGZ4" s="325"/>
      <c r="LHA4" s="325"/>
      <c r="LHB4" s="325"/>
      <c r="LHC4" s="325"/>
      <c r="LHD4" s="325"/>
      <c r="LHE4" s="325"/>
      <c r="LHF4" s="325"/>
      <c r="LHG4" s="325"/>
      <c r="LHH4" s="325"/>
      <c r="LHI4" s="325"/>
      <c r="LHJ4" s="325"/>
      <c r="LHK4" s="325"/>
      <c r="LHL4" s="325"/>
      <c r="LHM4" s="325"/>
      <c r="LHN4" s="325"/>
      <c r="LHO4" s="325"/>
      <c r="LHP4" s="325"/>
      <c r="LHQ4" s="325"/>
      <c r="LHR4" s="325"/>
      <c r="LHS4" s="325"/>
      <c r="LHT4" s="325"/>
      <c r="LHU4" s="325"/>
      <c r="LHV4" s="325"/>
      <c r="LHW4" s="325"/>
      <c r="LHX4" s="325"/>
      <c r="LHY4" s="325"/>
      <c r="LHZ4" s="325"/>
      <c r="LIA4" s="325"/>
      <c r="LIB4" s="325"/>
      <c r="LIC4" s="325"/>
      <c r="LID4" s="325"/>
      <c r="LIE4" s="325"/>
      <c r="LIF4" s="325"/>
      <c r="LIG4" s="325"/>
      <c r="LIH4" s="325"/>
      <c r="LII4" s="325"/>
      <c r="LIJ4" s="325"/>
      <c r="LIK4" s="325"/>
      <c r="LIL4" s="325"/>
      <c r="LIM4" s="325"/>
      <c r="LIN4" s="325"/>
      <c r="LIO4" s="325"/>
      <c r="LIP4" s="325"/>
      <c r="LIQ4" s="325"/>
      <c r="LIR4" s="325"/>
      <c r="LIS4" s="325"/>
      <c r="LIT4" s="325"/>
      <c r="LIU4" s="325"/>
      <c r="LIV4" s="325"/>
      <c r="LIW4" s="325"/>
      <c r="LIX4" s="325"/>
      <c r="LIY4" s="325"/>
      <c r="LIZ4" s="325"/>
      <c r="LJA4" s="325"/>
      <c r="LJB4" s="325"/>
      <c r="LJC4" s="325"/>
      <c r="LJD4" s="325"/>
      <c r="LJE4" s="325"/>
      <c r="LJF4" s="325"/>
      <c r="LJG4" s="325"/>
      <c r="LJH4" s="325"/>
      <c r="LJI4" s="325"/>
      <c r="LJJ4" s="325"/>
      <c r="LJK4" s="325"/>
      <c r="LJL4" s="325"/>
      <c r="LJM4" s="325"/>
      <c r="LJN4" s="325"/>
      <c r="LJO4" s="325"/>
      <c r="LJP4" s="325"/>
      <c r="LJQ4" s="325"/>
      <c r="LJR4" s="325"/>
      <c r="LJS4" s="325"/>
      <c r="LJT4" s="325"/>
      <c r="LJU4" s="325"/>
      <c r="LJV4" s="325"/>
      <c r="LJW4" s="325"/>
      <c r="LJX4" s="325"/>
      <c r="LJY4" s="325"/>
      <c r="LJZ4" s="325"/>
      <c r="LKA4" s="325"/>
      <c r="LKB4" s="325"/>
      <c r="LKC4" s="325"/>
      <c r="LKD4" s="325"/>
      <c r="LKE4" s="325"/>
      <c r="LKF4" s="325"/>
      <c r="LKG4" s="325"/>
      <c r="LKH4" s="325"/>
      <c r="LKI4" s="325"/>
      <c r="LKJ4" s="325"/>
      <c r="LKK4" s="325"/>
      <c r="LKL4" s="325"/>
      <c r="LKM4" s="325"/>
      <c r="LKN4" s="325"/>
      <c r="LKO4" s="325"/>
      <c r="LKP4" s="325"/>
      <c r="LKQ4" s="325"/>
      <c r="LKR4" s="325"/>
      <c r="LKS4" s="325"/>
      <c r="LKT4" s="325"/>
      <c r="LKU4" s="325"/>
      <c r="LKV4" s="325"/>
      <c r="LKW4" s="325"/>
      <c r="LKX4" s="325"/>
      <c r="LKY4" s="325"/>
      <c r="LKZ4" s="325"/>
      <c r="LLA4" s="325"/>
      <c r="LLB4" s="325"/>
      <c r="LLC4" s="325"/>
      <c r="LLD4" s="325"/>
      <c r="LLE4" s="325"/>
      <c r="LLF4" s="325"/>
      <c r="LLG4" s="325"/>
      <c r="LLH4" s="325"/>
      <c r="LLI4" s="325"/>
      <c r="LLJ4" s="325"/>
      <c r="LLK4" s="325"/>
      <c r="LLL4" s="325"/>
      <c r="LLM4" s="325"/>
      <c r="LLN4" s="325"/>
      <c r="LLO4" s="325"/>
      <c r="LLP4" s="325"/>
      <c r="LLQ4" s="325"/>
      <c r="LLR4" s="325"/>
      <c r="LLS4" s="325"/>
      <c r="LLT4" s="325"/>
      <c r="LLU4" s="325"/>
      <c r="LLV4" s="325"/>
      <c r="LLW4" s="325"/>
      <c r="LLX4" s="325"/>
      <c r="LLY4" s="325"/>
      <c r="LLZ4" s="325"/>
      <c r="LMA4" s="325"/>
      <c r="LMB4" s="325"/>
      <c r="LMC4" s="325"/>
      <c r="LMD4" s="325"/>
      <c r="LME4" s="325"/>
      <c r="LMF4" s="325"/>
      <c r="LMG4" s="325"/>
      <c r="LMH4" s="325"/>
      <c r="LMI4" s="325"/>
      <c r="LMJ4" s="325"/>
      <c r="LMK4" s="325"/>
      <c r="LML4" s="325"/>
      <c r="LMM4" s="325"/>
      <c r="LMN4" s="325"/>
      <c r="LMO4" s="325"/>
      <c r="LMP4" s="325"/>
      <c r="LMQ4" s="325"/>
      <c r="LMR4" s="325"/>
      <c r="LMS4" s="325"/>
      <c r="LMT4" s="325"/>
      <c r="LMU4" s="325"/>
      <c r="LMV4" s="325"/>
      <c r="LMW4" s="325"/>
      <c r="LMX4" s="325"/>
      <c r="LMY4" s="325"/>
      <c r="LMZ4" s="325"/>
      <c r="LNA4" s="325"/>
      <c r="LNB4" s="325"/>
      <c r="LNC4" s="325"/>
      <c r="LND4" s="325"/>
      <c r="LNE4" s="325"/>
      <c r="LNF4" s="325"/>
      <c r="LNG4" s="325"/>
      <c r="LNH4" s="325"/>
      <c r="LNI4" s="325"/>
      <c r="LNJ4" s="325"/>
      <c r="LNK4" s="325"/>
      <c r="LNL4" s="325"/>
      <c r="LNM4" s="325"/>
      <c r="LNN4" s="325"/>
      <c r="LNO4" s="325"/>
      <c r="LNP4" s="325"/>
      <c r="LNQ4" s="325"/>
      <c r="LNR4" s="325"/>
      <c r="LNS4" s="325"/>
      <c r="LNT4" s="325"/>
      <c r="LNU4" s="325"/>
      <c r="LNV4" s="325"/>
      <c r="LNW4" s="325"/>
      <c r="LNX4" s="325"/>
      <c r="LNY4" s="325"/>
      <c r="LNZ4" s="325"/>
      <c r="LOA4" s="325"/>
      <c r="LOB4" s="325"/>
      <c r="LOC4" s="325"/>
      <c r="LOD4" s="325"/>
      <c r="LOE4" s="325"/>
      <c r="LOF4" s="325"/>
      <c r="LOG4" s="325"/>
      <c r="LOH4" s="325"/>
      <c r="LOI4" s="325"/>
      <c r="LOJ4" s="325"/>
      <c r="LOK4" s="325"/>
      <c r="LOL4" s="325"/>
      <c r="LOM4" s="325"/>
      <c r="LON4" s="325"/>
      <c r="LOO4" s="325"/>
      <c r="LOP4" s="325"/>
      <c r="LOQ4" s="325"/>
      <c r="LOR4" s="325"/>
      <c r="LOS4" s="325"/>
      <c r="LOT4" s="325"/>
      <c r="LOU4" s="325"/>
      <c r="LOV4" s="325"/>
      <c r="LOW4" s="325"/>
      <c r="LOX4" s="325"/>
      <c r="LOY4" s="325"/>
      <c r="LOZ4" s="325"/>
      <c r="LPA4" s="325"/>
      <c r="LPB4" s="325"/>
      <c r="LPC4" s="325"/>
      <c r="LPD4" s="325"/>
      <c r="LPE4" s="325"/>
      <c r="LPF4" s="325"/>
      <c r="LPG4" s="325"/>
      <c r="LPH4" s="325"/>
      <c r="LPI4" s="325"/>
      <c r="LPJ4" s="325"/>
      <c r="LPK4" s="325"/>
      <c r="LPL4" s="325"/>
      <c r="LPM4" s="325"/>
      <c r="LPN4" s="325"/>
      <c r="LPO4" s="325"/>
      <c r="LPP4" s="325"/>
      <c r="LPQ4" s="325"/>
      <c r="LPR4" s="325"/>
      <c r="LPS4" s="325"/>
      <c r="LPT4" s="325"/>
      <c r="LPU4" s="325"/>
      <c r="LPV4" s="325"/>
      <c r="LPW4" s="325"/>
      <c r="LPX4" s="325"/>
      <c r="LPY4" s="325"/>
      <c r="LPZ4" s="325"/>
      <c r="LQA4" s="325"/>
      <c r="LQB4" s="325"/>
      <c r="LQC4" s="325"/>
      <c r="LQD4" s="325"/>
      <c r="LQE4" s="325"/>
      <c r="LQF4" s="325"/>
      <c r="LQG4" s="325"/>
      <c r="LQH4" s="325"/>
      <c r="LQI4" s="325"/>
      <c r="LQJ4" s="325"/>
      <c r="LQK4" s="325"/>
      <c r="LQL4" s="325"/>
      <c r="LQM4" s="325"/>
      <c r="LQN4" s="325"/>
      <c r="LQO4" s="325"/>
      <c r="LQP4" s="325"/>
      <c r="LQQ4" s="325"/>
      <c r="LQR4" s="325"/>
      <c r="LQS4" s="325"/>
      <c r="LQT4" s="325"/>
      <c r="LQU4" s="325"/>
      <c r="LQV4" s="325"/>
      <c r="LQW4" s="325"/>
      <c r="LQX4" s="325"/>
      <c r="LQY4" s="325"/>
      <c r="LQZ4" s="325"/>
      <c r="LRA4" s="325"/>
      <c r="LRB4" s="325"/>
      <c r="LRC4" s="325"/>
      <c r="LRD4" s="325"/>
      <c r="LRE4" s="325"/>
      <c r="LRF4" s="325"/>
      <c r="LRG4" s="325"/>
      <c r="LRH4" s="325"/>
      <c r="LRI4" s="325"/>
      <c r="LRJ4" s="325"/>
      <c r="LRK4" s="325"/>
      <c r="LRL4" s="325"/>
      <c r="LRM4" s="325"/>
      <c r="LRN4" s="325"/>
      <c r="LRO4" s="325"/>
      <c r="LRP4" s="325"/>
      <c r="LRQ4" s="325"/>
      <c r="LRR4" s="325"/>
      <c r="LRS4" s="325"/>
      <c r="LRT4" s="325"/>
      <c r="LRU4" s="325"/>
      <c r="LRV4" s="325"/>
      <c r="LRW4" s="325"/>
      <c r="LRX4" s="325"/>
      <c r="LRY4" s="325"/>
      <c r="LRZ4" s="325"/>
      <c r="LSA4" s="325"/>
      <c r="LSB4" s="325"/>
      <c r="LSC4" s="325"/>
      <c r="LSD4" s="325"/>
      <c r="LSE4" s="325"/>
      <c r="LSF4" s="325"/>
      <c r="LSG4" s="325"/>
      <c r="LSH4" s="325"/>
      <c r="LSI4" s="325"/>
      <c r="LSJ4" s="325"/>
      <c r="LSK4" s="325"/>
      <c r="LSL4" s="325"/>
      <c r="LSM4" s="325"/>
      <c r="LSN4" s="325"/>
      <c r="LSO4" s="325"/>
      <c r="LSP4" s="325"/>
      <c r="LSQ4" s="325"/>
      <c r="LSR4" s="325"/>
      <c r="LSS4" s="325"/>
      <c r="LST4" s="325"/>
      <c r="LSU4" s="325"/>
      <c r="LSV4" s="325"/>
      <c r="LSW4" s="325"/>
      <c r="LSX4" s="325"/>
      <c r="LSY4" s="325"/>
      <c r="LSZ4" s="325"/>
      <c r="LTA4" s="325"/>
      <c r="LTB4" s="325"/>
      <c r="LTC4" s="325"/>
      <c r="LTD4" s="325"/>
      <c r="LTE4" s="325"/>
      <c r="LTF4" s="325"/>
      <c r="LTG4" s="325"/>
      <c r="LTH4" s="325"/>
      <c r="LTI4" s="325"/>
      <c r="LTJ4" s="325"/>
      <c r="LTK4" s="325"/>
      <c r="LTL4" s="325"/>
      <c r="LTM4" s="325"/>
      <c r="LTN4" s="325"/>
      <c r="LTO4" s="325"/>
      <c r="LTP4" s="325"/>
      <c r="LTQ4" s="325"/>
      <c r="LTR4" s="325"/>
      <c r="LTS4" s="325"/>
      <c r="LTT4" s="325"/>
      <c r="LTU4" s="325"/>
      <c r="LTV4" s="325"/>
      <c r="LTW4" s="325"/>
      <c r="LTX4" s="325"/>
      <c r="LTY4" s="325"/>
      <c r="LTZ4" s="325"/>
      <c r="LUA4" s="325"/>
      <c r="LUB4" s="325"/>
      <c r="LUC4" s="325"/>
      <c r="LUD4" s="325"/>
      <c r="LUE4" s="325"/>
      <c r="LUF4" s="325"/>
      <c r="LUG4" s="325"/>
      <c r="LUH4" s="325"/>
      <c r="LUI4" s="325"/>
      <c r="LUJ4" s="325"/>
      <c r="LUK4" s="325"/>
      <c r="LUL4" s="325"/>
      <c r="LUM4" s="325"/>
      <c r="LUN4" s="325"/>
      <c r="LUO4" s="325"/>
      <c r="LUP4" s="325"/>
      <c r="LUQ4" s="325"/>
      <c r="LUR4" s="325"/>
      <c r="LUS4" s="325"/>
      <c r="LUT4" s="325"/>
      <c r="LUU4" s="325"/>
      <c r="LUV4" s="325"/>
      <c r="LUW4" s="325"/>
      <c r="LUX4" s="325"/>
      <c r="LUY4" s="325"/>
      <c r="LUZ4" s="325"/>
      <c r="LVA4" s="325"/>
      <c r="LVB4" s="325"/>
      <c r="LVC4" s="325"/>
      <c r="LVD4" s="325"/>
      <c r="LVE4" s="325"/>
      <c r="LVF4" s="325"/>
      <c r="LVG4" s="325"/>
      <c r="LVH4" s="325"/>
      <c r="LVI4" s="325"/>
      <c r="LVJ4" s="325"/>
      <c r="LVK4" s="325"/>
      <c r="LVL4" s="325"/>
      <c r="LVM4" s="325"/>
      <c r="LVN4" s="325"/>
      <c r="LVO4" s="325"/>
      <c r="LVP4" s="325"/>
      <c r="LVQ4" s="325"/>
      <c r="LVR4" s="325"/>
      <c r="LVS4" s="325"/>
      <c r="LVT4" s="325"/>
      <c r="LVU4" s="325"/>
      <c r="LVV4" s="325"/>
      <c r="LVW4" s="325"/>
      <c r="LVX4" s="325"/>
      <c r="LVY4" s="325"/>
      <c r="LVZ4" s="325"/>
      <c r="LWA4" s="325"/>
      <c r="LWB4" s="325"/>
      <c r="LWC4" s="325"/>
      <c r="LWD4" s="325"/>
      <c r="LWE4" s="325"/>
      <c r="LWF4" s="325"/>
      <c r="LWG4" s="325"/>
      <c r="LWH4" s="325"/>
      <c r="LWI4" s="325"/>
      <c r="LWJ4" s="325"/>
      <c r="LWK4" s="325"/>
      <c r="LWL4" s="325"/>
      <c r="LWM4" s="325"/>
      <c r="LWN4" s="325"/>
      <c r="LWO4" s="325"/>
      <c r="LWP4" s="325"/>
      <c r="LWQ4" s="325"/>
      <c r="LWR4" s="325"/>
      <c r="LWS4" s="325"/>
      <c r="LWT4" s="325"/>
      <c r="LWU4" s="325"/>
      <c r="LWV4" s="325"/>
      <c r="LWW4" s="325"/>
      <c r="LWX4" s="325"/>
      <c r="LWY4" s="325"/>
      <c r="LWZ4" s="325"/>
      <c r="LXA4" s="325"/>
      <c r="LXB4" s="325"/>
      <c r="LXC4" s="325"/>
      <c r="LXD4" s="325"/>
      <c r="LXE4" s="325"/>
      <c r="LXF4" s="325"/>
      <c r="LXG4" s="325"/>
      <c r="LXH4" s="325"/>
      <c r="LXI4" s="325"/>
      <c r="LXJ4" s="325"/>
      <c r="LXK4" s="325"/>
      <c r="LXL4" s="325"/>
      <c r="LXM4" s="325"/>
      <c r="LXN4" s="325"/>
      <c r="LXO4" s="325"/>
      <c r="LXP4" s="325"/>
      <c r="LXQ4" s="325"/>
      <c r="LXR4" s="325"/>
      <c r="LXS4" s="325"/>
      <c r="LXT4" s="325"/>
      <c r="LXU4" s="325"/>
      <c r="LXV4" s="325"/>
      <c r="LXW4" s="325"/>
      <c r="LXX4" s="325"/>
      <c r="LXY4" s="325"/>
      <c r="LXZ4" s="325"/>
      <c r="LYA4" s="325"/>
      <c r="LYB4" s="325"/>
      <c r="LYC4" s="325"/>
      <c r="LYD4" s="325"/>
      <c r="LYE4" s="325"/>
      <c r="LYF4" s="325"/>
      <c r="LYG4" s="325"/>
      <c r="LYH4" s="325"/>
      <c r="LYI4" s="325"/>
      <c r="LYJ4" s="325"/>
      <c r="LYK4" s="325"/>
      <c r="LYL4" s="325"/>
      <c r="LYM4" s="325"/>
      <c r="LYN4" s="325"/>
      <c r="LYO4" s="325"/>
      <c r="LYP4" s="325"/>
      <c r="LYQ4" s="325"/>
      <c r="LYR4" s="325"/>
      <c r="LYS4" s="325"/>
      <c r="LYT4" s="325"/>
      <c r="LYU4" s="325"/>
      <c r="LYV4" s="325"/>
      <c r="LYW4" s="325"/>
      <c r="LYX4" s="325"/>
      <c r="LYY4" s="325"/>
      <c r="LYZ4" s="325"/>
      <c r="LZA4" s="325"/>
      <c r="LZB4" s="325"/>
      <c r="LZC4" s="325"/>
      <c r="LZD4" s="325"/>
      <c r="LZE4" s="325"/>
      <c r="LZF4" s="325"/>
      <c r="LZG4" s="325"/>
      <c r="LZH4" s="325"/>
      <c r="LZI4" s="325"/>
      <c r="LZJ4" s="325"/>
      <c r="LZK4" s="325"/>
      <c r="LZL4" s="325"/>
      <c r="LZM4" s="325"/>
      <c r="LZN4" s="325"/>
      <c r="LZO4" s="325"/>
      <c r="LZP4" s="325"/>
      <c r="LZQ4" s="325"/>
      <c r="LZR4" s="325"/>
      <c r="LZS4" s="325"/>
      <c r="LZT4" s="325"/>
      <c r="LZU4" s="325"/>
      <c r="LZV4" s="325"/>
      <c r="LZW4" s="325"/>
      <c r="LZX4" s="325"/>
      <c r="LZY4" s="325"/>
      <c r="LZZ4" s="325"/>
      <c r="MAA4" s="325"/>
      <c r="MAB4" s="325"/>
      <c r="MAC4" s="325"/>
      <c r="MAD4" s="325"/>
      <c r="MAE4" s="325"/>
      <c r="MAF4" s="325"/>
      <c r="MAG4" s="325"/>
      <c r="MAH4" s="325"/>
      <c r="MAI4" s="325"/>
      <c r="MAJ4" s="325"/>
      <c r="MAK4" s="325"/>
      <c r="MAL4" s="325"/>
      <c r="MAM4" s="325"/>
      <c r="MAN4" s="325"/>
      <c r="MAO4" s="325"/>
      <c r="MAP4" s="325"/>
      <c r="MAQ4" s="325"/>
      <c r="MAR4" s="325"/>
      <c r="MAS4" s="325"/>
      <c r="MAT4" s="325"/>
      <c r="MAU4" s="325"/>
      <c r="MAV4" s="325"/>
      <c r="MAW4" s="325"/>
      <c r="MAX4" s="325"/>
      <c r="MAY4" s="325"/>
      <c r="MAZ4" s="325"/>
      <c r="MBA4" s="325"/>
      <c r="MBB4" s="325"/>
      <c r="MBC4" s="325"/>
      <c r="MBD4" s="325"/>
      <c r="MBE4" s="325"/>
      <c r="MBF4" s="325"/>
      <c r="MBG4" s="325"/>
      <c r="MBH4" s="325"/>
      <c r="MBI4" s="325"/>
      <c r="MBJ4" s="325"/>
      <c r="MBK4" s="325"/>
      <c r="MBL4" s="325"/>
      <c r="MBM4" s="325"/>
      <c r="MBN4" s="325"/>
      <c r="MBO4" s="325"/>
      <c r="MBP4" s="325"/>
      <c r="MBQ4" s="325"/>
      <c r="MBR4" s="325"/>
      <c r="MBS4" s="325"/>
      <c r="MBT4" s="325"/>
      <c r="MBU4" s="325"/>
      <c r="MBV4" s="325"/>
      <c r="MBW4" s="325"/>
      <c r="MBX4" s="325"/>
      <c r="MBY4" s="325"/>
      <c r="MBZ4" s="325"/>
      <c r="MCA4" s="325"/>
      <c r="MCB4" s="325"/>
      <c r="MCC4" s="325"/>
      <c r="MCD4" s="325"/>
      <c r="MCE4" s="325"/>
      <c r="MCF4" s="325"/>
      <c r="MCG4" s="325"/>
      <c r="MCH4" s="325"/>
      <c r="MCI4" s="325"/>
      <c r="MCJ4" s="325"/>
      <c r="MCK4" s="325"/>
      <c r="MCL4" s="325"/>
      <c r="MCM4" s="325"/>
      <c r="MCN4" s="325"/>
      <c r="MCO4" s="325"/>
      <c r="MCP4" s="325"/>
      <c r="MCQ4" s="325"/>
      <c r="MCR4" s="325"/>
      <c r="MCS4" s="325"/>
      <c r="MCT4" s="325"/>
      <c r="MCU4" s="325"/>
      <c r="MCV4" s="325"/>
      <c r="MCW4" s="325"/>
      <c r="MCX4" s="325"/>
      <c r="MCY4" s="325"/>
      <c r="MCZ4" s="325"/>
      <c r="MDA4" s="325"/>
      <c r="MDB4" s="325"/>
      <c r="MDC4" s="325"/>
      <c r="MDD4" s="325"/>
      <c r="MDE4" s="325"/>
      <c r="MDF4" s="325"/>
      <c r="MDG4" s="325"/>
      <c r="MDH4" s="325"/>
      <c r="MDI4" s="325"/>
      <c r="MDJ4" s="325"/>
      <c r="MDK4" s="325"/>
      <c r="MDL4" s="325"/>
      <c r="MDM4" s="325"/>
      <c r="MDN4" s="325"/>
      <c r="MDO4" s="325"/>
      <c r="MDP4" s="325"/>
      <c r="MDQ4" s="325"/>
      <c r="MDR4" s="325"/>
      <c r="MDS4" s="325"/>
      <c r="MDT4" s="325"/>
      <c r="MDU4" s="325"/>
      <c r="MDV4" s="325"/>
      <c r="MDW4" s="325"/>
      <c r="MDX4" s="325"/>
      <c r="MDY4" s="325"/>
      <c r="MDZ4" s="325"/>
      <c r="MEA4" s="325"/>
      <c r="MEB4" s="325"/>
      <c r="MEC4" s="325"/>
      <c r="MED4" s="325"/>
      <c r="MEE4" s="325"/>
      <c r="MEF4" s="325"/>
      <c r="MEG4" s="325"/>
      <c r="MEH4" s="325"/>
      <c r="MEI4" s="325"/>
      <c r="MEJ4" s="325"/>
      <c r="MEK4" s="325"/>
      <c r="MEL4" s="325"/>
      <c r="MEM4" s="325"/>
      <c r="MEN4" s="325"/>
      <c r="MEO4" s="325"/>
      <c r="MEP4" s="325"/>
      <c r="MEQ4" s="325"/>
      <c r="MER4" s="325"/>
      <c r="MES4" s="325"/>
      <c r="MET4" s="325"/>
      <c r="MEU4" s="325"/>
      <c r="MEV4" s="325"/>
      <c r="MEW4" s="325"/>
      <c r="MEX4" s="325"/>
      <c r="MEY4" s="325"/>
      <c r="MEZ4" s="325"/>
      <c r="MFA4" s="325"/>
      <c r="MFB4" s="325"/>
      <c r="MFC4" s="325"/>
      <c r="MFD4" s="325"/>
      <c r="MFE4" s="325"/>
      <c r="MFF4" s="325"/>
      <c r="MFG4" s="325"/>
      <c r="MFH4" s="325"/>
      <c r="MFI4" s="325"/>
      <c r="MFJ4" s="325"/>
      <c r="MFK4" s="325"/>
      <c r="MFL4" s="325"/>
      <c r="MFM4" s="325"/>
      <c r="MFN4" s="325"/>
      <c r="MFO4" s="325"/>
      <c r="MFP4" s="325"/>
      <c r="MFQ4" s="325"/>
      <c r="MFR4" s="325"/>
      <c r="MFS4" s="325"/>
      <c r="MFT4" s="325"/>
      <c r="MFU4" s="325"/>
      <c r="MFV4" s="325"/>
      <c r="MFW4" s="325"/>
      <c r="MFX4" s="325"/>
      <c r="MFY4" s="325"/>
      <c r="MFZ4" s="325"/>
      <c r="MGA4" s="325"/>
      <c r="MGB4" s="325"/>
      <c r="MGC4" s="325"/>
      <c r="MGD4" s="325"/>
      <c r="MGE4" s="325"/>
      <c r="MGF4" s="325"/>
      <c r="MGG4" s="325"/>
      <c r="MGH4" s="325"/>
      <c r="MGI4" s="325"/>
      <c r="MGJ4" s="325"/>
      <c r="MGK4" s="325"/>
      <c r="MGL4" s="325"/>
      <c r="MGM4" s="325"/>
      <c r="MGN4" s="325"/>
      <c r="MGO4" s="325"/>
      <c r="MGP4" s="325"/>
      <c r="MGQ4" s="325"/>
      <c r="MGR4" s="325"/>
      <c r="MGS4" s="325"/>
      <c r="MGT4" s="325"/>
      <c r="MGU4" s="325"/>
      <c r="MGV4" s="325"/>
      <c r="MGW4" s="325"/>
      <c r="MGX4" s="325"/>
      <c r="MGY4" s="325"/>
      <c r="MGZ4" s="325"/>
      <c r="MHA4" s="325"/>
      <c r="MHB4" s="325"/>
      <c r="MHC4" s="325"/>
      <c r="MHD4" s="325"/>
      <c r="MHE4" s="325"/>
      <c r="MHF4" s="325"/>
      <c r="MHG4" s="325"/>
      <c r="MHH4" s="325"/>
      <c r="MHI4" s="325"/>
      <c r="MHJ4" s="325"/>
      <c r="MHK4" s="325"/>
      <c r="MHL4" s="325"/>
      <c r="MHM4" s="325"/>
      <c r="MHN4" s="325"/>
      <c r="MHO4" s="325"/>
      <c r="MHP4" s="325"/>
      <c r="MHQ4" s="325"/>
      <c r="MHR4" s="325"/>
      <c r="MHS4" s="325"/>
      <c r="MHT4" s="325"/>
      <c r="MHU4" s="325"/>
      <c r="MHV4" s="325"/>
      <c r="MHW4" s="325"/>
      <c r="MHX4" s="325"/>
      <c r="MHY4" s="325"/>
      <c r="MHZ4" s="325"/>
      <c r="MIA4" s="325"/>
      <c r="MIB4" s="325"/>
      <c r="MIC4" s="325"/>
      <c r="MID4" s="325"/>
      <c r="MIE4" s="325"/>
      <c r="MIF4" s="325"/>
      <c r="MIG4" s="325"/>
      <c r="MIH4" s="325"/>
      <c r="MII4" s="325"/>
      <c r="MIJ4" s="325"/>
      <c r="MIK4" s="325"/>
      <c r="MIL4" s="325"/>
      <c r="MIM4" s="325"/>
      <c r="MIN4" s="325"/>
      <c r="MIO4" s="325"/>
      <c r="MIP4" s="325"/>
      <c r="MIQ4" s="325"/>
      <c r="MIR4" s="325"/>
      <c r="MIS4" s="325"/>
      <c r="MIT4" s="325"/>
      <c r="MIU4" s="325"/>
      <c r="MIV4" s="325"/>
      <c r="MIW4" s="325"/>
      <c r="MIX4" s="325"/>
      <c r="MIY4" s="325"/>
      <c r="MIZ4" s="325"/>
      <c r="MJA4" s="325"/>
      <c r="MJB4" s="325"/>
      <c r="MJC4" s="325"/>
      <c r="MJD4" s="325"/>
      <c r="MJE4" s="325"/>
      <c r="MJF4" s="325"/>
      <c r="MJG4" s="325"/>
      <c r="MJH4" s="325"/>
      <c r="MJI4" s="325"/>
      <c r="MJJ4" s="325"/>
      <c r="MJK4" s="325"/>
      <c r="MJL4" s="325"/>
      <c r="MJM4" s="325"/>
      <c r="MJN4" s="325"/>
      <c r="MJO4" s="325"/>
      <c r="MJP4" s="325"/>
      <c r="MJQ4" s="325"/>
      <c r="MJR4" s="325"/>
      <c r="MJS4" s="325"/>
      <c r="MJT4" s="325"/>
      <c r="MJU4" s="325"/>
      <c r="MJV4" s="325"/>
      <c r="MJW4" s="325"/>
      <c r="MJX4" s="325"/>
      <c r="MJY4" s="325"/>
      <c r="MJZ4" s="325"/>
      <c r="MKA4" s="325"/>
      <c r="MKB4" s="325"/>
      <c r="MKC4" s="325"/>
      <c r="MKD4" s="325"/>
      <c r="MKE4" s="325"/>
      <c r="MKF4" s="325"/>
      <c r="MKG4" s="325"/>
      <c r="MKH4" s="325"/>
      <c r="MKI4" s="325"/>
      <c r="MKJ4" s="325"/>
      <c r="MKK4" s="325"/>
      <c r="MKL4" s="325"/>
      <c r="MKM4" s="325"/>
      <c r="MKN4" s="325"/>
      <c r="MKO4" s="325"/>
      <c r="MKP4" s="325"/>
      <c r="MKQ4" s="325"/>
      <c r="MKR4" s="325"/>
      <c r="MKS4" s="325"/>
      <c r="MKT4" s="325"/>
      <c r="MKU4" s="325"/>
      <c r="MKV4" s="325"/>
      <c r="MKW4" s="325"/>
      <c r="MKX4" s="325"/>
      <c r="MKY4" s="325"/>
      <c r="MKZ4" s="325"/>
      <c r="MLA4" s="325"/>
      <c r="MLB4" s="325"/>
      <c r="MLC4" s="325"/>
      <c r="MLD4" s="325"/>
      <c r="MLE4" s="325"/>
      <c r="MLF4" s="325"/>
      <c r="MLG4" s="325"/>
      <c r="MLH4" s="325"/>
      <c r="MLI4" s="325"/>
      <c r="MLJ4" s="325"/>
      <c r="MLK4" s="325"/>
      <c r="MLL4" s="325"/>
      <c r="MLM4" s="325"/>
      <c r="MLN4" s="325"/>
      <c r="MLO4" s="325"/>
      <c r="MLP4" s="325"/>
      <c r="MLQ4" s="325"/>
      <c r="MLR4" s="325"/>
      <c r="MLS4" s="325"/>
      <c r="MLT4" s="325"/>
      <c r="MLU4" s="325"/>
      <c r="MLV4" s="325"/>
      <c r="MLW4" s="325"/>
      <c r="MLX4" s="325"/>
      <c r="MLY4" s="325"/>
      <c r="MLZ4" s="325"/>
      <c r="MMA4" s="325"/>
      <c r="MMB4" s="325"/>
      <c r="MMC4" s="325"/>
      <c r="MMD4" s="325"/>
      <c r="MME4" s="325"/>
      <c r="MMF4" s="325"/>
      <c r="MMG4" s="325"/>
      <c r="MMH4" s="325"/>
      <c r="MMI4" s="325"/>
      <c r="MMJ4" s="325"/>
      <c r="MMK4" s="325"/>
      <c r="MML4" s="325"/>
      <c r="MMM4" s="325"/>
      <c r="MMN4" s="325"/>
      <c r="MMO4" s="325"/>
      <c r="MMP4" s="325"/>
      <c r="MMQ4" s="325"/>
      <c r="MMR4" s="325"/>
      <c r="MMS4" s="325"/>
      <c r="MMT4" s="325"/>
      <c r="MMU4" s="325"/>
      <c r="MMV4" s="325"/>
      <c r="MMW4" s="325"/>
      <c r="MMX4" s="325"/>
      <c r="MMY4" s="325"/>
      <c r="MMZ4" s="325"/>
      <c r="MNA4" s="325"/>
      <c r="MNB4" s="325"/>
      <c r="MNC4" s="325"/>
      <c r="MND4" s="325"/>
      <c r="MNE4" s="325"/>
      <c r="MNF4" s="325"/>
      <c r="MNG4" s="325"/>
      <c r="MNH4" s="325"/>
      <c r="MNI4" s="325"/>
      <c r="MNJ4" s="325"/>
      <c r="MNK4" s="325"/>
      <c r="MNL4" s="325"/>
      <c r="MNM4" s="325"/>
      <c r="MNN4" s="325"/>
      <c r="MNO4" s="325"/>
      <c r="MNP4" s="325"/>
      <c r="MNQ4" s="325"/>
      <c r="MNR4" s="325"/>
      <c r="MNS4" s="325"/>
      <c r="MNT4" s="325"/>
      <c r="MNU4" s="325"/>
      <c r="MNV4" s="325"/>
      <c r="MNW4" s="325"/>
      <c r="MNX4" s="325"/>
      <c r="MNY4" s="325"/>
      <c r="MNZ4" s="325"/>
      <c r="MOA4" s="325"/>
      <c r="MOB4" s="325"/>
      <c r="MOC4" s="325"/>
      <c r="MOD4" s="325"/>
      <c r="MOE4" s="325"/>
      <c r="MOF4" s="325"/>
      <c r="MOG4" s="325"/>
      <c r="MOH4" s="325"/>
      <c r="MOI4" s="325"/>
      <c r="MOJ4" s="325"/>
      <c r="MOK4" s="325"/>
      <c r="MOL4" s="325"/>
      <c r="MOM4" s="325"/>
      <c r="MON4" s="325"/>
      <c r="MOO4" s="325"/>
      <c r="MOP4" s="325"/>
      <c r="MOQ4" s="325"/>
      <c r="MOR4" s="325"/>
      <c r="MOS4" s="325"/>
      <c r="MOT4" s="325"/>
      <c r="MOU4" s="325"/>
      <c r="MOV4" s="325"/>
      <c r="MOW4" s="325"/>
      <c r="MOX4" s="325"/>
      <c r="MOY4" s="325"/>
      <c r="MOZ4" s="325"/>
      <c r="MPA4" s="325"/>
      <c r="MPB4" s="325"/>
      <c r="MPC4" s="325"/>
      <c r="MPD4" s="325"/>
      <c r="MPE4" s="325"/>
      <c r="MPF4" s="325"/>
      <c r="MPG4" s="325"/>
      <c r="MPH4" s="325"/>
      <c r="MPI4" s="325"/>
      <c r="MPJ4" s="325"/>
      <c r="MPK4" s="325"/>
      <c r="MPL4" s="325"/>
      <c r="MPM4" s="325"/>
      <c r="MPN4" s="325"/>
      <c r="MPO4" s="325"/>
      <c r="MPP4" s="325"/>
      <c r="MPQ4" s="325"/>
      <c r="MPR4" s="325"/>
      <c r="MPS4" s="325"/>
      <c r="MPT4" s="325"/>
      <c r="MPU4" s="325"/>
      <c r="MPV4" s="325"/>
      <c r="MPW4" s="325"/>
      <c r="MPX4" s="325"/>
      <c r="MPY4" s="325"/>
      <c r="MPZ4" s="325"/>
      <c r="MQA4" s="325"/>
      <c r="MQB4" s="325"/>
      <c r="MQC4" s="325"/>
      <c r="MQD4" s="325"/>
      <c r="MQE4" s="325"/>
      <c r="MQF4" s="325"/>
      <c r="MQG4" s="325"/>
      <c r="MQH4" s="325"/>
      <c r="MQI4" s="325"/>
      <c r="MQJ4" s="325"/>
      <c r="MQK4" s="325"/>
      <c r="MQL4" s="325"/>
      <c r="MQM4" s="325"/>
      <c r="MQN4" s="325"/>
      <c r="MQO4" s="325"/>
      <c r="MQP4" s="325"/>
      <c r="MQQ4" s="325"/>
      <c r="MQR4" s="325"/>
      <c r="MQS4" s="325"/>
      <c r="MQT4" s="325"/>
      <c r="MQU4" s="325"/>
      <c r="MQV4" s="325"/>
      <c r="MQW4" s="325"/>
      <c r="MQX4" s="325"/>
      <c r="MQY4" s="325"/>
      <c r="MQZ4" s="325"/>
      <c r="MRA4" s="325"/>
      <c r="MRB4" s="325"/>
      <c r="MRC4" s="325"/>
      <c r="MRD4" s="325"/>
      <c r="MRE4" s="325"/>
      <c r="MRF4" s="325"/>
      <c r="MRG4" s="325"/>
      <c r="MRH4" s="325"/>
      <c r="MRI4" s="325"/>
      <c r="MRJ4" s="325"/>
      <c r="MRK4" s="325"/>
      <c r="MRL4" s="325"/>
      <c r="MRM4" s="325"/>
      <c r="MRN4" s="325"/>
      <c r="MRO4" s="325"/>
      <c r="MRP4" s="325"/>
      <c r="MRQ4" s="325"/>
      <c r="MRR4" s="325"/>
      <c r="MRS4" s="325"/>
      <c r="MRT4" s="325"/>
      <c r="MRU4" s="325"/>
      <c r="MRV4" s="325"/>
      <c r="MRW4" s="325"/>
      <c r="MRX4" s="325"/>
      <c r="MRY4" s="325"/>
      <c r="MRZ4" s="325"/>
      <c r="MSA4" s="325"/>
      <c r="MSB4" s="325"/>
      <c r="MSC4" s="325"/>
      <c r="MSD4" s="325"/>
      <c r="MSE4" s="325"/>
      <c r="MSF4" s="325"/>
      <c r="MSG4" s="325"/>
      <c r="MSH4" s="325"/>
      <c r="MSI4" s="325"/>
      <c r="MSJ4" s="325"/>
      <c r="MSK4" s="325"/>
      <c r="MSL4" s="325"/>
      <c r="MSM4" s="325"/>
      <c r="MSN4" s="325"/>
      <c r="MSO4" s="325"/>
      <c r="MSP4" s="325"/>
      <c r="MSQ4" s="325"/>
      <c r="MSR4" s="325"/>
      <c r="MSS4" s="325"/>
      <c r="MST4" s="325"/>
      <c r="MSU4" s="325"/>
      <c r="MSV4" s="325"/>
      <c r="MSW4" s="325"/>
      <c r="MSX4" s="325"/>
      <c r="MSY4" s="325"/>
      <c r="MSZ4" s="325"/>
      <c r="MTA4" s="325"/>
      <c r="MTB4" s="325"/>
      <c r="MTC4" s="325"/>
      <c r="MTD4" s="325"/>
      <c r="MTE4" s="325"/>
      <c r="MTF4" s="325"/>
      <c r="MTG4" s="325"/>
      <c r="MTH4" s="325"/>
      <c r="MTI4" s="325"/>
      <c r="MTJ4" s="325"/>
      <c r="MTK4" s="325"/>
      <c r="MTL4" s="325"/>
      <c r="MTM4" s="325"/>
      <c r="MTN4" s="325"/>
      <c r="MTO4" s="325"/>
      <c r="MTP4" s="325"/>
      <c r="MTQ4" s="325"/>
      <c r="MTR4" s="325"/>
      <c r="MTS4" s="325"/>
      <c r="MTT4" s="325"/>
      <c r="MTU4" s="325"/>
      <c r="MTV4" s="325"/>
      <c r="MTW4" s="325"/>
      <c r="MTX4" s="325"/>
      <c r="MTY4" s="325"/>
      <c r="MTZ4" s="325"/>
      <c r="MUA4" s="325"/>
      <c r="MUB4" s="325"/>
      <c r="MUC4" s="325"/>
      <c r="MUD4" s="325"/>
      <c r="MUE4" s="325"/>
      <c r="MUF4" s="325"/>
      <c r="MUG4" s="325"/>
      <c r="MUH4" s="325"/>
      <c r="MUI4" s="325"/>
      <c r="MUJ4" s="325"/>
      <c r="MUK4" s="325"/>
      <c r="MUL4" s="325"/>
      <c r="MUM4" s="325"/>
      <c r="MUN4" s="325"/>
      <c r="MUO4" s="325"/>
      <c r="MUP4" s="325"/>
      <c r="MUQ4" s="325"/>
      <c r="MUR4" s="325"/>
      <c r="MUS4" s="325"/>
      <c r="MUT4" s="325"/>
      <c r="MUU4" s="325"/>
      <c r="MUV4" s="325"/>
      <c r="MUW4" s="325"/>
      <c r="MUX4" s="325"/>
      <c r="MUY4" s="325"/>
      <c r="MUZ4" s="325"/>
      <c r="MVA4" s="325"/>
      <c r="MVB4" s="325"/>
      <c r="MVC4" s="325"/>
      <c r="MVD4" s="325"/>
      <c r="MVE4" s="325"/>
      <c r="MVF4" s="325"/>
      <c r="MVG4" s="325"/>
      <c r="MVH4" s="325"/>
      <c r="MVI4" s="325"/>
      <c r="MVJ4" s="325"/>
      <c r="MVK4" s="325"/>
      <c r="MVL4" s="325"/>
      <c r="MVM4" s="325"/>
      <c r="MVN4" s="325"/>
      <c r="MVO4" s="325"/>
      <c r="MVP4" s="325"/>
      <c r="MVQ4" s="325"/>
      <c r="MVR4" s="325"/>
      <c r="MVS4" s="325"/>
      <c r="MVT4" s="325"/>
      <c r="MVU4" s="325"/>
      <c r="MVV4" s="325"/>
      <c r="MVW4" s="325"/>
      <c r="MVX4" s="325"/>
      <c r="MVY4" s="325"/>
      <c r="MVZ4" s="325"/>
      <c r="MWA4" s="325"/>
      <c r="MWB4" s="325"/>
      <c r="MWC4" s="325"/>
      <c r="MWD4" s="325"/>
      <c r="MWE4" s="325"/>
      <c r="MWF4" s="325"/>
      <c r="MWG4" s="325"/>
      <c r="MWH4" s="325"/>
      <c r="MWI4" s="325"/>
      <c r="MWJ4" s="325"/>
      <c r="MWK4" s="325"/>
      <c r="MWL4" s="325"/>
      <c r="MWM4" s="325"/>
      <c r="MWN4" s="325"/>
      <c r="MWO4" s="325"/>
      <c r="MWP4" s="325"/>
      <c r="MWQ4" s="325"/>
      <c r="MWR4" s="325"/>
      <c r="MWS4" s="325"/>
      <c r="MWT4" s="325"/>
      <c r="MWU4" s="325"/>
      <c r="MWV4" s="325"/>
      <c r="MWW4" s="325"/>
      <c r="MWX4" s="325"/>
      <c r="MWY4" s="325"/>
      <c r="MWZ4" s="325"/>
      <c r="MXA4" s="325"/>
      <c r="MXB4" s="325"/>
      <c r="MXC4" s="325"/>
      <c r="MXD4" s="325"/>
      <c r="MXE4" s="325"/>
      <c r="MXF4" s="325"/>
      <c r="MXG4" s="325"/>
      <c r="MXH4" s="325"/>
      <c r="MXI4" s="325"/>
      <c r="MXJ4" s="325"/>
      <c r="MXK4" s="325"/>
      <c r="MXL4" s="325"/>
      <c r="MXM4" s="325"/>
      <c r="MXN4" s="325"/>
      <c r="MXO4" s="325"/>
      <c r="MXP4" s="325"/>
      <c r="MXQ4" s="325"/>
      <c r="MXR4" s="325"/>
      <c r="MXS4" s="325"/>
      <c r="MXT4" s="325"/>
      <c r="MXU4" s="325"/>
      <c r="MXV4" s="325"/>
      <c r="MXW4" s="325"/>
      <c r="MXX4" s="325"/>
      <c r="MXY4" s="325"/>
      <c r="MXZ4" s="325"/>
      <c r="MYA4" s="325"/>
      <c r="MYB4" s="325"/>
      <c r="MYC4" s="325"/>
      <c r="MYD4" s="325"/>
      <c r="MYE4" s="325"/>
      <c r="MYF4" s="325"/>
      <c r="MYG4" s="325"/>
      <c r="MYH4" s="325"/>
      <c r="MYI4" s="325"/>
      <c r="MYJ4" s="325"/>
      <c r="MYK4" s="325"/>
      <c r="MYL4" s="325"/>
      <c r="MYM4" s="325"/>
      <c r="MYN4" s="325"/>
      <c r="MYO4" s="325"/>
      <c r="MYP4" s="325"/>
      <c r="MYQ4" s="325"/>
      <c r="MYR4" s="325"/>
      <c r="MYS4" s="325"/>
      <c r="MYT4" s="325"/>
      <c r="MYU4" s="325"/>
      <c r="MYV4" s="325"/>
      <c r="MYW4" s="325"/>
      <c r="MYX4" s="325"/>
      <c r="MYY4" s="325"/>
      <c r="MYZ4" s="325"/>
      <c r="MZA4" s="325"/>
      <c r="MZB4" s="325"/>
      <c r="MZC4" s="325"/>
      <c r="MZD4" s="325"/>
      <c r="MZE4" s="325"/>
      <c r="MZF4" s="325"/>
      <c r="MZG4" s="325"/>
      <c r="MZH4" s="325"/>
      <c r="MZI4" s="325"/>
      <c r="MZJ4" s="325"/>
      <c r="MZK4" s="325"/>
      <c r="MZL4" s="325"/>
      <c r="MZM4" s="325"/>
      <c r="MZN4" s="325"/>
      <c r="MZO4" s="325"/>
      <c r="MZP4" s="325"/>
      <c r="MZQ4" s="325"/>
      <c r="MZR4" s="325"/>
      <c r="MZS4" s="325"/>
      <c r="MZT4" s="325"/>
      <c r="MZU4" s="325"/>
      <c r="MZV4" s="325"/>
      <c r="MZW4" s="325"/>
      <c r="MZX4" s="325"/>
      <c r="MZY4" s="325"/>
      <c r="MZZ4" s="325"/>
      <c r="NAA4" s="325"/>
      <c r="NAB4" s="325"/>
      <c r="NAC4" s="325"/>
      <c r="NAD4" s="325"/>
      <c r="NAE4" s="325"/>
      <c r="NAF4" s="325"/>
      <c r="NAG4" s="325"/>
      <c r="NAH4" s="325"/>
      <c r="NAI4" s="325"/>
      <c r="NAJ4" s="325"/>
      <c r="NAK4" s="325"/>
      <c r="NAL4" s="325"/>
      <c r="NAM4" s="325"/>
      <c r="NAN4" s="325"/>
      <c r="NAO4" s="325"/>
      <c r="NAP4" s="325"/>
      <c r="NAQ4" s="325"/>
      <c r="NAR4" s="325"/>
      <c r="NAS4" s="325"/>
      <c r="NAT4" s="325"/>
      <c r="NAU4" s="325"/>
      <c r="NAV4" s="325"/>
      <c r="NAW4" s="325"/>
      <c r="NAX4" s="325"/>
      <c r="NAY4" s="325"/>
      <c r="NAZ4" s="325"/>
      <c r="NBA4" s="325"/>
      <c r="NBB4" s="325"/>
      <c r="NBC4" s="325"/>
      <c r="NBD4" s="325"/>
      <c r="NBE4" s="325"/>
      <c r="NBF4" s="325"/>
      <c r="NBG4" s="325"/>
      <c r="NBH4" s="325"/>
      <c r="NBI4" s="325"/>
      <c r="NBJ4" s="325"/>
      <c r="NBK4" s="325"/>
      <c r="NBL4" s="325"/>
      <c r="NBM4" s="325"/>
      <c r="NBN4" s="325"/>
      <c r="NBO4" s="325"/>
      <c r="NBP4" s="325"/>
      <c r="NBQ4" s="325"/>
      <c r="NBR4" s="325"/>
      <c r="NBS4" s="325"/>
      <c r="NBT4" s="325"/>
      <c r="NBU4" s="325"/>
      <c r="NBV4" s="325"/>
      <c r="NBW4" s="325"/>
      <c r="NBX4" s="325"/>
      <c r="NBY4" s="325"/>
      <c r="NBZ4" s="325"/>
      <c r="NCA4" s="325"/>
      <c r="NCB4" s="325"/>
      <c r="NCC4" s="325"/>
      <c r="NCD4" s="325"/>
      <c r="NCE4" s="325"/>
      <c r="NCF4" s="325"/>
      <c r="NCG4" s="325"/>
      <c r="NCH4" s="325"/>
      <c r="NCI4" s="325"/>
      <c r="NCJ4" s="325"/>
      <c r="NCK4" s="325"/>
      <c r="NCL4" s="325"/>
      <c r="NCM4" s="325"/>
      <c r="NCN4" s="325"/>
      <c r="NCO4" s="325"/>
      <c r="NCP4" s="325"/>
      <c r="NCQ4" s="325"/>
      <c r="NCR4" s="325"/>
      <c r="NCS4" s="325"/>
      <c r="NCT4" s="325"/>
      <c r="NCU4" s="325"/>
      <c r="NCV4" s="325"/>
      <c r="NCW4" s="325"/>
      <c r="NCX4" s="325"/>
      <c r="NCY4" s="325"/>
      <c r="NCZ4" s="325"/>
      <c r="NDA4" s="325"/>
      <c r="NDB4" s="325"/>
      <c r="NDC4" s="325"/>
      <c r="NDD4" s="325"/>
      <c r="NDE4" s="325"/>
      <c r="NDF4" s="325"/>
      <c r="NDG4" s="325"/>
      <c r="NDH4" s="325"/>
      <c r="NDI4" s="325"/>
      <c r="NDJ4" s="325"/>
      <c r="NDK4" s="325"/>
      <c r="NDL4" s="325"/>
      <c r="NDM4" s="325"/>
      <c r="NDN4" s="325"/>
      <c r="NDO4" s="325"/>
      <c r="NDP4" s="325"/>
      <c r="NDQ4" s="325"/>
      <c r="NDR4" s="325"/>
      <c r="NDS4" s="325"/>
      <c r="NDT4" s="325"/>
      <c r="NDU4" s="325"/>
      <c r="NDV4" s="325"/>
      <c r="NDW4" s="325"/>
      <c r="NDX4" s="325"/>
      <c r="NDY4" s="325"/>
      <c r="NDZ4" s="325"/>
      <c r="NEA4" s="325"/>
      <c r="NEB4" s="325"/>
      <c r="NEC4" s="325"/>
      <c r="NED4" s="325"/>
      <c r="NEE4" s="325"/>
      <c r="NEF4" s="325"/>
      <c r="NEG4" s="325"/>
      <c r="NEH4" s="325"/>
      <c r="NEI4" s="325"/>
      <c r="NEJ4" s="325"/>
      <c r="NEK4" s="325"/>
      <c r="NEL4" s="325"/>
      <c r="NEM4" s="325"/>
      <c r="NEN4" s="325"/>
      <c r="NEO4" s="325"/>
      <c r="NEP4" s="325"/>
      <c r="NEQ4" s="325"/>
      <c r="NER4" s="325"/>
      <c r="NES4" s="325"/>
      <c r="NET4" s="325"/>
      <c r="NEU4" s="325"/>
      <c r="NEV4" s="325"/>
      <c r="NEW4" s="325"/>
      <c r="NEX4" s="325"/>
      <c r="NEY4" s="325"/>
      <c r="NEZ4" s="325"/>
      <c r="NFA4" s="325"/>
      <c r="NFB4" s="325"/>
      <c r="NFC4" s="325"/>
      <c r="NFD4" s="325"/>
      <c r="NFE4" s="325"/>
      <c r="NFF4" s="325"/>
      <c r="NFG4" s="325"/>
      <c r="NFH4" s="325"/>
      <c r="NFI4" s="325"/>
      <c r="NFJ4" s="325"/>
      <c r="NFK4" s="325"/>
      <c r="NFL4" s="325"/>
      <c r="NFM4" s="325"/>
      <c r="NFN4" s="325"/>
      <c r="NFO4" s="325"/>
      <c r="NFP4" s="325"/>
      <c r="NFQ4" s="325"/>
      <c r="NFR4" s="325"/>
      <c r="NFS4" s="325"/>
      <c r="NFT4" s="325"/>
      <c r="NFU4" s="325"/>
      <c r="NFV4" s="325"/>
      <c r="NFW4" s="325"/>
      <c r="NFX4" s="325"/>
      <c r="NFY4" s="325"/>
      <c r="NFZ4" s="325"/>
      <c r="NGA4" s="325"/>
      <c r="NGB4" s="325"/>
      <c r="NGC4" s="325"/>
      <c r="NGD4" s="325"/>
      <c r="NGE4" s="325"/>
      <c r="NGF4" s="325"/>
      <c r="NGG4" s="325"/>
      <c r="NGH4" s="325"/>
      <c r="NGI4" s="325"/>
      <c r="NGJ4" s="325"/>
      <c r="NGK4" s="325"/>
      <c r="NGL4" s="325"/>
      <c r="NGM4" s="325"/>
      <c r="NGN4" s="325"/>
      <c r="NGO4" s="325"/>
      <c r="NGP4" s="325"/>
      <c r="NGQ4" s="325"/>
      <c r="NGR4" s="325"/>
      <c r="NGS4" s="325"/>
      <c r="NGT4" s="325"/>
      <c r="NGU4" s="325"/>
      <c r="NGV4" s="325"/>
      <c r="NGW4" s="325"/>
      <c r="NGX4" s="325"/>
      <c r="NGY4" s="325"/>
      <c r="NGZ4" s="325"/>
      <c r="NHA4" s="325"/>
      <c r="NHB4" s="325"/>
      <c r="NHC4" s="325"/>
      <c r="NHD4" s="325"/>
      <c r="NHE4" s="325"/>
      <c r="NHF4" s="325"/>
      <c r="NHG4" s="325"/>
      <c r="NHH4" s="325"/>
      <c r="NHI4" s="325"/>
      <c r="NHJ4" s="325"/>
      <c r="NHK4" s="325"/>
      <c r="NHL4" s="325"/>
      <c r="NHM4" s="325"/>
      <c r="NHN4" s="325"/>
      <c r="NHO4" s="325"/>
      <c r="NHP4" s="325"/>
      <c r="NHQ4" s="325"/>
      <c r="NHR4" s="325"/>
      <c r="NHS4" s="325"/>
      <c r="NHT4" s="325"/>
      <c r="NHU4" s="325"/>
      <c r="NHV4" s="325"/>
      <c r="NHW4" s="325"/>
      <c r="NHX4" s="325"/>
      <c r="NHY4" s="325"/>
      <c r="NHZ4" s="325"/>
      <c r="NIA4" s="325"/>
      <c r="NIB4" s="325"/>
      <c r="NIC4" s="325"/>
      <c r="NID4" s="325"/>
      <c r="NIE4" s="325"/>
      <c r="NIF4" s="325"/>
      <c r="NIG4" s="325"/>
      <c r="NIH4" s="325"/>
      <c r="NII4" s="325"/>
      <c r="NIJ4" s="325"/>
      <c r="NIK4" s="325"/>
      <c r="NIL4" s="325"/>
      <c r="NIM4" s="325"/>
      <c r="NIN4" s="325"/>
      <c r="NIO4" s="325"/>
      <c r="NIP4" s="325"/>
      <c r="NIQ4" s="325"/>
      <c r="NIR4" s="325"/>
      <c r="NIS4" s="325"/>
      <c r="NIT4" s="325"/>
      <c r="NIU4" s="325"/>
      <c r="NIV4" s="325"/>
      <c r="NIW4" s="325"/>
      <c r="NIX4" s="325"/>
      <c r="NIY4" s="325"/>
      <c r="NIZ4" s="325"/>
      <c r="NJA4" s="325"/>
      <c r="NJB4" s="325"/>
      <c r="NJC4" s="325"/>
      <c r="NJD4" s="325"/>
      <c r="NJE4" s="325"/>
      <c r="NJF4" s="325"/>
      <c r="NJG4" s="325"/>
      <c r="NJH4" s="325"/>
      <c r="NJI4" s="325"/>
      <c r="NJJ4" s="325"/>
      <c r="NJK4" s="325"/>
      <c r="NJL4" s="325"/>
      <c r="NJM4" s="325"/>
      <c r="NJN4" s="325"/>
      <c r="NJO4" s="325"/>
      <c r="NJP4" s="325"/>
      <c r="NJQ4" s="325"/>
      <c r="NJR4" s="325"/>
      <c r="NJS4" s="325"/>
      <c r="NJT4" s="325"/>
      <c r="NJU4" s="325"/>
      <c r="NJV4" s="325"/>
      <c r="NJW4" s="325"/>
      <c r="NJX4" s="325"/>
      <c r="NJY4" s="325"/>
      <c r="NJZ4" s="325"/>
      <c r="NKA4" s="325"/>
      <c r="NKB4" s="325"/>
      <c r="NKC4" s="325"/>
      <c r="NKD4" s="325"/>
      <c r="NKE4" s="325"/>
      <c r="NKF4" s="325"/>
      <c r="NKG4" s="325"/>
      <c r="NKH4" s="325"/>
      <c r="NKI4" s="325"/>
      <c r="NKJ4" s="325"/>
      <c r="NKK4" s="325"/>
      <c r="NKL4" s="325"/>
      <c r="NKM4" s="325"/>
      <c r="NKN4" s="325"/>
      <c r="NKO4" s="325"/>
      <c r="NKP4" s="325"/>
      <c r="NKQ4" s="325"/>
      <c r="NKR4" s="325"/>
      <c r="NKS4" s="325"/>
      <c r="NKT4" s="325"/>
      <c r="NKU4" s="325"/>
      <c r="NKV4" s="325"/>
      <c r="NKW4" s="325"/>
      <c r="NKX4" s="325"/>
      <c r="NKY4" s="325"/>
      <c r="NKZ4" s="325"/>
      <c r="NLA4" s="325"/>
      <c r="NLB4" s="325"/>
      <c r="NLC4" s="325"/>
      <c r="NLD4" s="325"/>
      <c r="NLE4" s="325"/>
      <c r="NLF4" s="325"/>
      <c r="NLG4" s="325"/>
      <c r="NLH4" s="325"/>
      <c r="NLI4" s="325"/>
      <c r="NLJ4" s="325"/>
      <c r="NLK4" s="325"/>
      <c r="NLL4" s="325"/>
      <c r="NLM4" s="325"/>
      <c r="NLN4" s="325"/>
      <c r="NLO4" s="325"/>
      <c r="NLP4" s="325"/>
      <c r="NLQ4" s="325"/>
      <c r="NLR4" s="325"/>
      <c r="NLS4" s="325"/>
      <c r="NLT4" s="325"/>
      <c r="NLU4" s="325"/>
      <c r="NLV4" s="325"/>
      <c r="NLW4" s="325"/>
      <c r="NLX4" s="325"/>
      <c r="NLY4" s="325"/>
      <c r="NLZ4" s="325"/>
      <c r="NMA4" s="325"/>
      <c r="NMB4" s="325"/>
      <c r="NMC4" s="325"/>
      <c r="NMD4" s="325"/>
      <c r="NME4" s="325"/>
      <c r="NMF4" s="325"/>
      <c r="NMG4" s="325"/>
      <c r="NMH4" s="325"/>
      <c r="NMI4" s="325"/>
      <c r="NMJ4" s="325"/>
      <c r="NMK4" s="325"/>
      <c r="NML4" s="325"/>
      <c r="NMM4" s="325"/>
      <c r="NMN4" s="325"/>
      <c r="NMO4" s="325"/>
      <c r="NMP4" s="325"/>
      <c r="NMQ4" s="325"/>
      <c r="NMR4" s="325"/>
      <c r="NMS4" s="325"/>
      <c r="NMT4" s="325"/>
      <c r="NMU4" s="325"/>
      <c r="NMV4" s="325"/>
      <c r="NMW4" s="325"/>
      <c r="NMX4" s="325"/>
      <c r="NMY4" s="325"/>
      <c r="NMZ4" s="325"/>
      <c r="NNA4" s="325"/>
      <c r="NNB4" s="325"/>
      <c r="NNC4" s="325"/>
      <c r="NND4" s="325"/>
      <c r="NNE4" s="325"/>
      <c r="NNF4" s="325"/>
      <c r="NNG4" s="325"/>
      <c r="NNH4" s="325"/>
      <c r="NNI4" s="325"/>
      <c r="NNJ4" s="325"/>
      <c r="NNK4" s="325"/>
      <c r="NNL4" s="325"/>
      <c r="NNM4" s="325"/>
      <c r="NNN4" s="325"/>
      <c r="NNO4" s="325"/>
      <c r="NNP4" s="325"/>
      <c r="NNQ4" s="325"/>
      <c r="NNR4" s="325"/>
      <c r="NNS4" s="325"/>
      <c r="NNT4" s="325"/>
      <c r="NNU4" s="325"/>
      <c r="NNV4" s="325"/>
      <c r="NNW4" s="325"/>
      <c r="NNX4" s="325"/>
      <c r="NNY4" s="325"/>
      <c r="NNZ4" s="325"/>
      <c r="NOA4" s="325"/>
      <c r="NOB4" s="325"/>
      <c r="NOC4" s="325"/>
      <c r="NOD4" s="325"/>
      <c r="NOE4" s="325"/>
      <c r="NOF4" s="325"/>
      <c r="NOG4" s="325"/>
      <c r="NOH4" s="325"/>
      <c r="NOI4" s="325"/>
      <c r="NOJ4" s="325"/>
      <c r="NOK4" s="325"/>
      <c r="NOL4" s="325"/>
      <c r="NOM4" s="325"/>
      <c r="NON4" s="325"/>
      <c r="NOO4" s="325"/>
      <c r="NOP4" s="325"/>
      <c r="NOQ4" s="325"/>
      <c r="NOR4" s="325"/>
      <c r="NOS4" s="325"/>
      <c r="NOT4" s="325"/>
      <c r="NOU4" s="325"/>
      <c r="NOV4" s="325"/>
      <c r="NOW4" s="325"/>
      <c r="NOX4" s="325"/>
      <c r="NOY4" s="325"/>
      <c r="NOZ4" s="325"/>
      <c r="NPA4" s="325"/>
      <c r="NPB4" s="325"/>
      <c r="NPC4" s="325"/>
      <c r="NPD4" s="325"/>
      <c r="NPE4" s="325"/>
      <c r="NPF4" s="325"/>
      <c r="NPG4" s="325"/>
      <c r="NPH4" s="325"/>
      <c r="NPI4" s="325"/>
      <c r="NPJ4" s="325"/>
      <c r="NPK4" s="325"/>
      <c r="NPL4" s="325"/>
      <c r="NPM4" s="325"/>
      <c r="NPN4" s="325"/>
      <c r="NPO4" s="325"/>
      <c r="NPP4" s="325"/>
      <c r="NPQ4" s="325"/>
      <c r="NPR4" s="325"/>
      <c r="NPS4" s="325"/>
      <c r="NPT4" s="325"/>
      <c r="NPU4" s="325"/>
      <c r="NPV4" s="325"/>
      <c r="NPW4" s="325"/>
      <c r="NPX4" s="325"/>
      <c r="NPY4" s="325"/>
      <c r="NPZ4" s="325"/>
      <c r="NQA4" s="325"/>
      <c r="NQB4" s="325"/>
      <c r="NQC4" s="325"/>
      <c r="NQD4" s="325"/>
      <c r="NQE4" s="325"/>
      <c r="NQF4" s="325"/>
      <c r="NQG4" s="325"/>
      <c r="NQH4" s="325"/>
      <c r="NQI4" s="325"/>
      <c r="NQJ4" s="325"/>
      <c r="NQK4" s="325"/>
      <c r="NQL4" s="325"/>
      <c r="NQM4" s="325"/>
      <c r="NQN4" s="325"/>
      <c r="NQO4" s="325"/>
      <c r="NQP4" s="325"/>
      <c r="NQQ4" s="325"/>
      <c r="NQR4" s="325"/>
      <c r="NQS4" s="325"/>
      <c r="NQT4" s="325"/>
      <c r="NQU4" s="325"/>
      <c r="NQV4" s="325"/>
      <c r="NQW4" s="325"/>
      <c r="NQX4" s="325"/>
      <c r="NQY4" s="325"/>
      <c r="NQZ4" s="325"/>
      <c r="NRA4" s="325"/>
      <c r="NRB4" s="325"/>
      <c r="NRC4" s="325"/>
      <c r="NRD4" s="325"/>
      <c r="NRE4" s="325"/>
      <c r="NRF4" s="325"/>
      <c r="NRG4" s="325"/>
      <c r="NRH4" s="325"/>
      <c r="NRI4" s="325"/>
      <c r="NRJ4" s="325"/>
      <c r="NRK4" s="325"/>
      <c r="NRL4" s="325"/>
      <c r="NRM4" s="325"/>
      <c r="NRN4" s="325"/>
      <c r="NRO4" s="325"/>
      <c r="NRP4" s="325"/>
      <c r="NRQ4" s="325"/>
      <c r="NRR4" s="325"/>
      <c r="NRS4" s="325"/>
      <c r="NRT4" s="325"/>
      <c r="NRU4" s="325"/>
      <c r="NRV4" s="325"/>
      <c r="NRW4" s="325"/>
      <c r="NRX4" s="325"/>
      <c r="NRY4" s="325"/>
      <c r="NRZ4" s="325"/>
      <c r="NSA4" s="325"/>
      <c r="NSB4" s="325"/>
      <c r="NSC4" s="325"/>
      <c r="NSD4" s="325"/>
      <c r="NSE4" s="325"/>
      <c r="NSF4" s="325"/>
      <c r="NSG4" s="325"/>
      <c r="NSH4" s="325"/>
      <c r="NSI4" s="325"/>
      <c r="NSJ4" s="325"/>
      <c r="NSK4" s="325"/>
      <c r="NSL4" s="325"/>
      <c r="NSM4" s="325"/>
      <c r="NSN4" s="325"/>
      <c r="NSO4" s="325"/>
      <c r="NSP4" s="325"/>
      <c r="NSQ4" s="325"/>
      <c r="NSR4" s="325"/>
      <c r="NSS4" s="325"/>
      <c r="NST4" s="325"/>
      <c r="NSU4" s="325"/>
      <c r="NSV4" s="325"/>
      <c r="NSW4" s="325"/>
      <c r="NSX4" s="325"/>
      <c r="NSY4" s="325"/>
      <c r="NSZ4" s="325"/>
      <c r="NTA4" s="325"/>
      <c r="NTB4" s="325"/>
      <c r="NTC4" s="325"/>
      <c r="NTD4" s="325"/>
      <c r="NTE4" s="325"/>
      <c r="NTF4" s="325"/>
      <c r="NTG4" s="325"/>
      <c r="NTH4" s="325"/>
      <c r="NTI4" s="325"/>
      <c r="NTJ4" s="325"/>
      <c r="NTK4" s="325"/>
      <c r="NTL4" s="325"/>
      <c r="NTM4" s="325"/>
      <c r="NTN4" s="325"/>
      <c r="NTO4" s="325"/>
      <c r="NTP4" s="325"/>
      <c r="NTQ4" s="325"/>
      <c r="NTR4" s="325"/>
      <c r="NTS4" s="325"/>
      <c r="NTT4" s="325"/>
      <c r="NTU4" s="325"/>
      <c r="NTV4" s="325"/>
      <c r="NTW4" s="325"/>
      <c r="NTX4" s="325"/>
      <c r="NTY4" s="325"/>
      <c r="NTZ4" s="325"/>
      <c r="NUA4" s="325"/>
      <c r="NUB4" s="325"/>
      <c r="NUC4" s="325"/>
      <c r="NUD4" s="325"/>
      <c r="NUE4" s="325"/>
      <c r="NUF4" s="325"/>
      <c r="NUG4" s="325"/>
      <c r="NUH4" s="325"/>
      <c r="NUI4" s="325"/>
      <c r="NUJ4" s="325"/>
      <c r="NUK4" s="325"/>
      <c r="NUL4" s="325"/>
      <c r="NUM4" s="325"/>
      <c r="NUN4" s="325"/>
      <c r="NUO4" s="325"/>
      <c r="NUP4" s="325"/>
      <c r="NUQ4" s="325"/>
      <c r="NUR4" s="325"/>
      <c r="NUS4" s="325"/>
      <c r="NUT4" s="325"/>
      <c r="NUU4" s="325"/>
      <c r="NUV4" s="325"/>
      <c r="NUW4" s="325"/>
      <c r="NUX4" s="325"/>
      <c r="NUY4" s="325"/>
      <c r="NUZ4" s="325"/>
      <c r="NVA4" s="325"/>
      <c r="NVB4" s="325"/>
      <c r="NVC4" s="325"/>
      <c r="NVD4" s="325"/>
      <c r="NVE4" s="325"/>
      <c r="NVF4" s="325"/>
      <c r="NVG4" s="325"/>
      <c r="NVH4" s="325"/>
      <c r="NVI4" s="325"/>
      <c r="NVJ4" s="325"/>
      <c r="NVK4" s="325"/>
      <c r="NVL4" s="325"/>
      <c r="NVM4" s="325"/>
      <c r="NVN4" s="325"/>
      <c r="NVO4" s="325"/>
      <c r="NVP4" s="325"/>
      <c r="NVQ4" s="325"/>
      <c r="NVR4" s="325"/>
      <c r="NVS4" s="325"/>
      <c r="NVT4" s="325"/>
      <c r="NVU4" s="325"/>
      <c r="NVV4" s="325"/>
      <c r="NVW4" s="325"/>
      <c r="NVX4" s="325"/>
      <c r="NVY4" s="325"/>
      <c r="NVZ4" s="325"/>
      <c r="NWA4" s="325"/>
      <c r="NWB4" s="325"/>
      <c r="NWC4" s="325"/>
      <c r="NWD4" s="325"/>
      <c r="NWE4" s="325"/>
      <c r="NWF4" s="325"/>
      <c r="NWG4" s="325"/>
      <c r="NWH4" s="325"/>
      <c r="NWI4" s="325"/>
      <c r="NWJ4" s="325"/>
      <c r="NWK4" s="325"/>
      <c r="NWL4" s="325"/>
      <c r="NWM4" s="325"/>
      <c r="NWN4" s="325"/>
      <c r="NWO4" s="325"/>
      <c r="NWP4" s="325"/>
      <c r="NWQ4" s="325"/>
      <c r="NWR4" s="325"/>
      <c r="NWS4" s="325"/>
      <c r="NWT4" s="325"/>
      <c r="NWU4" s="325"/>
      <c r="NWV4" s="325"/>
      <c r="NWW4" s="325"/>
      <c r="NWX4" s="325"/>
      <c r="NWY4" s="325"/>
      <c r="NWZ4" s="325"/>
      <c r="NXA4" s="325"/>
      <c r="NXB4" s="325"/>
      <c r="NXC4" s="325"/>
      <c r="NXD4" s="325"/>
      <c r="NXE4" s="325"/>
      <c r="NXF4" s="325"/>
      <c r="NXG4" s="325"/>
      <c r="NXH4" s="325"/>
      <c r="NXI4" s="325"/>
      <c r="NXJ4" s="325"/>
      <c r="NXK4" s="325"/>
      <c r="NXL4" s="325"/>
      <c r="NXM4" s="325"/>
      <c r="NXN4" s="325"/>
      <c r="NXO4" s="325"/>
      <c r="NXP4" s="325"/>
      <c r="NXQ4" s="325"/>
      <c r="NXR4" s="325"/>
      <c r="NXS4" s="325"/>
      <c r="NXT4" s="325"/>
      <c r="NXU4" s="325"/>
      <c r="NXV4" s="325"/>
      <c r="NXW4" s="325"/>
      <c r="NXX4" s="325"/>
      <c r="NXY4" s="325"/>
      <c r="NXZ4" s="325"/>
      <c r="NYA4" s="325"/>
      <c r="NYB4" s="325"/>
      <c r="NYC4" s="325"/>
      <c r="NYD4" s="325"/>
      <c r="NYE4" s="325"/>
      <c r="NYF4" s="325"/>
      <c r="NYG4" s="325"/>
      <c r="NYH4" s="325"/>
      <c r="NYI4" s="325"/>
      <c r="NYJ4" s="325"/>
      <c r="NYK4" s="325"/>
      <c r="NYL4" s="325"/>
      <c r="NYM4" s="325"/>
      <c r="NYN4" s="325"/>
      <c r="NYO4" s="325"/>
      <c r="NYP4" s="325"/>
      <c r="NYQ4" s="325"/>
      <c r="NYR4" s="325"/>
      <c r="NYS4" s="325"/>
      <c r="NYT4" s="325"/>
      <c r="NYU4" s="325"/>
      <c r="NYV4" s="325"/>
      <c r="NYW4" s="325"/>
      <c r="NYX4" s="325"/>
      <c r="NYY4" s="325"/>
      <c r="NYZ4" s="325"/>
      <c r="NZA4" s="325"/>
      <c r="NZB4" s="325"/>
      <c r="NZC4" s="325"/>
      <c r="NZD4" s="325"/>
      <c r="NZE4" s="325"/>
      <c r="NZF4" s="325"/>
      <c r="NZG4" s="325"/>
      <c r="NZH4" s="325"/>
      <c r="NZI4" s="325"/>
      <c r="NZJ4" s="325"/>
      <c r="NZK4" s="325"/>
      <c r="NZL4" s="325"/>
      <c r="NZM4" s="325"/>
      <c r="NZN4" s="325"/>
      <c r="NZO4" s="325"/>
      <c r="NZP4" s="325"/>
      <c r="NZQ4" s="325"/>
      <c r="NZR4" s="325"/>
      <c r="NZS4" s="325"/>
      <c r="NZT4" s="325"/>
      <c r="NZU4" s="325"/>
      <c r="NZV4" s="325"/>
      <c r="NZW4" s="325"/>
      <c r="NZX4" s="325"/>
      <c r="NZY4" s="325"/>
      <c r="NZZ4" s="325"/>
      <c r="OAA4" s="325"/>
      <c r="OAB4" s="325"/>
      <c r="OAC4" s="325"/>
      <c r="OAD4" s="325"/>
      <c r="OAE4" s="325"/>
      <c r="OAF4" s="325"/>
      <c r="OAG4" s="325"/>
      <c r="OAH4" s="325"/>
      <c r="OAI4" s="325"/>
      <c r="OAJ4" s="325"/>
      <c r="OAK4" s="325"/>
      <c r="OAL4" s="325"/>
      <c r="OAM4" s="325"/>
      <c r="OAN4" s="325"/>
      <c r="OAO4" s="325"/>
      <c r="OAP4" s="325"/>
      <c r="OAQ4" s="325"/>
      <c r="OAR4" s="325"/>
      <c r="OAS4" s="325"/>
      <c r="OAT4" s="325"/>
      <c r="OAU4" s="325"/>
      <c r="OAV4" s="325"/>
      <c r="OAW4" s="325"/>
      <c r="OAX4" s="325"/>
      <c r="OAY4" s="325"/>
      <c r="OAZ4" s="325"/>
      <c r="OBA4" s="325"/>
      <c r="OBB4" s="325"/>
      <c r="OBC4" s="325"/>
      <c r="OBD4" s="325"/>
      <c r="OBE4" s="325"/>
      <c r="OBF4" s="325"/>
      <c r="OBG4" s="325"/>
      <c r="OBH4" s="325"/>
      <c r="OBI4" s="325"/>
      <c r="OBJ4" s="325"/>
      <c r="OBK4" s="325"/>
      <c r="OBL4" s="325"/>
      <c r="OBM4" s="325"/>
      <c r="OBN4" s="325"/>
      <c r="OBO4" s="325"/>
      <c r="OBP4" s="325"/>
      <c r="OBQ4" s="325"/>
      <c r="OBR4" s="325"/>
      <c r="OBS4" s="325"/>
      <c r="OBT4" s="325"/>
      <c r="OBU4" s="325"/>
      <c r="OBV4" s="325"/>
      <c r="OBW4" s="325"/>
      <c r="OBX4" s="325"/>
      <c r="OBY4" s="325"/>
      <c r="OBZ4" s="325"/>
      <c r="OCA4" s="325"/>
      <c r="OCB4" s="325"/>
      <c r="OCC4" s="325"/>
      <c r="OCD4" s="325"/>
      <c r="OCE4" s="325"/>
      <c r="OCF4" s="325"/>
      <c r="OCG4" s="325"/>
      <c r="OCH4" s="325"/>
      <c r="OCI4" s="325"/>
      <c r="OCJ4" s="325"/>
      <c r="OCK4" s="325"/>
      <c r="OCL4" s="325"/>
      <c r="OCM4" s="325"/>
      <c r="OCN4" s="325"/>
      <c r="OCO4" s="325"/>
      <c r="OCP4" s="325"/>
      <c r="OCQ4" s="325"/>
      <c r="OCR4" s="325"/>
      <c r="OCS4" s="325"/>
      <c r="OCT4" s="325"/>
      <c r="OCU4" s="325"/>
      <c r="OCV4" s="325"/>
      <c r="OCW4" s="325"/>
      <c r="OCX4" s="325"/>
      <c r="OCY4" s="325"/>
      <c r="OCZ4" s="325"/>
      <c r="ODA4" s="325"/>
      <c r="ODB4" s="325"/>
      <c r="ODC4" s="325"/>
      <c r="ODD4" s="325"/>
      <c r="ODE4" s="325"/>
      <c r="ODF4" s="325"/>
      <c r="ODG4" s="325"/>
      <c r="ODH4" s="325"/>
      <c r="ODI4" s="325"/>
      <c r="ODJ4" s="325"/>
      <c r="ODK4" s="325"/>
      <c r="ODL4" s="325"/>
      <c r="ODM4" s="325"/>
      <c r="ODN4" s="325"/>
      <c r="ODO4" s="325"/>
      <c r="ODP4" s="325"/>
      <c r="ODQ4" s="325"/>
      <c r="ODR4" s="325"/>
      <c r="ODS4" s="325"/>
      <c r="ODT4" s="325"/>
      <c r="ODU4" s="325"/>
      <c r="ODV4" s="325"/>
      <c r="ODW4" s="325"/>
      <c r="ODX4" s="325"/>
      <c r="ODY4" s="325"/>
      <c r="ODZ4" s="325"/>
      <c r="OEA4" s="325"/>
      <c r="OEB4" s="325"/>
      <c r="OEC4" s="325"/>
      <c r="OED4" s="325"/>
      <c r="OEE4" s="325"/>
      <c r="OEF4" s="325"/>
      <c r="OEG4" s="325"/>
      <c r="OEH4" s="325"/>
      <c r="OEI4" s="325"/>
      <c r="OEJ4" s="325"/>
      <c r="OEK4" s="325"/>
      <c r="OEL4" s="325"/>
      <c r="OEM4" s="325"/>
      <c r="OEN4" s="325"/>
      <c r="OEO4" s="325"/>
      <c r="OEP4" s="325"/>
      <c r="OEQ4" s="325"/>
      <c r="OER4" s="325"/>
      <c r="OES4" s="325"/>
      <c r="OET4" s="325"/>
      <c r="OEU4" s="325"/>
      <c r="OEV4" s="325"/>
      <c r="OEW4" s="325"/>
      <c r="OEX4" s="325"/>
      <c r="OEY4" s="325"/>
      <c r="OEZ4" s="325"/>
      <c r="OFA4" s="325"/>
      <c r="OFB4" s="325"/>
      <c r="OFC4" s="325"/>
      <c r="OFD4" s="325"/>
      <c r="OFE4" s="325"/>
      <c r="OFF4" s="325"/>
      <c r="OFG4" s="325"/>
      <c r="OFH4" s="325"/>
      <c r="OFI4" s="325"/>
      <c r="OFJ4" s="325"/>
      <c r="OFK4" s="325"/>
      <c r="OFL4" s="325"/>
      <c r="OFM4" s="325"/>
      <c r="OFN4" s="325"/>
      <c r="OFO4" s="325"/>
      <c r="OFP4" s="325"/>
      <c r="OFQ4" s="325"/>
      <c r="OFR4" s="325"/>
      <c r="OFS4" s="325"/>
      <c r="OFT4" s="325"/>
      <c r="OFU4" s="325"/>
      <c r="OFV4" s="325"/>
      <c r="OFW4" s="325"/>
      <c r="OFX4" s="325"/>
      <c r="OFY4" s="325"/>
      <c r="OFZ4" s="325"/>
      <c r="OGA4" s="325"/>
      <c r="OGB4" s="325"/>
      <c r="OGC4" s="325"/>
      <c r="OGD4" s="325"/>
      <c r="OGE4" s="325"/>
      <c r="OGF4" s="325"/>
      <c r="OGG4" s="325"/>
      <c r="OGH4" s="325"/>
      <c r="OGI4" s="325"/>
      <c r="OGJ4" s="325"/>
      <c r="OGK4" s="325"/>
      <c r="OGL4" s="325"/>
      <c r="OGM4" s="325"/>
      <c r="OGN4" s="325"/>
      <c r="OGO4" s="325"/>
      <c r="OGP4" s="325"/>
      <c r="OGQ4" s="325"/>
      <c r="OGR4" s="325"/>
      <c r="OGS4" s="325"/>
      <c r="OGT4" s="325"/>
      <c r="OGU4" s="325"/>
      <c r="OGV4" s="325"/>
      <c r="OGW4" s="325"/>
      <c r="OGX4" s="325"/>
      <c r="OGY4" s="325"/>
      <c r="OGZ4" s="325"/>
      <c r="OHA4" s="325"/>
      <c r="OHB4" s="325"/>
      <c r="OHC4" s="325"/>
      <c r="OHD4" s="325"/>
      <c r="OHE4" s="325"/>
      <c r="OHF4" s="325"/>
      <c r="OHG4" s="325"/>
      <c r="OHH4" s="325"/>
      <c r="OHI4" s="325"/>
      <c r="OHJ4" s="325"/>
      <c r="OHK4" s="325"/>
      <c r="OHL4" s="325"/>
      <c r="OHM4" s="325"/>
      <c r="OHN4" s="325"/>
      <c r="OHO4" s="325"/>
      <c r="OHP4" s="325"/>
      <c r="OHQ4" s="325"/>
      <c r="OHR4" s="325"/>
      <c r="OHS4" s="325"/>
      <c r="OHT4" s="325"/>
      <c r="OHU4" s="325"/>
      <c r="OHV4" s="325"/>
      <c r="OHW4" s="325"/>
      <c r="OHX4" s="325"/>
      <c r="OHY4" s="325"/>
      <c r="OHZ4" s="325"/>
      <c r="OIA4" s="325"/>
      <c r="OIB4" s="325"/>
      <c r="OIC4" s="325"/>
      <c r="OID4" s="325"/>
      <c r="OIE4" s="325"/>
      <c r="OIF4" s="325"/>
      <c r="OIG4" s="325"/>
      <c r="OIH4" s="325"/>
      <c r="OII4" s="325"/>
      <c r="OIJ4" s="325"/>
      <c r="OIK4" s="325"/>
      <c r="OIL4" s="325"/>
      <c r="OIM4" s="325"/>
      <c r="OIN4" s="325"/>
      <c r="OIO4" s="325"/>
      <c r="OIP4" s="325"/>
      <c r="OIQ4" s="325"/>
      <c r="OIR4" s="325"/>
      <c r="OIS4" s="325"/>
      <c r="OIT4" s="325"/>
      <c r="OIU4" s="325"/>
      <c r="OIV4" s="325"/>
      <c r="OIW4" s="325"/>
      <c r="OIX4" s="325"/>
      <c r="OIY4" s="325"/>
      <c r="OIZ4" s="325"/>
      <c r="OJA4" s="325"/>
      <c r="OJB4" s="325"/>
      <c r="OJC4" s="325"/>
      <c r="OJD4" s="325"/>
      <c r="OJE4" s="325"/>
      <c r="OJF4" s="325"/>
      <c r="OJG4" s="325"/>
      <c r="OJH4" s="325"/>
      <c r="OJI4" s="325"/>
      <c r="OJJ4" s="325"/>
      <c r="OJK4" s="325"/>
      <c r="OJL4" s="325"/>
      <c r="OJM4" s="325"/>
      <c r="OJN4" s="325"/>
      <c r="OJO4" s="325"/>
      <c r="OJP4" s="325"/>
      <c r="OJQ4" s="325"/>
      <c r="OJR4" s="325"/>
      <c r="OJS4" s="325"/>
      <c r="OJT4" s="325"/>
      <c r="OJU4" s="325"/>
      <c r="OJV4" s="325"/>
      <c r="OJW4" s="325"/>
      <c r="OJX4" s="325"/>
      <c r="OJY4" s="325"/>
      <c r="OJZ4" s="325"/>
      <c r="OKA4" s="325"/>
      <c r="OKB4" s="325"/>
      <c r="OKC4" s="325"/>
      <c r="OKD4" s="325"/>
      <c r="OKE4" s="325"/>
      <c r="OKF4" s="325"/>
      <c r="OKG4" s="325"/>
      <c r="OKH4" s="325"/>
      <c r="OKI4" s="325"/>
      <c r="OKJ4" s="325"/>
      <c r="OKK4" s="325"/>
      <c r="OKL4" s="325"/>
      <c r="OKM4" s="325"/>
      <c r="OKN4" s="325"/>
      <c r="OKO4" s="325"/>
      <c r="OKP4" s="325"/>
      <c r="OKQ4" s="325"/>
      <c r="OKR4" s="325"/>
      <c r="OKS4" s="325"/>
      <c r="OKT4" s="325"/>
      <c r="OKU4" s="325"/>
      <c r="OKV4" s="325"/>
      <c r="OKW4" s="325"/>
      <c r="OKX4" s="325"/>
      <c r="OKY4" s="325"/>
      <c r="OKZ4" s="325"/>
      <c r="OLA4" s="325"/>
      <c r="OLB4" s="325"/>
      <c r="OLC4" s="325"/>
      <c r="OLD4" s="325"/>
      <c r="OLE4" s="325"/>
      <c r="OLF4" s="325"/>
      <c r="OLG4" s="325"/>
      <c r="OLH4" s="325"/>
      <c r="OLI4" s="325"/>
      <c r="OLJ4" s="325"/>
      <c r="OLK4" s="325"/>
      <c r="OLL4" s="325"/>
      <c r="OLM4" s="325"/>
      <c r="OLN4" s="325"/>
      <c r="OLO4" s="325"/>
      <c r="OLP4" s="325"/>
      <c r="OLQ4" s="325"/>
      <c r="OLR4" s="325"/>
      <c r="OLS4" s="325"/>
      <c r="OLT4" s="325"/>
      <c r="OLU4" s="325"/>
      <c r="OLV4" s="325"/>
      <c r="OLW4" s="325"/>
      <c r="OLX4" s="325"/>
      <c r="OLY4" s="325"/>
      <c r="OLZ4" s="325"/>
      <c r="OMA4" s="325"/>
      <c r="OMB4" s="325"/>
      <c r="OMC4" s="325"/>
      <c r="OMD4" s="325"/>
      <c r="OME4" s="325"/>
      <c r="OMF4" s="325"/>
      <c r="OMG4" s="325"/>
      <c r="OMH4" s="325"/>
      <c r="OMI4" s="325"/>
      <c r="OMJ4" s="325"/>
      <c r="OMK4" s="325"/>
      <c r="OML4" s="325"/>
      <c r="OMM4" s="325"/>
      <c r="OMN4" s="325"/>
      <c r="OMO4" s="325"/>
      <c r="OMP4" s="325"/>
      <c r="OMQ4" s="325"/>
      <c r="OMR4" s="325"/>
      <c r="OMS4" s="325"/>
      <c r="OMT4" s="325"/>
      <c r="OMU4" s="325"/>
      <c r="OMV4" s="325"/>
      <c r="OMW4" s="325"/>
      <c r="OMX4" s="325"/>
      <c r="OMY4" s="325"/>
      <c r="OMZ4" s="325"/>
      <c r="ONA4" s="325"/>
      <c r="ONB4" s="325"/>
      <c r="ONC4" s="325"/>
      <c r="OND4" s="325"/>
      <c r="ONE4" s="325"/>
      <c r="ONF4" s="325"/>
      <c r="ONG4" s="325"/>
      <c r="ONH4" s="325"/>
      <c r="ONI4" s="325"/>
      <c r="ONJ4" s="325"/>
      <c r="ONK4" s="325"/>
      <c r="ONL4" s="325"/>
      <c r="ONM4" s="325"/>
      <c r="ONN4" s="325"/>
      <c r="ONO4" s="325"/>
      <c r="ONP4" s="325"/>
      <c r="ONQ4" s="325"/>
      <c r="ONR4" s="325"/>
      <c r="ONS4" s="325"/>
      <c r="ONT4" s="325"/>
      <c r="ONU4" s="325"/>
      <c r="ONV4" s="325"/>
      <c r="ONW4" s="325"/>
      <c r="ONX4" s="325"/>
      <c r="ONY4" s="325"/>
      <c r="ONZ4" s="325"/>
      <c r="OOA4" s="325"/>
      <c r="OOB4" s="325"/>
      <c r="OOC4" s="325"/>
      <c r="OOD4" s="325"/>
      <c r="OOE4" s="325"/>
      <c r="OOF4" s="325"/>
      <c r="OOG4" s="325"/>
      <c r="OOH4" s="325"/>
      <c r="OOI4" s="325"/>
      <c r="OOJ4" s="325"/>
      <c r="OOK4" s="325"/>
      <c r="OOL4" s="325"/>
      <c r="OOM4" s="325"/>
      <c r="OON4" s="325"/>
      <c r="OOO4" s="325"/>
      <c r="OOP4" s="325"/>
      <c r="OOQ4" s="325"/>
      <c r="OOR4" s="325"/>
      <c r="OOS4" s="325"/>
      <c r="OOT4" s="325"/>
      <c r="OOU4" s="325"/>
      <c r="OOV4" s="325"/>
      <c r="OOW4" s="325"/>
      <c r="OOX4" s="325"/>
      <c r="OOY4" s="325"/>
      <c r="OOZ4" s="325"/>
      <c r="OPA4" s="325"/>
      <c r="OPB4" s="325"/>
      <c r="OPC4" s="325"/>
      <c r="OPD4" s="325"/>
      <c r="OPE4" s="325"/>
      <c r="OPF4" s="325"/>
      <c r="OPG4" s="325"/>
      <c r="OPH4" s="325"/>
      <c r="OPI4" s="325"/>
      <c r="OPJ4" s="325"/>
      <c r="OPK4" s="325"/>
      <c r="OPL4" s="325"/>
      <c r="OPM4" s="325"/>
      <c r="OPN4" s="325"/>
      <c r="OPO4" s="325"/>
      <c r="OPP4" s="325"/>
      <c r="OPQ4" s="325"/>
      <c r="OPR4" s="325"/>
      <c r="OPS4" s="325"/>
      <c r="OPT4" s="325"/>
      <c r="OPU4" s="325"/>
      <c r="OPV4" s="325"/>
      <c r="OPW4" s="325"/>
      <c r="OPX4" s="325"/>
      <c r="OPY4" s="325"/>
      <c r="OPZ4" s="325"/>
      <c r="OQA4" s="325"/>
      <c r="OQB4" s="325"/>
      <c r="OQC4" s="325"/>
      <c r="OQD4" s="325"/>
      <c r="OQE4" s="325"/>
      <c r="OQF4" s="325"/>
      <c r="OQG4" s="325"/>
      <c r="OQH4" s="325"/>
      <c r="OQI4" s="325"/>
      <c r="OQJ4" s="325"/>
      <c r="OQK4" s="325"/>
      <c r="OQL4" s="325"/>
      <c r="OQM4" s="325"/>
      <c r="OQN4" s="325"/>
      <c r="OQO4" s="325"/>
      <c r="OQP4" s="325"/>
      <c r="OQQ4" s="325"/>
      <c r="OQR4" s="325"/>
      <c r="OQS4" s="325"/>
      <c r="OQT4" s="325"/>
      <c r="OQU4" s="325"/>
      <c r="OQV4" s="325"/>
      <c r="OQW4" s="325"/>
      <c r="OQX4" s="325"/>
      <c r="OQY4" s="325"/>
      <c r="OQZ4" s="325"/>
      <c r="ORA4" s="325"/>
      <c r="ORB4" s="325"/>
      <c r="ORC4" s="325"/>
      <c r="ORD4" s="325"/>
      <c r="ORE4" s="325"/>
      <c r="ORF4" s="325"/>
      <c r="ORG4" s="325"/>
      <c r="ORH4" s="325"/>
      <c r="ORI4" s="325"/>
      <c r="ORJ4" s="325"/>
      <c r="ORK4" s="325"/>
      <c r="ORL4" s="325"/>
      <c r="ORM4" s="325"/>
      <c r="ORN4" s="325"/>
      <c r="ORO4" s="325"/>
      <c r="ORP4" s="325"/>
      <c r="ORQ4" s="325"/>
      <c r="ORR4" s="325"/>
      <c r="ORS4" s="325"/>
      <c r="ORT4" s="325"/>
      <c r="ORU4" s="325"/>
      <c r="ORV4" s="325"/>
      <c r="ORW4" s="325"/>
      <c r="ORX4" s="325"/>
      <c r="ORY4" s="325"/>
      <c r="ORZ4" s="325"/>
      <c r="OSA4" s="325"/>
      <c r="OSB4" s="325"/>
      <c r="OSC4" s="325"/>
      <c r="OSD4" s="325"/>
      <c r="OSE4" s="325"/>
      <c r="OSF4" s="325"/>
      <c r="OSG4" s="325"/>
      <c r="OSH4" s="325"/>
      <c r="OSI4" s="325"/>
      <c r="OSJ4" s="325"/>
      <c r="OSK4" s="325"/>
      <c r="OSL4" s="325"/>
      <c r="OSM4" s="325"/>
      <c r="OSN4" s="325"/>
      <c r="OSO4" s="325"/>
      <c r="OSP4" s="325"/>
      <c r="OSQ4" s="325"/>
      <c r="OSR4" s="325"/>
      <c r="OSS4" s="325"/>
      <c r="OST4" s="325"/>
      <c r="OSU4" s="325"/>
      <c r="OSV4" s="325"/>
      <c r="OSW4" s="325"/>
      <c r="OSX4" s="325"/>
      <c r="OSY4" s="325"/>
      <c r="OSZ4" s="325"/>
      <c r="OTA4" s="325"/>
      <c r="OTB4" s="325"/>
      <c r="OTC4" s="325"/>
      <c r="OTD4" s="325"/>
      <c r="OTE4" s="325"/>
      <c r="OTF4" s="325"/>
      <c r="OTG4" s="325"/>
      <c r="OTH4" s="325"/>
      <c r="OTI4" s="325"/>
      <c r="OTJ4" s="325"/>
      <c r="OTK4" s="325"/>
      <c r="OTL4" s="325"/>
      <c r="OTM4" s="325"/>
      <c r="OTN4" s="325"/>
      <c r="OTO4" s="325"/>
      <c r="OTP4" s="325"/>
      <c r="OTQ4" s="325"/>
      <c r="OTR4" s="325"/>
      <c r="OTS4" s="325"/>
      <c r="OTT4" s="325"/>
      <c r="OTU4" s="325"/>
      <c r="OTV4" s="325"/>
      <c r="OTW4" s="325"/>
      <c r="OTX4" s="325"/>
      <c r="OTY4" s="325"/>
      <c r="OTZ4" s="325"/>
      <c r="OUA4" s="325"/>
      <c r="OUB4" s="325"/>
      <c r="OUC4" s="325"/>
      <c r="OUD4" s="325"/>
      <c r="OUE4" s="325"/>
      <c r="OUF4" s="325"/>
      <c r="OUG4" s="325"/>
      <c r="OUH4" s="325"/>
      <c r="OUI4" s="325"/>
      <c r="OUJ4" s="325"/>
      <c r="OUK4" s="325"/>
      <c r="OUL4" s="325"/>
      <c r="OUM4" s="325"/>
      <c r="OUN4" s="325"/>
      <c r="OUO4" s="325"/>
      <c r="OUP4" s="325"/>
      <c r="OUQ4" s="325"/>
      <c r="OUR4" s="325"/>
      <c r="OUS4" s="325"/>
      <c r="OUT4" s="325"/>
      <c r="OUU4" s="325"/>
      <c r="OUV4" s="325"/>
      <c r="OUW4" s="325"/>
      <c r="OUX4" s="325"/>
      <c r="OUY4" s="325"/>
      <c r="OUZ4" s="325"/>
      <c r="OVA4" s="325"/>
      <c r="OVB4" s="325"/>
      <c r="OVC4" s="325"/>
      <c r="OVD4" s="325"/>
      <c r="OVE4" s="325"/>
      <c r="OVF4" s="325"/>
      <c r="OVG4" s="325"/>
      <c r="OVH4" s="325"/>
      <c r="OVI4" s="325"/>
      <c r="OVJ4" s="325"/>
      <c r="OVK4" s="325"/>
      <c r="OVL4" s="325"/>
      <c r="OVM4" s="325"/>
      <c r="OVN4" s="325"/>
      <c r="OVO4" s="325"/>
      <c r="OVP4" s="325"/>
      <c r="OVQ4" s="325"/>
      <c r="OVR4" s="325"/>
      <c r="OVS4" s="325"/>
      <c r="OVT4" s="325"/>
      <c r="OVU4" s="325"/>
      <c r="OVV4" s="325"/>
      <c r="OVW4" s="325"/>
      <c r="OVX4" s="325"/>
      <c r="OVY4" s="325"/>
      <c r="OVZ4" s="325"/>
      <c r="OWA4" s="325"/>
      <c r="OWB4" s="325"/>
      <c r="OWC4" s="325"/>
      <c r="OWD4" s="325"/>
      <c r="OWE4" s="325"/>
      <c r="OWF4" s="325"/>
      <c r="OWG4" s="325"/>
      <c r="OWH4" s="325"/>
      <c r="OWI4" s="325"/>
      <c r="OWJ4" s="325"/>
      <c r="OWK4" s="325"/>
      <c r="OWL4" s="325"/>
      <c r="OWM4" s="325"/>
      <c r="OWN4" s="325"/>
      <c r="OWO4" s="325"/>
      <c r="OWP4" s="325"/>
      <c r="OWQ4" s="325"/>
      <c r="OWR4" s="325"/>
      <c r="OWS4" s="325"/>
      <c r="OWT4" s="325"/>
      <c r="OWU4" s="325"/>
      <c r="OWV4" s="325"/>
      <c r="OWW4" s="325"/>
      <c r="OWX4" s="325"/>
      <c r="OWY4" s="325"/>
      <c r="OWZ4" s="325"/>
      <c r="OXA4" s="325"/>
      <c r="OXB4" s="325"/>
      <c r="OXC4" s="325"/>
      <c r="OXD4" s="325"/>
      <c r="OXE4" s="325"/>
      <c r="OXF4" s="325"/>
      <c r="OXG4" s="325"/>
      <c r="OXH4" s="325"/>
      <c r="OXI4" s="325"/>
      <c r="OXJ4" s="325"/>
      <c r="OXK4" s="325"/>
      <c r="OXL4" s="325"/>
      <c r="OXM4" s="325"/>
      <c r="OXN4" s="325"/>
      <c r="OXO4" s="325"/>
      <c r="OXP4" s="325"/>
      <c r="OXQ4" s="325"/>
      <c r="OXR4" s="325"/>
      <c r="OXS4" s="325"/>
      <c r="OXT4" s="325"/>
      <c r="OXU4" s="325"/>
      <c r="OXV4" s="325"/>
      <c r="OXW4" s="325"/>
      <c r="OXX4" s="325"/>
      <c r="OXY4" s="325"/>
      <c r="OXZ4" s="325"/>
      <c r="OYA4" s="325"/>
      <c r="OYB4" s="325"/>
      <c r="OYC4" s="325"/>
      <c r="OYD4" s="325"/>
      <c r="OYE4" s="325"/>
      <c r="OYF4" s="325"/>
      <c r="OYG4" s="325"/>
      <c r="OYH4" s="325"/>
      <c r="OYI4" s="325"/>
      <c r="OYJ4" s="325"/>
      <c r="OYK4" s="325"/>
      <c r="OYL4" s="325"/>
      <c r="OYM4" s="325"/>
      <c r="OYN4" s="325"/>
      <c r="OYO4" s="325"/>
      <c r="OYP4" s="325"/>
      <c r="OYQ4" s="325"/>
      <c r="OYR4" s="325"/>
      <c r="OYS4" s="325"/>
      <c r="OYT4" s="325"/>
      <c r="OYU4" s="325"/>
      <c r="OYV4" s="325"/>
      <c r="OYW4" s="325"/>
      <c r="OYX4" s="325"/>
      <c r="OYY4" s="325"/>
      <c r="OYZ4" s="325"/>
      <c r="OZA4" s="325"/>
      <c r="OZB4" s="325"/>
      <c r="OZC4" s="325"/>
      <c r="OZD4" s="325"/>
      <c r="OZE4" s="325"/>
      <c r="OZF4" s="325"/>
      <c r="OZG4" s="325"/>
      <c r="OZH4" s="325"/>
      <c r="OZI4" s="325"/>
      <c r="OZJ4" s="325"/>
      <c r="OZK4" s="325"/>
      <c r="OZL4" s="325"/>
      <c r="OZM4" s="325"/>
      <c r="OZN4" s="325"/>
      <c r="OZO4" s="325"/>
      <c r="OZP4" s="325"/>
      <c r="OZQ4" s="325"/>
      <c r="OZR4" s="325"/>
      <c r="OZS4" s="325"/>
      <c r="OZT4" s="325"/>
      <c r="OZU4" s="325"/>
      <c r="OZV4" s="325"/>
      <c r="OZW4" s="325"/>
      <c r="OZX4" s="325"/>
      <c r="OZY4" s="325"/>
      <c r="OZZ4" s="325"/>
      <c r="PAA4" s="325"/>
      <c r="PAB4" s="325"/>
      <c r="PAC4" s="325"/>
      <c r="PAD4" s="325"/>
      <c r="PAE4" s="325"/>
      <c r="PAF4" s="325"/>
      <c r="PAG4" s="325"/>
      <c r="PAH4" s="325"/>
      <c r="PAI4" s="325"/>
      <c r="PAJ4" s="325"/>
      <c r="PAK4" s="325"/>
      <c r="PAL4" s="325"/>
      <c r="PAM4" s="325"/>
      <c r="PAN4" s="325"/>
      <c r="PAO4" s="325"/>
      <c r="PAP4" s="325"/>
      <c r="PAQ4" s="325"/>
      <c r="PAR4" s="325"/>
      <c r="PAS4" s="325"/>
      <c r="PAT4" s="325"/>
      <c r="PAU4" s="325"/>
      <c r="PAV4" s="325"/>
      <c r="PAW4" s="325"/>
      <c r="PAX4" s="325"/>
      <c r="PAY4" s="325"/>
      <c r="PAZ4" s="325"/>
      <c r="PBA4" s="325"/>
      <c r="PBB4" s="325"/>
      <c r="PBC4" s="325"/>
      <c r="PBD4" s="325"/>
      <c r="PBE4" s="325"/>
      <c r="PBF4" s="325"/>
      <c r="PBG4" s="325"/>
      <c r="PBH4" s="325"/>
      <c r="PBI4" s="325"/>
      <c r="PBJ4" s="325"/>
      <c r="PBK4" s="325"/>
      <c r="PBL4" s="325"/>
      <c r="PBM4" s="325"/>
      <c r="PBN4" s="325"/>
      <c r="PBO4" s="325"/>
      <c r="PBP4" s="325"/>
      <c r="PBQ4" s="325"/>
      <c r="PBR4" s="325"/>
      <c r="PBS4" s="325"/>
      <c r="PBT4" s="325"/>
      <c r="PBU4" s="325"/>
      <c r="PBV4" s="325"/>
      <c r="PBW4" s="325"/>
      <c r="PBX4" s="325"/>
      <c r="PBY4" s="325"/>
      <c r="PBZ4" s="325"/>
      <c r="PCA4" s="325"/>
      <c r="PCB4" s="325"/>
      <c r="PCC4" s="325"/>
      <c r="PCD4" s="325"/>
      <c r="PCE4" s="325"/>
      <c r="PCF4" s="325"/>
      <c r="PCG4" s="325"/>
      <c r="PCH4" s="325"/>
      <c r="PCI4" s="325"/>
      <c r="PCJ4" s="325"/>
      <c r="PCK4" s="325"/>
      <c r="PCL4" s="325"/>
      <c r="PCM4" s="325"/>
      <c r="PCN4" s="325"/>
      <c r="PCO4" s="325"/>
      <c r="PCP4" s="325"/>
      <c r="PCQ4" s="325"/>
      <c r="PCR4" s="325"/>
      <c r="PCS4" s="325"/>
      <c r="PCT4" s="325"/>
      <c r="PCU4" s="325"/>
      <c r="PCV4" s="325"/>
      <c r="PCW4" s="325"/>
      <c r="PCX4" s="325"/>
      <c r="PCY4" s="325"/>
      <c r="PCZ4" s="325"/>
      <c r="PDA4" s="325"/>
      <c r="PDB4" s="325"/>
      <c r="PDC4" s="325"/>
      <c r="PDD4" s="325"/>
      <c r="PDE4" s="325"/>
      <c r="PDF4" s="325"/>
      <c r="PDG4" s="325"/>
      <c r="PDH4" s="325"/>
      <c r="PDI4" s="325"/>
      <c r="PDJ4" s="325"/>
      <c r="PDK4" s="325"/>
      <c r="PDL4" s="325"/>
      <c r="PDM4" s="325"/>
      <c r="PDN4" s="325"/>
      <c r="PDO4" s="325"/>
      <c r="PDP4" s="325"/>
      <c r="PDQ4" s="325"/>
      <c r="PDR4" s="325"/>
      <c r="PDS4" s="325"/>
      <c r="PDT4" s="325"/>
      <c r="PDU4" s="325"/>
      <c r="PDV4" s="325"/>
      <c r="PDW4" s="325"/>
      <c r="PDX4" s="325"/>
      <c r="PDY4" s="325"/>
      <c r="PDZ4" s="325"/>
      <c r="PEA4" s="325"/>
      <c r="PEB4" s="325"/>
      <c r="PEC4" s="325"/>
      <c r="PED4" s="325"/>
      <c r="PEE4" s="325"/>
      <c r="PEF4" s="325"/>
      <c r="PEG4" s="325"/>
      <c r="PEH4" s="325"/>
      <c r="PEI4" s="325"/>
      <c r="PEJ4" s="325"/>
      <c r="PEK4" s="325"/>
      <c r="PEL4" s="325"/>
      <c r="PEM4" s="325"/>
      <c r="PEN4" s="325"/>
      <c r="PEO4" s="325"/>
      <c r="PEP4" s="325"/>
      <c r="PEQ4" s="325"/>
      <c r="PER4" s="325"/>
      <c r="PES4" s="325"/>
      <c r="PET4" s="325"/>
      <c r="PEU4" s="325"/>
      <c r="PEV4" s="325"/>
      <c r="PEW4" s="325"/>
      <c r="PEX4" s="325"/>
      <c r="PEY4" s="325"/>
      <c r="PEZ4" s="325"/>
      <c r="PFA4" s="325"/>
      <c r="PFB4" s="325"/>
      <c r="PFC4" s="325"/>
      <c r="PFD4" s="325"/>
      <c r="PFE4" s="325"/>
      <c r="PFF4" s="325"/>
      <c r="PFG4" s="325"/>
      <c r="PFH4" s="325"/>
      <c r="PFI4" s="325"/>
      <c r="PFJ4" s="325"/>
      <c r="PFK4" s="325"/>
      <c r="PFL4" s="325"/>
      <c r="PFM4" s="325"/>
      <c r="PFN4" s="325"/>
      <c r="PFO4" s="325"/>
      <c r="PFP4" s="325"/>
      <c r="PFQ4" s="325"/>
      <c r="PFR4" s="325"/>
      <c r="PFS4" s="325"/>
      <c r="PFT4" s="325"/>
      <c r="PFU4" s="325"/>
      <c r="PFV4" s="325"/>
      <c r="PFW4" s="325"/>
      <c r="PFX4" s="325"/>
      <c r="PFY4" s="325"/>
      <c r="PFZ4" s="325"/>
      <c r="PGA4" s="325"/>
      <c r="PGB4" s="325"/>
      <c r="PGC4" s="325"/>
      <c r="PGD4" s="325"/>
      <c r="PGE4" s="325"/>
      <c r="PGF4" s="325"/>
      <c r="PGG4" s="325"/>
      <c r="PGH4" s="325"/>
      <c r="PGI4" s="325"/>
      <c r="PGJ4" s="325"/>
      <c r="PGK4" s="325"/>
      <c r="PGL4" s="325"/>
      <c r="PGM4" s="325"/>
      <c r="PGN4" s="325"/>
      <c r="PGO4" s="325"/>
      <c r="PGP4" s="325"/>
      <c r="PGQ4" s="325"/>
      <c r="PGR4" s="325"/>
      <c r="PGS4" s="325"/>
      <c r="PGT4" s="325"/>
      <c r="PGU4" s="325"/>
      <c r="PGV4" s="325"/>
      <c r="PGW4" s="325"/>
      <c r="PGX4" s="325"/>
      <c r="PGY4" s="325"/>
      <c r="PGZ4" s="325"/>
      <c r="PHA4" s="325"/>
      <c r="PHB4" s="325"/>
      <c r="PHC4" s="325"/>
      <c r="PHD4" s="325"/>
      <c r="PHE4" s="325"/>
      <c r="PHF4" s="325"/>
      <c r="PHG4" s="325"/>
      <c r="PHH4" s="325"/>
      <c r="PHI4" s="325"/>
      <c r="PHJ4" s="325"/>
      <c r="PHK4" s="325"/>
      <c r="PHL4" s="325"/>
      <c r="PHM4" s="325"/>
      <c r="PHN4" s="325"/>
      <c r="PHO4" s="325"/>
      <c r="PHP4" s="325"/>
      <c r="PHQ4" s="325"/>
      <c r="PHR4" s="325"/>
      <c r="PHS4" s="325"/>
      <c r="PHT4" s="325"/>
      <c r="PHU4" s="325"/>
      <c r="PHV4" s="325"/>
      <c r="PHW4" s="325"/>
      <c r="PHX4" s="325"/>
      <c r="PHY4" s="325"/>
      <c r="PHZ4" s="325"/>
      <c r="PIA4" s="325"/>
      <c r="PIB4" s="325"/>
      <c r="PIC4" s="325"/>
      <c r="PID4" s="325"/>
      <c r="PIE4" s="325"/>
      <c r="PIF4" s="325"/>
      <c r="PIG4" s="325"/>
      <c r="PIH4" s="325"/>
      <c r="PII4" s="325"/>
      <c r="PIJ4" s="325"/>
      <c r="PIK4" s="325"/>
      <c r="PIL4" s="325"/>
      <c r="PIM4" s="325"/>
      <c r="PIN4" s="325"/>
      <c r="PIO4" s="325"/>
      <c r="PIP4" s="325"/>
      <c r="PIQ4" s="325"/>
      <c r="PIR4" s="325"/>
      <c r="PIS4" s="325"/>
      <c r="PIT4" s="325"/>
      <c r="PIU4" s="325"/>
      <c r="PIV4" s="325"/>
      <c r="PIW4" s="325"/>
      <c r="PIX4" s="325"/>
      <c r="PIY4" s="325"/>
      <c r="PIZ4" s="325"/>
      <c r="PJA4" s="325"/>
      <c r="PJB4" s="325"/>
      <c r="PJC4" s="325"/>
      <c r="PJD4" s="325"/>
      <c r="PJE4" s="325"/>
      <c r="PJF4" s="325"/>
      <c r="PJG4" s="325"/>
      <c r="PJH4" s="325"/>
      <c r="PJI4" s="325"/>
      <c r="PJJ4" s="325"/>
      <c r="PJK4" s="325"/>
      <c r="PJL4" s="325"/>
      <c r="PJM4" s="325"/>
      <c r="PJN4" s="325"/>
      <c r="PJO4" s="325"/>
      <c r="PJP4" s="325"/>
      <c r="PJQ4" s="325"/>
      <c r="PJR4" s="325"/>
      <c r="PJS4" s="325"/>
      <c r="PJT4" s="325"/>
      <c r="PJU4" s="325"/>
      <c r="PJV4" s="325"/>
      <c r="PJW4" s="325"/>
      <c r="PJX4" s="325"/>
      <c r="PJY4" s="325"/>
      <c r="PJZ4" s="325"/>
      <c r="PKA4" s="325"/>
      <c r="PKB4" s="325"/>
      <c r="PKC4" s="325"/>
      <c r="PKD4" s="325"/>
      <c r="PKE4" s="325"/>
      <c r="PKF4" s="325"/>
      <c r="PKG4" s="325"/>
      <c r="PKH4" s="325"/>
      <c r="PKI4" s="325"/>
      <c r="PKJ4" s="325"/>
      <c r="PKK4" s="325"/>
      <c r="PKL4" s="325"/>
      <c r="PKM4" s="325"/>
      <c r="PKN4" s="325"/>
      <c r="PKO4" s="325"/>
      <c r="PKP4" s="325"/>
      <c r="PKQ4" s="325"/>
      <c r="PKR4" s="325"/>
      <c r="PKS4" s="325"/>
      <c r="PKT4" s="325"/>
      <c r="PKU4" s="325"/>
      <c r="PKV4" s="325"/>
      <c r="PKW4" s="325"/>
      <c r="PKX4" s="325"/>
      <c r="PKY4" s="325"/>
      <c r="PKZ4" s="325"/>
      <c r="PLA4" s="325"/>
      <c r="PLB4" s="325"/>
      <c r="PLC4" s="325"/>
      <c r="PLD4" s="325"/>
      <c r="PLE4" s="325"/>
      <c r="PLF4" s="325"/>
      <c r="PLG4" s="325"/>
      <c r="PLH4" s="325"/>
      <c r="PLI4" s="325"/>
      <c r="PLJ4" s="325"/>
      <c r="PLK4" s="325"/>
      <c r="PLL4" s="325"/>
      <c r="PLM4" s="325"/>
      <c r="PLN4" s="325"/>
      <c r="PLO4" s="325"/>
      <c r="PLP4" s="325"/>
      <c r="PLQ4" s="325"/>
      <c r="PLR4" s="325"/>
      <c r="PLS4" s="325"/>
      <c r="PLT4" s="325"/>
      <c r="PLU4" s="325"/>
      <c r="PLV4" s="325"/>
      <c r="PLW4" s="325"/>
      <c r="PLX4" s="325"/>
      <c r="PLY4" s="325"/>
      <c r="PLZ4" s="325"/>
      <c r="PMA4" s="325"/>
      <c r="PMB4" s="325"/>
      <c r="PMC4" s="325"/>
      <c r="PMD4" s="325"/>
      <c r="PME4" s="325"/>
      <c r="PMF4" s="325"/>
      <c r="PMG4" s="325"/>
      <c r="PMH4" s="325"/>
      <c r="PMI4" s="325"/>
      <c r="PMJ4" s="325"/>
      <c r="PMK4" s="325"/>
      <c r="PML4" s="325"/>
      <c r="PMM4" s="325"/>
      <c r="PMN4" s="325"/>
      <c r="PMO4" s="325"/>
      <c r="PMP4" s="325"/>
      <c r="PMQ4" s="325"/>
      <c r="PMR4" s="325"/>
      <c r="PMS4" s="325"/>
      <c r="PMT4" s="325"/>
      <c r="PMU4" s="325"/>
      <c r="PMV4" s="325"/>
      <c r="PMW4" s="325"/>
      <c r="PMX4" s="325"/>
      <c r="PMY4" s="325"/>
      <c r="PMZ4" s="325"/>
      <c r="PNA4" s="325"/>
      <c r="PNB4" s="325"/>
      <c r="PNC4" s="325"/>
      <c r="PND4" s="325"/>
      <c r="PNE4" s="325"/>
      <c r="PNF4" s="325"/>
      <c r="PNG4" s="325"/>
      <c r="PNH4" s="325"/>
      <c r="PNI4" s="325"/>
      <c r="PNJ4" s="325"/>
      <c r="PNK4" s="325"/>
      <c r="PNL4" s="325"/>
      <c r="PNM4" s="325"/>
      <c r="PNN4" s="325"/>
      <c r="PNO4" s="325"/>
      <c r="PNP4" s="325"/>
      <c r="PNQ4" s="325"/>
      <c r="PNR4" s="325"/>
      <c r="PNS4" s="325"/>
      <c r="PNT4" s="325"/>
      <c r="PNU4" s="325"/>
      <c r="PNV4" s="325"/>
      <c r="PNW4" s="325"/>
      <c r="PNX4" s="325"/>
      <c r="PNY4" s="325"/>
      <c r="PNZ4" s="325"/>
      <c r="POA4" s="325"/>
      <c r="POB4" s="325"/>
      <c r="POC4" s="325"/>
      <c r="POD4" s="325"/>
      <c r="POE4" s="325"/>
      <c r="POF4" s="325"/>
      <c r="POG4" s="325"/>
      <c r="POH4" s="325"/>
      <c r="POI4" s="325"/>
      <c r="POJ4" s="325"/>
      <c r="POK4" s="325"/>
      <c r="POL4" s="325"/>
      <c r="POM4" s="325"/>
      <c r="PON4" s="325"/>
      <c r="POO4" s="325"/>
      <c r="POP4" s="325"/>
      <c r="POQ4" s="325"/>
      <c r="POR4" s="325"/>
      <c r="POS4" s="325"/>
      <c r="POT4" s="325"/>
      <c r="POU4" s="325"/>
      <c r="POV4" s="325"/>
      <c r="POW4" s="325"/>
      <c r="POX4" s="325"/>
      <c r="POY4" s="325"/>
      <c r="POZ4" s="325"/>
      <c r="PPA4" s="325"/>
      <c r="PPB4" s="325"/>
      <c r="PPC4" s="325"/>
      <c r="PPD4" s="325"/>
      <c r="PPE4" s="325"/>
      <c r="PPF4" s="325"/>
      <c r="PPG4" s="325"/>
      <c r="PPH4" s="325"/>
      <c r="PPI4" s="325"/>
      <c r="PPJ4" s="325"/>
      <c r="PPK4" s="325"/>
      <c r="PPL4" s="325"/>
      <c r="PPM4" s="325"/>
      <c r="PPN4" s="325"/>
      <c r="PPO4" s="325"/>
      <c r="PPP4" s="325"/>
      <c r="PPQ4" s="325"/>
      <c r="PPR4" s="325"/>
      <c r="PPS4" s="325"/>
      <c r="PPT4" s="325"/>
      <c r="PPU4" s="325"/>
      <c r="PPV4" s="325"/>
      <c r="PPW4" s="325"/>
      <c r="PPX4" s="325"/>
      <c r="PPY4" s="325"/>
      <c r="PPZ4" s="325"/>
      <c r="PQA4" s="325"/>
      <c r="PQB4" s="325"/>
      <c r="PQC4" s="325"/>
      <c r="PQD4" s="325"/>
      <c r="PQE4" s="325"/>
      <c r="PQF4" s="325"/>
      <c r="PQG4" s="325"/>
      <c r="PQH4" s="325"/>
      <c r="PQI4" s="325"/>
      <c r="PQJ4" s="325"/>
      <c r="PQK4" s="325"/>
      <c r="PQL4" s="325"/>
      <c r="PQM4" s="325"/>
      <c r="PQN4" s="325"/>
      <c r="PQO4" s="325"/>
      <c r="PQP4" s="325"/>
      <c r="PQQ4" s="325"/>
      <c r="PQR4" s="325"/>
      <c r="PQS4" s="325"/>
      <c r="PQT4" s="325"/>
      <c r="PQU4" s="325"/>
      <c r="PQV4" s="325"/>
      <c r="PQW4" s="325"/>
      <c r="PQX4" s="325"/>
      <c r="PQY4" s="325"/>
      <c r="PQZ4" s="325"/>
      <c r="PRA4" s="325"/>
      <c r="PRB4" s="325"/>
      <c r="PRC4" s="325"/>
      <c r="PRD4" s="325"/>
      <c r="PRE4" s="325"/>
      <c r="PRF4" s="325"/>
      <c r="PRG4" s="325"/>
      <c r="PRH4" s="325"/>
      <c r="PRI4" s="325"/>
      <c r="PRJ4" s="325"/>
      <c r="PRK4" s="325"/>
      <c r="PRL4" s="325"/>
      <c r="PRM4" s="325"/>
      <c r="PRN4" s="325"/>
      <c r="PRO4" s="325"/>
      <c r="PRP4" s="325"/>
      <c r="PRQ4" s="325"/>
      <c r="PRR4" s="325"/>
      <c r="PRS4" s="325"/>
      <c r="PRT4" s="325"/>
      <c r="PRU4" s="325"/>
      <c r="PRV4" s="325"/>
      <c r="PRW4" s="325"/>
      <c r="PRX4" s="325"/>
      <c r="PRY4" s="325"/>
      <c r="PRZ4" s="325"/>
      <c r="PSA4" s="325"/>
      <c r="PSB4" s="325"/>
      <c r="PSC4" s="325"/>
      <c r="PSD4" s="325"/>
      <c r="PSE4" s="325"/>
      <c r="PSF4" s="325"/>
      <c r="PSG4" s="325"/>
      <c r="PSH4" s="325"/>
      <c r="PSI4" s="325"/>
      <c r="PSJ4" s="325"/>
      <c r="PSK4" s="325"/>
      <c r="PSL4" s="325"/>
      <c r="PSM4" s="325"/>
      <c r="PSN4" s="325"/>
      <c r="PSO4" s="325"/>
      <c r="PSP4" s="325"/>
      <c r="PSQ4" s="325"/>
      <c r="PSR4" s="325"/>
      <c r="PSS4" s="325"/>
      <c r="PST4" s="325"/>
      <c r="PSU4" s="325"/>
      <c r="PSV4" s="325"/>
      <c r="PSW4" s="325"/>
      <c r="PSX4" s="325"/>
      <c r="PSY4" s="325"/>
      <c r="PSZ4" s="325"/>
      <c r="PTA4" s="325"/>
      <c r="PTB4" s="325"/>
      <c r="PTC4" s="325"/>
      <c r="PTD4" s="325"/>
      <c r="PTE4" s="325"/>
      <c r="PTF4" s="325"/>
      <c r="PTG4" s="325"/>
      <c r="PTH4" s="325"/>
      <c r="PTI4" s="325"/>
      <c r="PTJ4" s="325"/>
      <c r="PTK4" s="325"/>
      <c r="PTL4" s="325"/>
      <c r="PTM4" s="325"/>
      <c r="PTN4" s="325"/>
      <c r="PTO4" s="325"/>
      <c r="PTP4" s="325"/>
      <c r="PTQ4" s="325"/>
      <c r="PTR4" s="325"/>
      <c r="PTS4" s="325"/>
      <c r="PTT4" s="325"/>
      <c r="PTU4" s="325"/>
      <c r="PTV4" s="325"/>
      <c r="PTW4" s="325"/>
      <c r="PTX4" s="325"/>
      <c r="PTY4" s="325"/>
      <c r="PTZ4" s="325"/>
      <c r="PUA4" s="325"/>
      <c r="PUB4" s="325"/>
      <c r="PUC4" s="325"/>
      <c r="PUD4" s="325"/>
      <c r="PUE4" s="325"/>
      <c r="PUF4" s="325"/>
      <c r="PUG4" s="325"/>
      <c r="PUH4" s="325"/>
      <c r="PUI4" s="325"/>
      <c r="PUJ4" s="325"/>
      <c r="PUK4" s="325"/>
      <c r="PUL4" s="325"/>
      <c r="PUM4" s="325"/>
      <c r="PUN4" s="325"/>
      <c r="PUO4" s="325"/>
      <c r="PUP4" s="325"/>
      <c r="PUQ4" s="325"/>
      <c r="PUR4" s="325"/>
      <c r="PUS4" s="325"/>
      <c r="PUT4" s="325"/>
      <c r="PUU4" s="325"/>
      <c r="PUV4" s="325"/>
      <c r="PUW4" s="325"/>
      <c r="PUX4" s="325"/>
      <c r="PUY4" s="325"/>
      <c r="PUZ4" s="325"/>
      <c r="PVA4" s="325"/>
      <c r="PVB4" s="325"/>
      <c r="PVC4" s="325"/>
      <c r="PVD4" s="325"/>
      <c r="PVE4" s="325"/>
      <c r="PVF4" s="325"/>
      <c r="PVG4" s="325"/>
      <c r="PVH4" s="325"/>
      <c r="PVI4" s="325"/>
      <c r="PVJ4" s="325"/>
      <c r="PVK4" s="325"/>
      <c r="PVL4" s="325"/>
      <c r="PVM4" s="325"/>
      <c r="PVN4" s="325"/>
      <c r="PVO4" s="325"/>
      <c r="PVP4" s="325"/>
      <c r="PVQ4" s="325"/>
      <c r="PVR4" s="325"/>
      <c r="PVS4" s="325"/>
      <c r="PVT4" s="325"/>
      <c r="PVU4" s="325"/>
      <c r="PVV4" s="325"/>
      <c r="PVW4" s="325"/>
      <c r="PVX4" s="325"/>
      <c r="PVY4" s="325"/>
      <c r="PVZ4" s="325"/>
      <c r="PWA4" s="325"/>
      <c r="PWB4" s="325"/>
      <c r="PWC4" s="325"/>
      <c r="PWD4" s="325"/>
      <c r="PWE4" s="325"/>
      <c r="PWF4" s="325"/>
      <c r="PWG4" s="325"/>
      <c r="PWH4" s="325"/>
      <c r="PWI4" s="325"/>
      <c r="PWJ4" s="325"/>
      <c r="PWK4" s="325"/>
      <c r="PWL4" s="325"/>
      <c r="PWM4" s="325"/>
      <c r="PWN4" s="325"/>
      <c r="PWO4" s="325"/>
      <c r="PWP4" s="325"/>
      <c r="PWQ4" s="325"/>
      <c r="PWR4" s="325"/>
      <c r="PWS4" s="325"/>
      <c r="PWT4" s="325"/>
      <c r="PWU4" s="325"/>
      <c r="PWV4" s="325"/>
      <c r="PWW4" s="325"/>
      <c r="PWX4" s="325"/>
      <c r="PWY4" s="325"/>
      <c r="PWZ4" s="325"/>
      <c r="PXA4" s="325"/>
      <c r="PXB4" s="325"/>
      <c r="PXC4" s="325"/>
      <c r="PXD4" s="325"/>
      <c r="PXE4" s="325"/>
      <c r="PXF4" s="325"/>
      <c r="PXG4" s="325"/>
      <c r="PXH4" s="325"/>
      <c r="PXI4" s="325"/>
      <c r="PXJ4" s="325"/>
      <c r="PXK4" s="325"/>
      <c r="PXL4" s="325"/>
      <c r="PXM4" s="325"/>
      <c r="PXN4" s="325"/>
      <c r="PXO4" s="325"/>
      <c r="PXP4" s="325"/>
      <c r="PXQ4" s="325"/>
      <c r="PXR4" s="325"/>
      <c r="PXS4" s="325"/>
      <c r="PXT4" s="325"/>
      <c r="PXU4" s="325"/>
      <c r="PXV4" s="325"/>
      <c r="PXW4" s="325"/>
      <c r="PXX4" s="325"/>
      <c r="PXY4" s="325"/>
      <c r="PXZ4" s="325"/>
      <c r="PYA4" s="325"/>
      <c r="PYB4" s="325"/>
      <c r="PYC4" s="325"/>
      <c r="PYD4" s="325"/>
      <c r="PYE4" s="325"/>
      <c r="PYF4" s="325"/>
      <c r="PYG4" s="325"/>
      <c r="PYH4" s="325"/>
      <c r="PYI4" s="325"/>
      <c r="PYJ4" s="325"/>
      <c r="PYK4" s="325"/>
      <c r="PYL4" s="325"/>
      <c r="PYM4" s="325"/>
      <c r="PYN4" s="325"/>
      <c r="PYO4" s="325"/>
      <c r="PYP4" s="325"/>
      <c r="PYQ4" s="325"/>
      <c r="PYR4" s="325"/>
      <c r="PYS4" s="325"/>
      <c r="PYT4" s="325"/>
      <c r="PYU4" s="325"/>
      <c r="PYV4" s="325"/>
      <c r="PYW4" s="325"/>
      <c r="PYX4" s="325"/>
      <c r="PYY4" s="325"/>
      <c r="PYZ4" s="325"/>
      <c r="PZA4" s="325"/>
      <c r="PZB4" s="325"/>
      <c r="PZC4" s="325"/>
      <c r="PZD4" s="325"/>
      <c r="PZE4" s="325"/>
      <c r="PZF4" s="325"/>
      <c r="PZG4" s="325"/>
      <c r="PZH4" s="325"/>
      <c r="PZI4" s="325"/>
      <c r="PZJ4" s="325"/>
      <c r="PZK4" s="325"/>
      <c r="PZL4" s="325"/>
      <c r="PZM4" s="325"/>
      <c r="PZN4" s="325"/>
      <c r="PZO4" s="325"/>
      <c r="PZP4" s="325"/>
      <c r="PZQ4" s="325"/>
      <c r="PZR4" s="325"/>
      <c r="PZS4" s="325"/>
      <c r="PZT4" s="325"/>
      <c r="PZU4" s="325"/>
      <c r="PZV4" s="325"/>
      <c r="PZW4" s="325"/>
      <c r="PZX4" s="325"/>
      <c r="PZY4" s="325"/>
      <c r="PZZ4" s="325"/>
      <c r="QAA4" s="325"/>
      <c r="QAB4" s="325"/>
      <c r="QAC4" s="325"/>
      <c r="QAD4" s="325"/>
      <c r="QAE4" s="325"/>
      <c r="QAF4" s="325"/>
      <c r="QAG4" s="325"/>
      <c r="QAH4" s="325"/>
      <c r="QAI4" s="325"/>
      <c r="QAJ4" s="325"/>
      <c r="QAK4" s="325"/>
      <c r="QAL4" s="325"/>
      <c r="QAM4" s="325"/>
      <c r="QAN4" s="325"/>
      <c r="QAO4" s="325"/>
      <c r="QAP4" s="325"/>
      <c r="QAQ4" s="325"/>
      <c r="QAR4" s="325"/>
      <c r="QAS4" s="325"/>
      <c r="QAT4" s="325"/>
      <c r="QAU4" s="325"/>
      <c r="QAV4" s="325"/>
      <c r="QAW4" s="325"/>
      <c r="QAX4" s="325"/>
      <c r="QAY4" s="325"/>
      <c r="QAZ4" s="325"/>
      <c r="QBA4" s="325"/>
      <c r="QBB4" s="325"/>
      <c r="QBC4" s="325"/>
      <c r="QBD4" s="325"/>
      <c r="QBE4" s="325"/>
      <c r="QBF4" s="325"/>
      <c r="QBG4" s="325"/>
      <c r="QBH4" s="325"/>
      <c r="QBI4" s="325"/>
      <c r="QBJ4" s="325"/>
      <c r="QBK4" s="325"/>
      <c r="QBL4" s="325"/>
      <c r="QBM4" s="325"/>
      <c r="QBN4" s="325"/>
      <c r="QBO4" s="325"/>
      <c r="QBP4" s="325"/>
      <c r="QBQ4" s="325"/>
      <c r="QBR4" s="325"/>
      <c r="QBS4" s="325"/>
      <c r="QBT4" s="325"/>
      <c r="QBU4" s="325"/>
      <c r="QBV4" s="325"/>
      <c r="QBW4" s="325"/>
      <c r="QBX4" s="325"/>
      <c r="QBY4" s="325"/>
      <c r="QBZ4" s="325"/>
      <c r="QCA4" s="325"/>
      <c r="QCB4" s="325"/>
      <c r="QCC4" s="325"/>
      <c r="QCD4" s="325"/>
      <c r="QCE4" s="325"/>
      <c r="QCF4" s="325"/>
      <c r="QCG4" s="325"/>
      <c r="QCH4" s="325"/>
      <c r="QCI4" s="325"/>
      <c r="QCJ4" s="325"/>
      <c r="QCK4" s="325"/>
      <c r="QCL4" s="325"/>
      <c r="QCM4" s="325"/>
      <c r="QCN4" s="325"/>
      <c r="QCO4" s="325"/>
      <c r="QCP4" s="325"/>
      <c r="QCQ4" s="325"/>
      <c r="QCR4" s="325"/>
      <c r="QCS4" s="325"/>
      <c r="QCT4" s="325"/>
      <c r="QCU4" s="325"/>
      <c r="QCV4" s="325"/>
      <c r="QCW4" s="325"/>
      <c r="QCX4" s="325"/>
      <c r="QCY4" s="325"/>
      <c r="QCZ4" s="325"/>
      <c r="QDA4" s="325"/>
      <c r="QDB4" s="325"/>
      <c r="QDC4" s="325"/>
      <c r="QDD4" s="325"/>
      <c r="QDE4" s="325"/>
      <c r="QDF4" s="325"/>
      <c r="QDG4" s="325"/>
      <c r="QDH4" s="325"/>
      <c r="QDI4" s="325"/>
      <c r="QDJ4" s="325"/>
      <c r="QDK4" s="325"/>
      <c r="QDL4" s="325"/>
      <c r="QDM4" s="325"/>
      <c r="QDN4" s="325"/>
      <c r="QDO4" s="325"/>
      <c r="QDP4" s="325"/>
      <c r="QDQ4" s="325"/>
      <c r="QDR4" s="325"/>
      <c r="QDS4" s="325"/>
      <c r="QDT4" s="325"/>
      <c r="QDU4" s="325"/>
      <c r="QDV4" s="325"/>
      <c r="QDW4" s="325"/>
      <c r="QDX4" s="325"/>
      <c r="QDY4" s="325"/>
      <c r="QDZ4" s="325"/>
      <c r="QEA4" s="325"/>
      <c r="QEB4" s="325"/>
      <c r="QEC4" s="325"/>
      <c r="QED4" s="325"/>
      <c r="QEE4" s="325"/>
      <c r="QEF4" s="325"/>
      <c r="QEG4" s="325"/>
      <c r="QEH4" s="325"/>
      <c r="QEI4" s="325"/>
      <c r="QEJ4" s="325"/>
      <c r="QEK4" s="325"/>
      <c r="QEL4" s="325"/>
      <c r="QEM4" s="325"/>
      <c r="QEN4" s="325"/>
      <c r="QEO4" s="325"/>
      <c r="QEP4" s="325"/>
      <c r="QEQ4" s="325"/>
      <c r="QER4" s="325"/>
      <c r="QES4" s="325"/>
      <c r="QET4" s="325"/>
      <c r="QEU4" s="325"/>
      <c r="QEV4" s="325"/>
      <c r="QEW4" s="325"/>
      <c r="QEX4" s="325"/>
      <c r="QEY4" s="325"/>
      <c r="QEZ4" s="325"/>
      <c r="QFA4" s="325"/>
      <c r="QFB4" s="325"/>
      <c r="QFC4" s="325"/>
      <c r="QFD4" s="325"/>
      <c r="QFE4" s="325"/>
      <c r="QFF4" s="325"/>
      <c r="QFG4" s="325"/>
      <c r="QFH4" s="325"/>
      <c r="QFI4" s="325"/>
      <c r="QFJ4" s="325"/>
      <c r="QFK4" s="325"/>
      <c r="QFL4" s="325"/>
      <c r="QFM4" s="325"/>
      <c r="QFN4" s="325"/>
      <c r="QFO4" s="325"/>
      <c r="QFP4" s="325"/>
      <c r="QFQ4" s="325"/>
      <c r="QFR4" s="325"/>
      <c r="QFS4" s="325"/>
      <c r="QFT4" s="325"/>
      <c r="QFU4" s="325"/>
      <c r="QFV4" s="325"/>
      <c r="QFW4" s="325"/>
      <c r="QFX4" s="325"/>
      <c r="QFY4" s="325"/>
      <c r="QFZ4" s="325"/>
      <c r="QGA4" s="325"/>
      <c r="QGB4" s="325"/>
      <c r="QGC4" s="325"/>
      <c r="QGD4" s="325"/>
      <c r="QGE4" s="325"/>
      <c r="QGF4" s="325"/>
      <c r="QGG4" s="325"/>
      <c r="QGH4" s="325"/>
      <c r="QGI4" s="325"/>
      <c r="QGJ4" s="325"/>
      <c r="QGK4" s="325"/>
      <c r="QGL4" s="325"/>
      <c r="QGM4" s="325"/>
      <c r="QGN4" s="325"/>
      <c r="QGO4" s="325"/>
      <c r="QGP4" s="325"/>
      <c r="QGQ4" s="325"/>
      <c r="QGR4" s="325"/>
      <c r="QGS4" s="325"/>
      <c r="QGT4" s="325"/>
      <c r="QGU4" s="325"/>
      <c r="QGV4" s="325"/>
      <c r="QGW4" s="325"/>
      <c r="QGX4" s="325"/>
      <c r="QGY4" s="325"/>
      <c r="QGZ4" s="325"/>
      <c r="QHA4" s="325"/>
      <c r="QHB4" s="325"/>
      <c r="QHC4" s="325"/>
      <c r="QHD4" s="325"/>
      <c r="QHE4" s="325"/>
      <c r="QHF4" s="325"/>
      <c r="QHG4" s="325"/>
      <c r="QHH4" s="325"/>
      <c r="QHI4" s="325"/>
      <c r="QHJ4" s="325"/>
      <c r="QHK4" s="325"/>
      <c r="QHL4" s="325"/>
      <c r="QHM4" s="325"/>
      <c r="QHN4" s="325"/>
      <c r="QHO4" s="325"/>
      <c r="QHP4" s="325"/>
      <c r="QHQ4" s="325"/>
      <c r="QHR4" s="325"/>
      <c r="QHS4" s="325"/>
      <c r="QHT4" s="325"/>
      <c r="QHU4" s="325"/>
      <c r="QHV4" s="325"/>
      <c r="QHW4" s="325"/>
      <c r="QHX4" s="325"/>
      <c r="QHY4" s="325"/>
      <c r="QHZ4" s="325"/>
      <c r="QIA4" s="325"/>
      <c r="QIB4" s="325"/>
      <c r="QIC4" s="325"/>
      <c r="QID4" s="325"/>
      <c r="QIE4" s="325"/>
      <c r="QIF4" s="325"/>
      <c r="QIG4" s="325"/>
      <c r="QIH4" s="325"/>
      <c r="QII4" s="325"/>
      <c r="QIJ4" s="325"/>
      <c r="QIK4" s="325"/>
      <c r="QIL4" s="325"/>
      <c r="QIM4" s="325"/>
      <c r="QIN4" s="325"/>
      <c r="QIO4" s="325"/>
      <c r="QIP4" s="325"/>
      <c r="QIQ4" s="325"/>
      <c r="QIR4" s="325"/>
      <c r="QIS4" s="325"/>
      <c r="QIT4" s="325"/>
      <c r="QIU4" s="325"/>
      <c r="QIV4" s="325"/>
      <c r="QIW4" s="325"/>
      <c r="QIX4" s="325"/>
      <c r="QIY4" s="325"/>
      <c r="QIZ4" s="325"/>
      <c r="QJA4" s="325"/>
      <c r="QJB4" s="325"/>
      <c r="QJC4" s="325"/>
      <c r="QJD4" s="325"/>
      <c r="QJE4" s="325"/>
      <c r="QJF4" s="325"/>
      <c r="QJG4" s="325"/>
      <c r="QJH4" s="325"/>
      <c r="QJI4" s="325"/>
      <c r="QJJ4" s="325"/>
      <c r="QJK4" s="325"/>
      <c r="QJL4" s="325"/>
      <c r="QJM4" s="325"/>
      <c r="QJN4" s="325"/>
      <c r="QJO4" s="325"/>
      <c r="QJP4" s="325"/>
      <c r="QJQ4" s="325"/>
      <c r="QJR4" s="325"/>
      <c r="QJS4" s="325"/>
      <c r="QJT4" s="325"/>
      <c r="QJU4" s="325"/>
      <c r="QJV4" s="325"/>
      <c r="QJW4" s="325"/>
      <c r="QJX4" s="325"/>
      <c r="QJY4" s="325"/>
      <c r="QJZ4" s="325"/>
      <c r="QKA4" s="325"/>
      <c r="QKB4" s="325"/>
      <c r="QKC4" s="325"/>
      <c r="QKD4" s="325"/>
      <c r="QKE4" s="325"/>
      <c r="QKF4" s="325"/>
      <c r="QKG4" s="325"/>
      <c r="QKH4" s="325"/>
      <c r="QKI4" s="325"/>
      <c r="QKJ4" s="325"/>
      <c r="QKK4" s="325"/>
      <c r="QKL4" s="325"/>
      <c r="QKM4" s="325"/>
      <c r="QKN4" s="325"/>
      <c r="QKO4" s="325"/>
      <c r="QKP4" s="325"/>
      <c r="QKQ4" s="325"/>
      <c r="QKR4" s="325"/>
      <c r="QKS4" s="325"/>
      <c r="QKT4" s="325"/>
      <c r="QKU4" s="325"/>
      <c r="QKV4" s="325"/>
      <c r="QKW4" s="325"/>
      <c r="QKX4" s="325"/>
      <c r="QKY4" s="325"/>
      <c r="QKZ4" s="325"/>
      <c r="QLA4" s="325"/>
      <c r="QLB4" s="325"/>
      <c r="QLC4" s="325"/>
      <c r="QLD4" s="325"/>
      <c r="QLE4" s="325"/>
      <c r="QLF4" s="325"/>
      <c r="QLG4" s="325"/>
      <c r="QLH4" s="325"/>
      <c r="QLI4" s="325"/>
      <c r="QLJ4" s="325"/>
      <c r="QLK4" s="325"/>
      <c r="QLL4" s="325"/>
      <c r="QLM4" s="325"/>
      <c r="QLN4" s="325"/>
      <c r="QLO4" s="325"/>
      <c r="QLP4" s="325"/>
      <c r="QLQ4" s="325"/>
      <c r="QLR4" s="325"/>
      <c r="QLS4" s="325"/>
      <c r="QLT4" s="325"/>
      <c r="QLU4" s="325"/>
      <c r="QLV4" s="325"/>
      <c r="QLW4" s="325"/>
      <c r="QLX4" s="325"/>
      <c r="QLY4" s="325"/>
      <c r="QLZ4" s="325"/>
      <c r="QMA4" s="325"/>
      <c r="QMB4" s="325"/>
      <c r="QMC4" s="325"/>
      <c r="QMD4" s="325"/>
      <c r="QME4" s="325"/>
      <c r="QMF4" s="325"/>
      <c r="QMG4" s="325"/>
      <c r="QMH4" s="325"/>
      <c r="QMI4" s="325"/>
      <c r="QMJ4" s="325"/>
      <c r="QMK4" s="325"/>
      <c r="QML4" s="325"/>
      <c r="QMM4" s="325"/>
      <c r="QMN4" s="325"/>
      <c r="QMO4" s="325"/>
      <c r="QMP4" s="325"/>
      <c r="QMQ4" s="325"/>
      <c r="QMR4" s="325"/>
      <c r="QMS4" s="325"/>
      <c r="QMT4" s="325"/>
      <c r="QMU4" s="325"/>
      <c r="QMV4" s="325"/>
      <c r="QMW4" s="325"/>
      <c r="QMX4" s="325"/>
      <c r="QMY4" s="325"/>
      <c r="QMZ4" s="325"/>
      <c r="QNA4" s="325"/>
      <c r="QNB4" s="325"/>
      <c r="QNC4" s="325"/>
      <c r="QND4" s="325"/>
      <c r="QNE4" s="325"/>
      <c r="QNF4" s="325"/>
      <c r="QNG4" s="325"/>
      <c r="QNH4" s="325"/>
      <c r="QNI4" s="325"/>
      <c r="QNJ4" s="325"/>
      <c r="QNK4" s="325"/>
      <c r="QNL4" s="325"/>
      <c r="QNM4" s="325"/>
      <c r="QNN4" s="325"/>
      <c r="QNO4" s="325"/>
      <c r="QNP4" s="325"/>
      <c r="QNQ4" s="325"/>
      <c r="QNR4" s="325"/>
      <c r="QNS4" s="325"/>
      <c r="QNT4" s="325"/>
      <c r="QNU4" s="325"/>
      <c r="QNV4" s="325"/>
      <c r="QNW4" s="325"/>
      <c r="QNX4" s="325"/>
      <c r="QNY4" s="325"/>
      <c r="QNZ4" s="325"/>
      <c r="QOA4" s="325"/>
      <c r="QOB4" s="325"/>
      <c r="QOC4" s="325"/>
      <c r="QOD4" s="325"/>
      <c r="QOE4" s="325"/>
      <c r="QOF4" s="325"/>
      <c r="QOG4" s="325"/>
      <c r="QOH4" s="325"/>
      <c r="QOI4" s="325"/>
      <c r="QOJ4" s="325"/>
      <c r="QOK4" s="325"/>
      <c r="QOL4" s="325"/>
      <c r="QOM4" s="325"/>
      <c r="QON4" s="325"/>
      <c r="QOO4" s="325"/>
      <c r="QOP4" s="325"/>
      <c r="QOQ4" s="325"/>
      <c r="QOR4" s="325"/>
      <c r="QOS4" s="325"/>
      <c r="QOT4" s="325"/>
      <c r="QOU4" s="325"/>
      <c r="QOV4" s="325"/>
      <c r="QOW4" s="325"/>
      <c r="QOX4" s="325"/>
      <c r="QOY4" s="325"/>
      <c r="QOZ4" s="325"/>
      <c r="QPA4" s="325"/>
      <c r="QPB4" s="325"/>
      <c r="QPC4" s="325"/>
      <c r="QPD4" s="325"/>
      <c r="QPE4" s="325"/>
      <c r="QPF4" s="325"/>
      <c r="QPG4" s="325"/>
      <c r="QPH4" s="325"/>
      <c r="QPI4" s="325"/>
      <c r="QPJ4" s="325"/>
      <c r="QPK4" s="325"/>
      <c r="QPL4" s="325"/>
      <c r="QPM4" s="325"/>
      <c r="QPN4" s="325"/>
      <c r="QPO4" s="325"/>
      <c r="QPP4" s="325"/>
      <c r="QPQ4" s="325"/>
      <c r="QPR4" s="325"/>
      <c r="QPS4" s="325"/>
      <c r="QPT4" s="325"/>
      <c r="QPU4" s="325"/>
      <c r="QPV4" s="325"/>
      <c r="QPW4" s="325"/>
      <c r="QPX4" s="325"/>
      <c r="QPY4" s="325"/>
      <c r="QPZ4" s="325"/>
      <c r="QQA4" s="325"/>
      <c r="QQB4" s="325"/>
      <c r="QQC4" s="325"/>
      <c r="QQD4" s="325"/>
      <c r="QQE4" s="325"/>
      <c r="QQF4" s="325"/>
      <c r="QQG4" s="325"/>
      <c r="QQH4" s="325"/>
      <c r="QQI4" s="325"/>
      <c r="QQJ4" s="325"/>
      <c r="QQK4" s="325"/>
      <c r="QQL4" s="325"/>
      <c r="QQM4" s="325"/>
      <c r="QQN4" s="325"/>
      <c r="QQO4" s="325"/>
      <c r="QQP4" s="325"/>
      <c r="QQQ4" s="325"/>
      <c r="QQR4" s="325"/>
      <c r="QQS4" s="325"/>
      <c r="QQT4" s="325"/>
      <c r="QQU4" s="325"/>
      <c r="QQV4" s="325"/>
      <c r="QQW4" s="325"/>
      <c r="QQX4" s="325"/>
      <c r="QQY4" s="325"/>
      <c r="QQZ4" s="325"/>
      <c r="QRA4" s="325"/>
      <c r="QRB4" s="325"/>
      <c r="QRC4" s="325"/>
      <c r="QRD4" s="325"/>
      <c r="QRE4" s="325"/>
      <c r="QRF4" s="325"/>
      <c r="QRG4" s="325"/>
      <c r="QRH4" s="325"/>
      <c r="QRI4" s="325"/>
      <c r="QRJ4" s="325"/>
      <c r="QRK4" s="325"/>
      <c r="QRL4" s="325"/>
      <c r="QRM4" s="325"/>
      <c r="QRN4" s="325"/>
      <c r="QRO4" s="325"/>
      <c r="QRP4" s="325"/>
      <c r="QRQ4" s="325"/>
      <c r="QRR4" s="325"/>
      <c r="QRS4" s="325"/>
      <c r="QRT4" s="325"/>
      <c r="QRU4" s="325"/>
      <c r="QRV4" s="325"/>
      <c r="QRW4" s="325"/>
      <c r="QRX4" s="325"/>
      <c r="QRY4" s="325"/>
      <c r="QRZ4" s="325"/>
      <c r="QSA4" s="325"/>
      <c r="QSB4" s="325"/>
      <c r="QSC4" s="325"/>
      <c r="QSD4" s="325"/>
      <c r="QSE4" s="325"/>
      <c r="QSF4" s="325"/>
      <c r="QSG4" s="325"/>
      <c r="QSH4" s="325"/>
      <c r="QSI4" s="325"/>
      <c r="QSJ4" s="325"/>
      <c r="QSK4" s="325"/>
      <c r="QSL4" s="325"/>
      <c r="QSM4" s="325"/>
      <c r="QSN4" s="325"/>
      <c r="QSO4" s="325"/>
      <c r="QSP4" s="325"/>
      <c r="QSQ4" s="325"/>
      <c r="QSR4" s="325"/>
      <c r="QSS4" s="325"/>
      <c r="QST4" s="325"/>
      <c r="QSU4" s="325"/>
      <c r="QSV4" s="325"/>
      <c r="QSW4" s="325"/>
      <c r="QSX4" s="325"/>
      <c r="QSY4" s="325"/>
      <c r="QSZ4" s="325"/>
      <c r="QTA4" s="325"/>
      <c r="QTB4" s="325"/>
      <c r="QTC4" s="325"/>
      <c r="QTD4" s="325"/>
      <c r="QTE4" s="325"/>
      <c r="QTF4" s="325"/>
      <c r="QTG4" s="325"/>
      <c r="QTH4" s="325"/>
      <c r="QTI4" s="325"/>
      <c r="QTJ4" s="325"/>
      <c r="QTK4" s="325"/>
      <c r="QTL4" s="325"/>
      <c r="QTM4" s="325"/>
      <c r="QTN4" s="325"/>
      <c r="QTO4" s="325"/>
      <c r="QTP4" s="325"/>
      <c r="QTQ4" s="325"/>
      <c r="QTR4" s="325"/>
      <c r="QTS4" s="325"/>
      <c r="QTT4" s="325"/>
      <c r="QTU4" s="325"/>
      <c r="QTV4" s="325"/>
      <c r="QTW4" s="325"/>
      <c r="QTX4" s="325"/>
      <c r="QTY4" s="325"/>
      <c r="QTZ4" s="325"/>
      <c r="QUA4" s="325"/>
      <c r="QUB4" s="325"/>
      <c r="QUC4" s="325"/>
      <c r="QUD4" s="325"/>
      <c r="QUE4" s="325"/>
      <c r="QUF4" s="325"/>
      <c r="QUG4" s="325"/>
      <c r="QUH4" s="325"/>
      <c r="QUI4" s="325"/>
      <c r="QUJ4" s="325"/>
      <c r="QUK4" s="325"/>
      <c r="QUL4" s="325"/>
      <c r="QUM4" s="325"/>
      <c r="QUN4" s="325"/>
      <c r="QUO4" s="325"/>
      <c r="QUP4" s="325"/>
      <c r="QUQ4" s="325"/>
      <c r="QUR4" s="325"/>
      <c r="QUS4" s="325"/>
      <c r="QUT4" s="325"/>
      <c r="QUU4" s="325"/>
      <c r="QUV4" s="325"/>
      <c r="QUW4" s="325"/>
      <c r="QUX4" s="325"/>
      <c r="QUY4" s="325"/>
      <c r="QUZ4" s="325"/>
      <c r="QVA4" s="325"/>
      <c r="QVB4" s="325"/>
      <c r="QVC4" s="325"/>
      <c r="QVD4" s="325"/>
      <c r="QVE4" s="325"/>
      <c r="QVF4" s="325"/>
      <c r="QVG4" s="325"/>
      <c r="QVH4" s="325"/>
      <c r="QVI4" s="325"/>
      <c r="QVJ4" s="325"/>
      <c r="QVK4" s="325"/>
      <c r="QVL4" s="325"/>
      <c r="QVM4" s="325"/>
      <c r="QVN4" s="325"/>
      <c r="QVO4" s="325"/>
      <c r="QVP4" s="325"/>
      <c r="QVQ4" s="325"/>
      <c r="QVR4" s="325"/>
      <c r="QVS4" s="325"/>
      <c r="QVT4" s="325"/>
      <c r="QVU4" s="325"/>
      <c r="QVV4" s="325"/>
      <c r="QVW4" s="325"/>
      <c r="QVX4" s="325"/>
      <c r="QVY4" s="325"/>
      <c r="QVZ4" s="325"/>
      <c r="QWA4" s="325"/>
      <c r="QWB4" s="325"/>
      <c r="QWC4" s="325"/>
      <c r="QWD4" s="325"/>
      <c r="QWE4" s="325"/>
      <c r="QWF4" s="325"/>
      <c r="QWG4" s="325"/>
      <c r="QWH4" s="325"/>
      <c r="QWI4" s="325"/>
      <c r="QWJ4" s="325"/>
      <c r="QWK4" s="325"/>
      <c r="QWL4" s="325"/>
      <c r="QWM4" s="325"/>
      <c r="QWN4" s="325"/>
      <c r="QWO4" s="325"/>
      <c r="QWP4" s="325"/>
      <c r="QWQ4" s="325"/>
      <c r="QWR4" s="325"/>
      <c r="QWS4" s="325"/>
      <c r="QWT4" s="325"/>
      <c r="QWU4" s="325"/>
      <c r="QWV4" s="325"/>
      <c r="QWW4" s="325"/>
      <c r="QWX4" s="325"/>
      <c r="QWY4" s="325"/>
      <c r="QWZ4" s="325"/>
      <c r="QXA4" s="325"/>
      <c r="QXB4" s="325"/>
      <c r="QXC4" s="325"/>
      <c r="QXD4" s="325"/>
      <c r="QXE4" s="325"/>
      <c r="QXF4" s="325"/>
      <c r="QXG4" s="325"/>
      <c r="QXH4" s="325"/>
      <c r="QXI4" s="325"/>
      <c r="QXJ4" s="325"/>
      <c r="QXK4" s="325"/>
      <c r="QXL4" s="325"/>
      <c r="QXM4" s="325"/>
      <c r="QXN4" s="325"/>
      <c r="QXO4" s="325"/>
      <c r="QXP4" s="325"/>
      <c r="QXQ4" s="325"/>
      <c r="QXR4" s="325"/>
      <c r="QXS4" s="325"/>
      <c r="QXT4" s="325"/>
      <c r="QXU4" s="325"/>
      <c r="QXV4" s="325"/>
      <c r="QXW4" s="325"/>
      <c r="QXX4" s="325"/>
      <c r="QXY4" s="325"/>
      <c r="QXZ4" s="325"/>
      <c r="QYA4" s="325"/>
      <c r="QYB4" s="325"/>
      <c r="QYC4" s="325"/>
      <c r="QYD4" s="325"/>
      <c r="QYE4" s="325"/>
      <c r="QYF4" s="325"/>
      <c r="QYG4" s="325"/>
      <c r="QYH4" s="325"/>
      <c r="QYI4" s="325"/>
      <c r="QYJ4" s="325"/>
      <c r="QYK4" s="325"/>
      <c r="QYL4" s="325"/>
      <c r="QYM4" s="325"/>
      <c r="QYN4" s="325"/>
      <c r="QYO4" s="325"/>
      <c r="QYP4" s="325"/>
      <c r="QYQ4" s="325"/>
      <c r="QYR4" s="325"/>
      <c r="QYS4" s="325"/>
      <c r="QYT4" s="325"/>
      <c r="QYU4" s="325"/>
      <c r="QYV4" s="325"/>
      <c r="QYW4" s="325"/>
      <c r="QYX4" s="325"/>
      <c r="QYY4" s="325"/>
      <c r="QYZ4" s="325"/>
      <c r="QZA4" s="325"/>
      <c r="QZB4" s="325"/>
      <c r="QZC4" s="325"/>
      <c r="QZD4" s="325"/>
      <c r="QZE4" s="325"/>
      <c r="QZF4" s="325"/>
      <c r="QZG4" s="325"/>
      <c r="QZH4" s="325"/>
      <c r="QZI4" s="325"/>
      <c r="QZJ4" s="325"/>
      <c r="QZK4" s="325"/>
      <c r="QZL4" s="325"/>
      <c r="QZM4" s="325"/>
      <c r="QZN4" s="325"/>
      <c r="QZO4" s="325"/>
      <c r="QZP4" s="325"/>
      <c r="QZQ4" s="325"/>
      <c r="QZR4" s="325"/>
      <c r="QZS4" s="325"/>
      <c r="QZT4" s="325"/>
      <c r="QZU4" s="325"/>
      <c r="QZV4" s="325"/>
      <c r="QZW4" s="325"/>
      <c r="QZX4" s="325"/>
      <c r="QZY4" s="325"/>
      <c r="QZZ4" s="325"/>
      <c r="RAA4" s="325"/>
      <c r="RAB4" s="325"/>
      <c r="RAC4" s="325"/>
      <c r="RAD4" s="325"/>
      <c r="RAE4" s="325"/>
      <c r="RAF4" s="325"/>
      <c r="RAG4" s="325"/>
      <c r="RAH4" s="325"/>
      <c r="RAI4" s="325"/>
      <c r="RAJ4" s="325"/>
      <c r="RAK4" s="325"/>
      <c r="RAL4" s="325"/>
      <c r="RAM4" s="325"/>
      <c r="RAN4" s="325"/>
      <c r="RAO4" s="325"/>
      <c r="RAP4" s="325"/>
      <c r="RAQ4" s="325"/>
      <c r="RAR4" s="325"/>
      <c r="RAS4" s="325"/>
      <c r="RAT4" s="325"/>
      <c r="RAU4" s="325"/>
      <c r="RAV4" s="325"/>
      <c r="RAW4" s="325"/>
      <c r="RAX4" s="325"/>
      <c r="RAY4" s="325"/>
      <c r="RAZ4" s="325"/>
      <c r="RBA4" s="325"/>
      <c r="RBB4" s="325"/>
      <c r="RBC4" s="325"/>
      <c r="RBD4" s="325"/>
      <c r="RBE4" s="325"/>
      <c r="RBF4" s="325"/>
      <c r="RBG4" s="325"/>
      <c r="RBH4" s="325"/>
      <c r="RBI4" s="325"/>
      <c r="RBJ4" s="325"/>
      <c r="RBK4" s="325"/>
      <c r="RBL4" s="325"/>
      <c r="RBM4" s="325"/>
      <c r="RBN4" s="325"/>
      <c r="RBO4" s="325"/>
      <c r="RBP4" s="325"/>
      <c r="RBQ4" s="325"/>
      <c r="RBR4" s="325"/>
      <c r="RBS4" s="325"/>
      <c r="RBT4" s="325"/>
      <c r="RBU4" s="325"/>
      <c r="RBV4" s="325"/>
      <c r="RBW4" s="325"/>
      <c r="RBX4" s="325"/>
      <c r="RBY4" s="325"/>
      <c r="RBZ4" s="325"/>
      <c r="RCA4" s="325"/>
      <c r="RCB4" s="325"/>
      <c r="RCC4" s="325"/>
      <c r="RCD4" s="325"/>
      <c r="RCE4" s="325"/>
      <c r="RCF4" s="325"/>
      <c r="RCG4" s="325"/>
      <c r="RCH4" s="325"/>
      <c r="RCI4" s="325"/>
      <c r="RCJ4" s="325"/>
      <c r="RCK4" s="325"/>
      <c r="RCL4" s="325"/>
      <c r="RCM4" s="325"/>
      <c r="RCN4" s="325"/>
      <c r="RCO4" s="325"/>
      <c r="RCP4" s="325"/>
      <c r="RCQ4" s="325"/>
      <c r="RCR4" s="325"/>
      <c r="RCS4" s="325"/>
      <c r="RCT4" s="325"/>
      <c r="RCU4" s="325"/>
      <c r="RCV4" s="325"/>
      <c r="RCW4" s="325"/>
      <c r="RCX4" s="325"/>
      <c r="RCY4" s="325"/>
      <c r="RCZ4" s="325"/>
      <c r="RDA4" s="325"/>
      <c r="RDB4" s="325"/>
      <c r="RDC4" s="325"/>
      <c r="RDD4" s="325"/>
      <c r="RDE4" s="325"/>
      <c r="RDF4" s="325"/>
      <c r="RDG4" s="325"/>
      <c r="RDH4" s="325"/>
      <c r="RDI4" s="325"/>
      <c r="RDJ4" s="325"/>
      <c r="RDK4" s="325"/>
      <c r="RDL4" s="325"/>
      <c r="RDM4" s="325"/>
      <c r="RDN4" s="325"/>
      <c r="RDO4" s="325"/>
      <c r="RDP4" s="325"/>
      <c r="RDQ4" s="325"/>
      <c r="RDR4" s="325"/>
      <c r="RDS4" s="325"/>
      <c r="RDT4" s="325"/>
      <c r="RDU4" s="325"/>
      <c r="RDV4" s="325"/>
      <c r="RDW4" s="325"/>
      <c r="RDX4" s="325"/>
      <c r="RDY4" s="325"/>
      <c r="RDZ4" s="325"/>
      <c r="REA4" s="325"/>
      <c r="REB4" s="325"/>
      <c r="REC4" s="325"/>
      <c r="RED4" s="325"/>
      <c r="REE4" s="325"/>
      <c r="REF4" s="325"/>
      <c r="REG4" s="325"/>
      <c r="REH4" s="325"/>
      <c r="REI4" s="325"/>
      <c r="REJ4" s="325"/>
      <c r="REK4" s="325"/>
      <c r="REL4" s="325"/>
      <c r="REM4" s="325"/>
      <c r="REN4" s="325"/>
      <c r="REO4" s="325"/>
      <c r="REP4" s="325"/>
      <c r="REQ4" s="325"/>
      <c r="RER4" s="325"/>
      <c r="RES4" s="325"/>
      <c r="RET4" s="325"/>
      <c r="REU4" s="325"/>
      <c r="REV4" s="325"/>
      <c r="REW4" s="325"/>
      <c r="REX4" s="325"/>
      <c r="REY4" s="325"/>
      <c r="REZ4" s="325"/>
      <c r="RFA4" s="325"/>
      <c r="RFB4" s="325"/>
      <c r="RFC4" s="325"/>
      <c r="RFD4" s="325"/>
      <c r="RFE4" s="325"/>
      <c r="RFF4" s="325"/>
      <c r="RFG4" s="325"/>
      <c r="RFH4" s="325"/>
      <c r="RFI4" s="325"/>
      <c r="RFJ4" s="325"/>
      <c r="RFK4" s="325"/>
      <c r="RFL4" s="325"/>
      <c r="RFM4" s="325"/>
      <c r="RFN4" s="325"/>
      <c r="RFO4" s="325"/>
      <c r="RFP4" s="325"/>
      <c r="RFQ4" s="325"/>
      <c r="RFR4" s="325"/>
      <c r="RFS4" s="325"/>
      <c r="RFT4" s="325"/>
      <c r="RFU4" s="325"/>
      <c r="RFV4" s="325"/>
      <c r="RFW4" s="325"/>
      <c r="RFX4" s="325"/>
      <c r="RFY4" s="325"/>
      <c r="RFZ4" s="325"/>
      <c r="RGA4" s="325"/>
      <c r="RGB4" s="325"/>
      <c r="RGC4" s="325"/>
      <c r="RGD4" s="325"/>
      <c r="RGE4" s="325"/>
      <c r="RGF4" s="325"/>
      <c r="RGG4" s="325"/>
      <c r="RGH4" s="325"/>
      <c r="RGI4" s="325"/>
      <c r="RGJ4" s="325"/>
      <c r="RGK4" s="325"/>
      <c r="RGL4" s="325"/>
      <c r="RGM4" s="325"/>
      <c r="RGN4" s="325"/>
      <c r="RGO4" s="325"/>
      <c r="RGP4" s="325"/>
      <c r="RGQ4" s="325"/>
      <c r="RGR4" s="325"/>
      <c r="RGS4" s="325"/>
      <c r="RGT4" s="325"/>
      <c r="RGU4" s="325"/>
      <c r="RGV4" s="325"/>
      <c r="RGW4" s="325"/>
      <c r="RGX4" s="325"/>
      <c r="RGY4" s="325"/>
      <c r="RGZ4" s="325"/>
      <c r="RHA4" s="325"/>
      <c r="RHB4" s="325"/>
      <c r="RHC4" s="325"/>
      <c r="RHD4" s="325"/>
      <c r="RHE4" s="325"/>
      <c r="RHF4" s="325"/>
      <c r="RHG4" s="325"/>
      <c r="RHH4" s="325"/>
      <c r="RHI4" s="325"/>
      <c r="RHJ4" s="325"/>
      <c r="RHK4" s="325"/>
      <c r="RHL4" s="325"/>
      <c r="RHM4" s="325"/>
      <c r="RHN4" s="325"/>
      <c r="RHO4" s="325"/>
      <c r="RHP4" s="325"/>
      <c r="RHQ4" s="325"/>
      <c r="RHR4" s="325"/>
      <c r="RHS4" s="325"/>
      <c r="RHT4" s="325"/>
      <c r="RHU4" s="325"/>
      <c r="RHV4" s="325"/>
      <c r="RHW4" s="325"/>
      <c r="RHX4" s="325"/>
      <c r="RHY4" s="325"/>
      <c r="RHZ4" s="325"/>
      <c r="RIA4" s="325"/>
      <c r="RIB4" s="325"/>
      <c r="RIC4" s="325"/>
      <c r="RID4" s="325"/>
      <c r="RIE4" s="325"/>
      <c r="RIF4" s="325"/>
      <c r="RIG4" s="325"/>
      <c r="RIH4" s="325"/>
      <c r="RII4" s="325"/>
      <c r="RIJ4" s="325"/>
      <c r="RIK4" s="325"/>
      <c r="RIL4" s="325"/>
      <c r="RIM4" s="325"/>
      <c r="RIN4" s="325"/>
      <c r="RIO4" s="325"/>
      <c r="RIP4" s="325"/>
      <c r="RIQ4" s="325"/>
      <c r="RIR4" s="325"/>
      <c r="RIS4" s="325"/>
      <c r="RIT4" s="325"/>
      <c r="RIU4" s="325"/>
      <c r="RIV4" s="325"/>
      <c r="RIW4" s="325"/>
      <c r="RIX4" s="325"/>
      <c r="RIY4" s="325"/>
      <c r="RIZ4" s="325"/>
      <c r="RJA4" s="325"/>
      <c r="RJB4" s="325"/>
      <c r="RJC4" s="325"/>
      <c r="RJD4" s="325"/>
      <c r="RJE4" s="325"/>
      <c r="RJF4" s="325"/>
      <c r="RJG4" s="325"/>
      <c r="RJH4" s="325"/>
      <c r="RJI4" s="325"/>
      <c r="RJJ4" s="325"/>
      <c r="RJK4" s="325"/>
      <c r="RJL4" s="325"/>
      <c r="RJM4" s="325"/>
      <c r="RJN4" s="325"/>
      <c r="RJO4" s="325"/>
      <c r="RJP4" s="325"/>
      <c r="RJQ4" s="325"/>
      <c r="RJR4" s="325"/>
      <c r="RJS4" s="325"/>
      <c r="RJT4" s="325"/>
      <c r="RJU4" s="325"/>
      <c r="RJV4" s="325"/>
      <c r="RJW4" s="325"/>
      <c r="RJX4" s="325"/>
      <c r="RJY4" s="325"/>
      <c r="RJZ4" s="325"/>
      <c r="RKA4" s="325"/>
      <c r="RKB4" s="325"/>
      <c r="RKC4" s="325"/>
      <c r="RKD4" s="325"/>
      <c r="RKE4" s="325"/>
      <c r="RKF4" s="325"/>
      <c r="RKG4" s="325"/>
      <c r="RKH4" s="325"/>
      <c r="RKI4" s="325"/>
      <c r="RKJ4" s="325"/>
      <c r="RKK4" s="325"/>
      <c r="RKL4" s="325"/>
      <c r="RKM4" s="325"/>
      <c r="RKN4" s="325"/>
      <c r="RKO4" s="325"/>
      <c r="RKP4" s="325"/>
      <c r="RKQ4" s="325"/>
      <c r="RKR4" s="325"/>
      <c r="RKS4" s="325"/>
      <c r="RKT4" s="325"/>
      <c r="RKU4" s="325"/>
      <c r="RKV4" s="325"/>
      <c r="RKW4" s="325"/>
      <c r="RKX4" s="325"/>
      <c r="RKY4" s="325"/>
      <c r="RKZ4" s="325"/>
      <c r="RLA4" s="325"/>
      <c r="RLB4" s="325"/>
      <c r="RLC4" s="325"/>
      <c r="RLD4" s="325"/>
      <c r="RLE4" s="325"/>
      <c r="RLF4" s="325"/>
      <c r="RLG4" s="325"/>
      <c r="RLH4" s="325"/>
      <c r="RLI4" s="325"/>
      <c r="RLJ4" s="325"/>
      <c r="RLK4" s="325"/>
      <c r="RLL4" s="325"/>
      <c r="RLM4" s="325"/>
      <c r="RLN4" s="325"/>
      <c r="RLO4" s="325"/>
      <c r="RLP4" s="325"/>
      <c r="RLQ4" s="325"/>
      <c r="RLR4" s="325"/>
      <c r="RLS4" s="325"/>
      <c r="RLT4" s="325"/>
      <c r="RLU4" s="325"/>
      <c r="RLV4" s="325"/>
      <c r="RLW4" s="325"/>
      <c r="RLX4" s="325"/>
      <c r="RLY4" s="325"/>
      <c r="RLZ4" s="325"/>
      <c r="RMA4" s="325"/>
      <c r="RMB4" s="325"/>
      <c r="RMC4" s="325"/>
      <c r="RMD4" s="325"/>
      <c r="RME4" s="325"/>
      <c r="RMF4" s="325"/>
      <c r="RMG4" s="325"/>
      <c r="RMH4" s="325"/>
      <c r="RMI4" s="325"/>
      <c r="RMJ4" s="325"/>
      <c r="RMK4" s="325"/>
      <c r="RML4" s="325"/>
      <c r="RMM4" s="325"/>
      <c r="RMN4" s="325"/>
      <c r="RMO4" s="325"/>
      <c r="RMP4" s="325"/>
      <c r="RMQ4" s="325"/>
      <c r="RMR4" s="325"/>
      <c r="RMS4" s="325"/>
      <c r="RMT4" s="325"/>
      <c r="RMU4" s="325"/>
      <c r="RMV4" s="325"/>
      <c r="RMW4" s="325"/>
      <c r="RMX4" s="325"/>
      <c r="RMY4" s="325"/>
      <c r="RMZ4" s="325"/>
      <c r="RNA4" s="325"/>
      <c r="RNB4" s="325"/>
      <c r="RNC4" s="325"/>
      <c r="RND4" s="325"/>
      <c r="RNE4" s="325"/>
      <c r="RNF4" s="325"/>
      <c r="RNG4" s="325"/>
      <c r="RNH4" s="325"/>
      <c r="RNI4" s="325"/>
      <c r="RNJ4" s="325"/>
      <c r="RNK4" s="325"/>
      <c r="RNL4" s="325"/>
      <c r="RNM4" s="325"/>
      <c r="RNN4" s="325"/>
      <c r="RNO4" s="325"/>
      <c r="RNP4" s="325"/>
      <c r="RNQ4" s="325"/>
      <c r="RNR4" s="325"/>
      <c r="RNS4" s="325"/>
      <c r="RNT4" s="325"/>
      <c r="RNU4" s="325"/>
      <c r="RNV4" s="325"/>
      <c r="RNW4" s="325"/>
      <c r="RNX4" s="325"/>
      <c r="RNY4" s="325"/>
      <c r="RNZ4" s="325"/>
      <c r="ROA4" s="325"/>
      <c r="ROB4" s="325"/>
      <c r="ROC4" s="325"/>
      <c r="ROD4" s="325"/>
      <c r="ROE4" s="325"/>
      <c r="ROF4" s="325"/>
      <c r="ROG4" s="325"/>
      <c r="ROH4" s="325"/>
      <c r="ROI4" s="325"/>
      <c r="ROJ4" s="325"/>
      <c r="ROK4" s="325"/>
      <c r="ROL4" s="325"/>
      <c r="ROM4" s="325"/>
      <c r="RON4" s="325"/>
      <c r="ROO4" s="325"/>
      <c r="ROP4" s="325"/>
      <c r="ROQ4" s="325"/>
      <c r="ROR4" s="325"/>
      <c r="ROS4" s="325"/>
      <c r="ROT4" s="325"/>
      <c r="ROU4" s="325"/>
      <c r="ROV4" s="325"/>
      <c r="ROW4" s="325"/>
      <c r="ROX4" s="325"/>
      <c r="ROY4" s="325"/>
      <c r="ROZ4" s="325"/>
      <c r="RPA4" s="325"/>
      <c r="RPB4" s="325"/>
      <c r="RPC4" s="325"/>
      <c r="RPD4" s="325"/>
      <c r="RPE4" s="325"/>
      <c r="RPF4" s="325"/>
      <c r="RPG4" s="325"/>
      <c r="RPH4" s="325"/>
      <c r="RPI4" s="325"/>
      <c r="RPJ4" s="325"/>
      <c r="RPK4" s="325"/>
      <c r="RPL4" s="325"/>
      <c r="RPM4" s="325"/>
      <c r="RPN4" s="325"/>
      <c r="RPO4" s="325"/>
      <c r="RPP4" s="325"/>
      <c r="RPQ4" s="325"/>
      <c r="RPR4" s="325"/>
      <c r="RPS4" s="325"/>
      <c r="RPT4" s="325"/>
      <c r="RPU4" s="325"/>
      <c r="RPV4" s="325"/>
      <c r="RPW4" s="325"/>
      <c r="RPX4" s="325"/>
      <c r="RPY4" s="325"/>
      <c r="RPZ4" s="325"/>
      <c r="RQA4" s="325"/>
      <c r="RQB4" s="325"/>
      <c r="RQC4" s="325"/>
      <c r="RQD4" s="325"/>
      <c r="RQE4" s="325"/>
      <c r="RQF4" s="325"/>
      <c r="RQG4" s="325"/>
      <c r="RQH4" s="325"/>
      <c r="RQI4" s="325"/>
      <c r="RQJ4" s="325"/>
      <c r="RQK4" s="325"/>
      <c r="RQL4" s="325"/>
      <c r="RQM4" s="325"/>
      <c r="RQN4" s="325"/>
      <c r="RQO4" s="325"/>
      <c r="RQP4" s="325"/>
      <c r="RQQ4" s="325"/>
      <c r="RQR4" s="325"/>
      <c r="RQS4" s="325"/>
      <c r="RQT4" s="325"/>
      <c r="RQU4" s="325"/>
      <c r="RQV4" s="325"/>
      <c r="RQW4" s="325"/>
      <c r="RQX4" s="325"/>
      <c r="RQY4" s="325"/>
      <c r="RQZ4" s="325"/>
      <c r="RRA4" s="325"/>
      <c r="RRB4" s="325"/>
      <c r="RRC4" s="325"/>
      <c r="RRD4" s="325"/>
      <c r="RRE4" s="325"/>
      <c r="RRF4" s="325"/>
      <c r="RRG4" s="325"/>
      <c r="RRH4" s="325"/>
      <c r="RRI4" s="325"/>
      <c r="RRJ4" s="325"/>
      <c r="RRK4" s="325"/>
      <c r="RRL4" s="325"/>
      <c r="RRM4" s="325"/>
      <c r="RRN4" s="325"/>
      <c r="RRO4" s="325"/>
      <c r="RRP4" s="325"/>
      <c r="RRQ4" s="325"/>
      <c r="RRR4" s="325"/>
      <c r="RRS4" s="325"/>
      <c r="RRT4" s="325"/>
      <c r="RRU4" s="325"/>
      <c r="RRV4" s="325"/>
      <c r="RRW4" s="325"/>
      <c r="RRX4" s="325"/>
      <c r="RRY4" s="325"/>
      <c r="RRZ4" s="325"/>
      <c r="RSA4" s="325"/>
      <c r="RSB4" s="325"/>
      <c r="RSC4" s="325"/>
      <c r="RSD4" s="325"/>
      <c r="RSE4" s="325"/>
      <c r="RSF4" s="325"/>
      <c r="RSG4" s="325"/>
      <c r="RSH4" s="325"/>
      <c r="RSI4" s="325"/>
      <c r="RSJ4" s="325"/>
      <c r="RSK4" s="325"/>
      <c r="RSL4" s="325"/>
      <c r="RSM4" s="325"/>
      <c r="RSN4" s="325"/>
      <c r="RSO4" s="325"/>
      <c r="RSP4" s="325"/>
      <c r="RSQ4" s="325"/>
      <c r="RSR4" s="325"/>
      <c r="RSS4" s="325"/>
      <c r="RST4" s="325"/>
      <c r="RSU4" s="325"/>
      <c r="RSV4" s="325"/>
      <c r="RSW4" s="325"/>
      <c r="RSX4" s="325"/>
      <c r="RSY4" s="325"/>
      <c r="RSZ4" s="325"/>
      <c r="RTA4" s="325"/>
      <c r="RTB4" s="325"/>
      <c r="RTC4" s="325"/>
      <c r="RTD4" s="325"/>
      <c r="RTE4" s="325"/>
      <c r="RTF4" s="325"/>
      <c r="RTG4" s="325"/>
      <c r="RTH4" s="325"/>
      <c r="RTI4" s="325"/>
      <c r="RTJ4" s="325"/>
      <c r="RTK4" s="325"/>
      <c r="RTL4" s="325"/>
      <c r="RTM4" s="325"/>
      <c r="RTN4" s="325"/>
      <c r="RTO4" s="325"/>
      <c r="RTP4" s="325"/>
      <c r="RTQ4" s="325"/>
      <c r="RTR4" s="325"/>
      <c r="RTS4" s="325"/>
      <c r="RTT4" s="325"/>
      <c r="RTU4" s="325"/>
      <c r="RTV4" s="325"/>
      <c r="RTW4" s="325"/>
      <c r="RTX4" s="325"/>
      <c r="RTY4" s="325"/>
      <c r="RTZ4" s="325"/>
      <c r="RUA4" s="325"/>
      <c r="RUB4" s="325"/>
      <c r="RUC4" s="325"/>
      <c r="RUD4" s="325"/>
      <c r="RUE4" s="325"/>
      <c r="RUF4" s="325"/>
      <c r="RUG4" s="325"/>
      <c r="RUH4" s="325"/>
      <c r="RUI4" s="325"/>
      <c r="RUJ4" s="325"/>
      <c r="RUK4" s="325"/>
      <c r="RUL4" s="325"/>
      <c r="RUM4" s="325"/>
      <c r="RUN4" s="325"/>
      <c r="RUO4" s="325"/>
      <c r="RUP4" s="325"/>
      <c r="RUQ4" s="325"/>
      <c r="RUR4" s="325"/>
      <c r="RUS4" s="325"/>
      <c r="RUT4" s="325"/>
      <c r="RUU4" s="325"/>
      <c r="RUV4" s="325"/>
      <c r="RUW4" s="325"/>
      <c r="RUX4" s="325"/>
      <c r="RUY4" s="325"/>
      <c r="RUZ4" s="325"/>
      <c r="RVA4" s="325"/>
      <c r="RVB4" s="325"/>
      <c r="RVC4" s="325"/>
      <c r="RVD4" s="325"/>
      <c r="RVE4" s="325"/>
      <c r="RVF4" s="325"/>
      <c r="RVG4" s="325"/>
      <c r="RVH4" s="325"/>
      <c r="RVI4" s="325"/>
      <c r="RVJ4" s="325"/>
      <c r="RVK4" s="325"/>
      <c r="RVL4" s="325"/>
      <c r="RVM4" s="325"/>
      <c r="RVN4" s="325"/>
      <c r="RVO4" s="325"/>
      <c r="RVP4" s="325"/>
      <c r="RVQ4" s="325"/>
      <c r="RVR4" s="325"/>
      <c r="RVS4" s="325"/>
      <c r="RVT4" s="325"/>
      <c r="RVU4" s="325"/>
      <c r="RVV4" s="325"/>
      <c r="RVW4" s="325"/>
      <c r="RVX4" s="325"/>
      <c r="RVY4" s="325"/>
      <c r="RVZ4" s="325"/>
      <c r="RWA4" s="325"/>
      <c r="RWB4" s="325"/>
      <c r="RWC4" s="325"/>
      <c r="RWD4" s="325"/>
      <c r="RWE4" s="325"/>
      <c r="RWF4" s="325"/>
      <c r="RWG4" s="325"/>
      <c r="RWH4" s="325"/>
      <c r="RWI4" s="325"/>
      <c r="RWJ4" s="325"/>
      <c r="RWK4" s="325"/>
      <c r="RWL4" s="325"/>
      <c r="RWM4" s="325"/>
      <c r="RWN4" s="325"/>
      <c r="RWO4" s="325"/>
      <c r="RWP4" s="325"/>
      <c r="RWQ4" s="325"/>
      <c r="RWR4" s="325"/>
      <c r="RWS4" s="325"/>
      <c r="RWT4" s="325"/>
      <c r="RWU4" s="325"/>
      <c r="RWV4" s="325"/>
      <c r="RWW4" s="325"/>
      <c r="RWX4" s="325"/>
      <c r="RWY4" s="325"/>
      <c r="RWZ4" s="325"/>
      <c r="RXA4" s="325"/>
      <c r="RXB4" s="325"/>
      <c r="RXC4" s="325"/>
      <c r="RXD4" s="325"/>
      <c r="RXE4" s="325"/>
      <c r="RXF4" s="325"/>
      <c r="RXG4" s="325"/>
      <c r="RXH4" s="325"/>
      <c r="RXI4" s="325"/>
      <c r="RXJ4" s="325"/>
      <c r="RXK4" s="325"/>
      <c r="RXL4" s="325"/>
      <c r="RXM4" s="325"/>
      <c r="RXN4" s="325"/>
      <c r="RXO4" s="325"/>
      <c r="RXP4" s="325"/>
      <c r="RXQ4" s="325"/>
      <c r="RXR4" s="325"/>
      <c r="RXS4" s="325"/>
      <c r="RXT4" s="325"/>
      <c r="RXU4" s="325"/>
      <c r="RXV4" s="325"/>
      <c r="RXW4" s="325"/>
      <c r="RXX4" s="325"/>
      <c r="RXY4" s="325"/>
      <c r="RXZ4" s="325"/>
      <c r="RYA4" s="325"/>
      <c r="RYB4" s="325"/>
      <c r="RYC4" s="325"/>
      <c r="RYD4" s="325"/>
      <c r="RYE4" s="325"/>
      <c r="RYF4" s="325"/>
      <c r="RYG4" s="325"/>
      <c r="RYH4" s="325"/>
      <c r="RYI4" s="325"/>
      <c r="RYJ4" s="325"/>
      <c r="RYK4" s="325"/>
      <c r="RYL4" s="325"/>
      <c r="RYM4" s="325"/>
      <c r="RYN4" s="325"/>
      <c r="RYO4" s="325"/>
      <c r="RYP4" s="325"/>
      <c r="RYQ4" s="325"/>
      <c r="RYR4" s="325"/>
      <c r="RYS4" s="325"/>
      <c r="RYT4" s="325"/>
      <c r="RYU4" s="325"/>
      <c r="RYV4" s="325"/>
      <c r="RYW4" s="325"/>
      <c r="RYX4" s="325"/>
      <c r="RYY4" s="325"/>
      <c r="RYZ4" s="325"/>
      <c r="RZA4" s="325"/>
      <c r="RZB4" s="325"/>
      <c r="RZC4" s="325"/>
      <c r="RZD4" s="325"/>
      <c r="RZE4" s="325"/>
      <c r="RZF4" s="325"/>
      <c r="RZG4" s="325"/>
      <c r="RZH4" s="325"/>
      <c r="RZI4" s="325"/>
      <c r="RZJ4" s="325"/>
      <c r="RZK4" s="325"/>
      <c r="RZL4" s="325"/>
      <c r="RZM4" s="325"/>
      <c r="RZN4" s="325"/>
      <c r="RZO4" s="325"/>
      <c r="RZP4" s="325"/>
      <c r="RZQ4" s="325"/>
      <c r="RZR4" s="325"/>
      <c r="RZS4" s="325"/>
      <c r="RZT4" s="325"/>
      <c r="RZU4" s="325"/>
      <c r="RZV4" s="325"/>
      <c r="RZW4" s="325"/>
      <c r="RZX4" s="325"/>
      <c r="RZY4" s="325"/>
      <c r="RZZ4" s="325"/>
      <c r="SAA4" s="325"/>
      <c r="SAB4" s="325"/>
      <c r="SAC4" s="325"/>
      <c r="SAD4" s="325"/>
      <c r="SAE4" s="325"/>
      <c r="SAF4" s="325"/>
      <c r="SAG4" s="325"/>
      <c r="SAH4" s="325"/>
      <c r="SAI4" s="325"/>
      <c r="SAJ4" s="325"/>
      <c r="SAK4" s="325"/>
      <c r="SAL4" s="325"/>
      <c r="SAM4" s="325"/>
      <c r="SAN4" s="325"/>
      <c r="SAO4" s="325"/>
      <c r="SAP4" s="325"/>
      <c r="SAQ4" s="325"/>
      <c r="SAR4" s="325"/>
      <c r="SAS4" s="325"/>
      <c r="SAT4" s="325"/>
      <c r="SAU4" s="325"/>
      <c r="SAV4" s="325"/>
      <c r="SAW4" s="325"/>
      <c r="SAX4" s="325"/>
      <c r="SAY4" s="325"/>
      <c r="SAZ4" s="325"/>
      <c r="SBA4" s="325"/>
      <c r="SBB4" s="325"/>
      <c r="SBC4" s="325"/>
      <c r="SBD4" s="325"/>
      <c r="SBE4" s="325"/>
      <c r="SBF4" s="325"/>
      <c r="SBG4" s="325"/>
      <c r="SBH4" s="325"/>
      <c r="SBI4" s="325"/>
      <c r="SBJ4" s="325"/>
      <c r="SBK4" s="325"/>
      <c r="SBL4" s="325"/>
      <c r="SBM4" s="325"/>
      <c r="SBN4" s="325"/>
      <c r="SBO4" s="325"/>
      <c r="SBP4" s="325"/>
      <c r="SBQ4" s="325"/>
      <c r="SBR4" s="325"/>
      <c r="SBS4" s="325"/>
      <c r="SBT4" s="325"/>
      <c r="SBU4" s="325"/>
      <c r="SBV4" s="325"/>
      <c r="SBW4" s="325"/>
      <c r="SBX4" s="325"/>
      <c r="SBY4" s="325"/>
      <c r="SBZ4" s="325"/>
      <c r="SCA4" s="325"/>
      <c r="SCB4" s="325"/>
      <c r="SCC4" s="325"/>
      <c r="SCD4" s="325"/>
      <c r="SCE4" s="325"/>
      <c r="SCF4" s="325"/>
      <c r="SCG4" s="325"/>
      <c r="SCH4" s="325"/>
      <c r="SCI4" s="325"/>
      <c r="SCJ4" s="325"/>
      <c r="SCK4" s="325"/>
      <c r="SCL4" s="325"/>
      <c r="SCM4" s="325"/>
      <c r="SCN4" s="325"/>
      <c r="SCO4" s="325"/>
      <c r="SCP4" s="325"/>
      <c r="SCQ4" s="325"/>
      <c r="SCR4" s="325"/>
      <c r="SCS4" s="325"/>
      <c r="SCT4" s="325"/>
      <c r="SCU4" s="325"/>
      <c r="SCV4" s="325"/>
      <c r="SCW4" s="325"/>
      <c r="SCX4" s="325"/>
      <c r="SCY4" s="325"/>
      <c r="SCZ4" s="325"/>
      <c r="SDA4" s="325"/>
      <c r="SDB4" s="325"/>
      <c r="SDC4" s="325"/>
      <c r="SDD4" s="325"/>
      <c r="SDE4" s="325"/>
      <c r="SDF4" s="325"/>
      <c r="SDG4" s="325"/>
      <c r="SDH4" s="325"/>
      <c r="SDI4" s="325"/>
      <c r="SDJ4" s="325"/>
      <c r="SDK4" s="325"/>
      <c r="SDL4" s="325"/>
      <c r="SDM4" s="325"/>
      <c r="SDN4" s="325"/>
      <c r="SDO4" s="325"/>
      <c r="SDP4" s="325"/>
      <c r="SDQ4" s="325"/>
      <c r="SDR4" s="325"/>
      <c r="SDS4" s="325"/>
      <c r="SDT4" s="325"/>
      <c r="SDU4" s="325"/>
      <c r="SDV4" s="325"/>
      <c r="SDW4" s="325"/>
      <c r="SDX4" s="325"/>
      <c r="SDY4" s="325"/>
      <c r="SDZ4" s="325"/>
      <c r="SEA4" s="325"/>
      <c r="SEB4" s="325"/>
      <c r="SEC4" s="325"/>
      <c r="SED4" s="325"/>
      <c r="SEE4" s="325"/>
      <c r="SEF4" s="325"/>
      <c r="SEG4" s="325"/>
      <c r="SEH4" s="325"/>
      <c r="SEI4" s="325"/>
      <c r="SEJ4" s="325"/>
      <c r="SEK4" s="325"/>
      <c r="SEL4" s="325"/>
      <c r="SEM4" s="325"/>
      <c r="SEN4" s="325"/>
      <c r="SEO4" s="325"/>
      <c r="SEP4" s="325"/>
      <c r="SEQ4" s="325"/>
      <c r="SER4" s="325"/>
      <c r="SES4" s="325"/>
      <c r="SET4" s="325"/>
      <c r="SEU4" s="325"/>
      <c r="SEV4" s="325"/>
      <c r="SEW4" s="325"/>
      <c r="SEX4" s="325"/>
      <c r="SEY4" s="325"/>
      <c r="SEZ4" s="325"/>
      <c r="SFA4" s="325"/>
      <c r="SFB4" s="325"/>
      <c r="SFC4" s="325"/>
      <c r="SFD4" s="325"/>
      <c r="SFE4" s="325"/>
      <c r="SFF4" s="325"/>
      <c r="SFG4" s="325"/>
      <c r="SFH4" s="325"/>
      <c r="SFI4" s="325"/>
      <c r="SFJ4" s="325"/>
      <c r="SFK4" s="325"/>
      <c r="SFL4" s="325"/>
      <c r="SFM4" s="325"/>
      <c r="SFN4" s="325"/>
      <c r="SFO4" s="325"/>
      <c r="SFP4" s="325"/>
      <c r="SFQ4" s="325"/>
      <c r="SFR4" s="325"/>
      <c r="SFS4" s="325"/>
      <c r="SFT4" s="325"/>
      <c r="SFU4" s="325"/>
      <c r="SFV4" s="325"/>
      <c r="SFW4" s="325"/>
      <c r="SFX4" s="325"/>
      <c r="SFY4" s="325"/>
      <c r="SFZ4" s="325"/>
      <c r="SGA4" s="325"/>
      <c r="SGB4" s="325"/>
      <c r="SGC4" s="325"/>
      <c r="SGD4" s="325"/>
      <c r="SGE4" s="325"/>
      <c r="SGF4" s="325"/>
      <c r="SGG4" s="325"/>
      <c r="SGH4" s="325"/>
      <c r="SGI4" s="325"/>
      <c r="SGJ4" s="325"/>
      <c r="SGK4" s="325"/>
      <c r="SGL4" s="325"/>
      <c r="SGM4" s="325"/>
      <c r="SGN4" s="325"/>
      <c r="SGO4" s="325"/>
      <c r="SGP4" s="325"/>
      <c r="SGQ4" s="325"/>
      <c r="SGR4" s="325"/>
      <c r="SGS4" s="325"/>
      <c r="SGT4" s="325"/>
      <c r="SGU4" s="325"/>
      <c r="SGV4" s="325"/>
      <c r="SGW4" s="325"/>
      <c r="SGX4" s="325"/>
      <c r="SGY4" s="325"/>
      <c r="SGZ4" s="325"/>
      <c r="SHA4" s="325"/>
      <c r="SHB4" s="325"/>
      <c r="SHC4" s="325"/>
      <c r="SHD4" s="325"/>
      <c r="SHE4" s="325"/>
      <c r="SHF4" s="325"/>
      <c r="SHG4" s="325"/>
      <c r="SHH4" s="325"/>
      <c r="SHI4" s="325"/>
      <c r="SHJ4" s="325"/>
      <c r="SHK4" s="325"/>
      <c r="SHL4" s="325"/>
      <c r="SHM4" s="325"/>
      <c r="SHN4" s="325"/>
      <c r="SHO4" s="325"/>
      <c r="SHP4" s="325"/>
      <c r="SHQ4" s="325"/>
      <c r="SHR4" s="325"/>
      <c r="SHS4" s="325"/>
      <c r="SHT4" s="325"/>
      <c r="SHU4" s="325"/>
      <c r="SHV4" s="325"/>
      <c r="SHW4" s="325"/>
      <c r="SHX4" s="325"/>
      <c r="SHY4" s="325"/>
      <c r="SHZ4" s="325"/>
      <c r="SIA4" s="325"/>
      <c r="SIB4" s="325"/>
      <c r="SIC4" s="325"/>
      <c r="SID4" s="325"/>
      <c r="SIE4" s="325"/>
      <c r="SIF4" s="325"/>
      <c r="SIG4" s="325"/>
      <c r="SIH4" s="325"/>
      <c r="SII4" s="325"/>
      <c r="SIJ4" s="325"/>
      <c r="SIK4" s="325"/>
      <c r="SIL4" s="325"/>
      <c r="SIM4" s="325"/>
      <c r="SIN4" s="325"/>
      <c r="SIO4" s="325"/>
      <c r="SIP4" s="325"/>
      <c r="SIQ4" s="325"/>
      <c r="SIR4" s="325"/>
      <c r="SIS4" s="325"/>
      <c r="SIT4" s="325"/>
      <c r="SIU4" s="325"/>
      <c r="SIV4" s="325"/>
      <c r="SIW4" s="325"/>
      <c r="SIX4" s="325"/>
      <c r="SIY4" s="325"/>
      <c r="SIZ4" s="325"/>
      <c r="SJA4" s="325"/>
      <c r="SJB4" s="325"/>
      <c r="SJC4" s="325"/>
      <c r="SJD4" s="325"/>
      <c r="SJE4" s="325"/>
      <c r="SJF4" s="325"/>
      <c r="SJG4" s="325"/>
      <c r="SJH4" s="325"/>
      <c r="SJI4" s="325"/>
      <c r="SJJ4" s="325"/>
      <c r="SJK4" s="325"/>
      <c r="SJL4" s="325"/>
      <c r="SJM4" s="325"/>
      <c r="SJN4" s="325"/>
      <c r="SJO4" s="325"/>
      <c r="SJP4" s="325"/>
      <c r="SJQ4" s="325"/>
      <c r="SJR4" s="325"/>
      <c r="SJS4" s="325"/>
      <c r="SJT4" s="325"/>
      <c r="SJU4" s="325"/>
      <c r="SJV4" s="325"/>
      <c r="SJW4" s="325"/>
      <c r="SJX4" s="325"/>
      <c r="SJY4" s="325"/>
      <c r="SJZ4" s="325"/>
      <c r="SKA4" s="325"/>
      <c r="SKB4" s="325"/>
      <c r="SKC4" s="325"/>
      <c r="SKD4" s="325"/>
      <c r="SKE4" s="325"/>
      <c r="SKF4" s="325"/>
      <c r="SKG4" s="325"/>
      <c r="SKH4" s="325"/>
      <c r="SKI4" s="325"/>
      <c r="SKJ4" s="325"/>
      <c r="SKK4" s="325"/>
      <c r="SKL4" s="325"/>
      <c r="SKM4" s="325"/>
      <c r="SKN4" s="325"/>
      <c r="SKO4" s="325"/>
      <c r="SKP4" s="325"/>
      <c r="SKQ4" s="325"/>
      <c r="SKR4" s="325"/>
      <c r="SKS4" s="325"/>
      <c r="SKT4" s="325"/>
      <c r="SKU4" s="325"/>
      <c r="SKV4" s="325"/>
      <c r="SKW4" s="325"/>
      <c r="SKX4" s="325"/>
      <c r="SKY4" s="325"/>
      <c r="SKZ4" s="325"/>
      <c r="SLA4" s="325"/>
      <c r="SLB4" s="325"/>
      <c r="SLC4" s="325"/>
      <c r="SLD4" s="325"/>
      <c r="SLE4" s="325"/>
      <c r="SLF4" s="325"/>
      <c r="SLG4" s="325"/>
      <c r="SLH4" s="325"/>
      <c r="SLI4" s="325"/>
      <c r="SLJ4" s="325"/>
      <c r="SLK4" s="325"/>
      <c r="SLL4" s="325"/>
      <c r="SLM4" s="325"/>
      <c r="SLN4" s="325"/>
      <c r="SLO4" s="325"/>
      <c r="SLP4" s="325"/>
      <c r="SLQ4" s="325"/>
      <c r="SLR4" s="325"/>
      <c r="SLS4" s="325"/>
      <c r="SLT4" s="325"/>
      <c r="SLU4" s="325"/>
      <c r="SLV4" s="325"/>
      <c r="SLW4" s="325"/>
      <c r="SLX4" s="325"/>
      <c r="SLY4" s="325"/>
      <c r="SLZ4" s="325"/>
      <c r="SMA4" s="325"/>
      <c r="SMB4" s="325"/>
      <c r="SMC4" s="325"/>
      <c r="SMD4" s="325"/>
      <c r="SME4" s="325"/>
      <c r="SMF4" s="325"/>
      <c r="SMG4" s="325"/>
      <c r="SMH4" s="325"/>
      <c r="SMI4" s="325"/>
      <c r="SMJ4" s="325"/>
      <c r="SMK4" s="325"/>
      <c r="SML4" s="325"/>
      <c r="SMM4" s="325"/>
      <c r="SMN4" s="325"/>
      <c r="SMO4" s="325"/>
      <c r="SMP4" s="325"/>
      <c r="SMQ4" s="325"/>
      <c r="SMR4" s="325"/>
      <c r="SMS4" s="325"/>
      <c r="SMT4" s="325"/>
      <c r="SMU4" s="325"/>
      <c r="SMV4" s="325"/>
      <c r="SMW4" s="325"/>
      <c r="SMX4" s="325"/>
      <c r="SMY4" s="325"/>
      <c r="SMZ4" s="325"/>
      <c r="SNA4" s="325"/>
      <c r="SNB4" s="325"/>
      <c r="SNC4" s="325"/>
      <c r="SND4" s="325"/>
      <c r="SNE4" s="325"/>
      <c r="SNF4" s="325"/>
      <c r="SNG4" s="325"/>
      <c r="SNH4" s="325"/>
      <c r="SNI4" s="325"/>
      <c r="SNJ4" s="325"/>
      <c r="SNK4" s="325"/>
      <c r="SNL4" s="325"/>
      <c r="SNM4" s="325"/>
      <c r="SNN4" s="325"/>
      <c r="SNO4" s="325"/>
      <c r="SNP4" s="325"/>
      <c r="SNQ4" s="325"/>
      <c r="SNR4" s="325"/>
      <c r="SNS4" s="325"/>
      <c r="SNT4" s="325"/>
      <c r="SNU4" s="325"/>
      <c r="SNV4" s="325"/>
      <c r="SNW4" s="325"/>
      <c r="SNX4" s="325"/>
      <c r="SNY4" s="325"/>
      <c r="SNZ4" s="325"/>
      <c r="SOA4" s="325"/>
      <c r="SOB4" s="325"/>
      <c r="SOC4" s="325"/>
      <c r="SOD4" s="325"/>
      <c r="SOE4" s="325"/>
      <c r="SOF4" s="325"/>
      <c r="SOG4" s="325"/>
      <c r="SOH4" s="325"/>
      <c r="SOI4" s="325"/>
      <c r="SOJ4" s="325"/>
      <c r="SOK4" s="325"/>
      <c r="SOL4" s="325"/>
      <c r="SOM4" s="325"/>
      <c r="SON4" s="325"/>
      <c r="SOO4" s="325"/>
      <c r="SOP4" s="325"/>
      <c r="SOQ4" s="325"/>
      <c r="SOR4" s="325"/>
      <c r="SOS4" s="325"/>
      <c r="SOT4" s="325"/>
      <c r="SOU4" s="325"/>
      <c r="SOV4" s="325"/>
      <c r="SOW4" s="325"/>
      <c r="SOX4" s="325"/>
      <c r="SOY4" s="325"/>
      <c r="SOZ4" s="325"/>
      <c r="SPA4" s="325"/>
      <c r="SPB4" s="325"/>
      <c r="SPC4" s="325"/>
      <c r="SPD4" s="325"/>
      <c r="SPE4" s="325"/>
      <c r="SPF4" s="325"/>
      <c r="SPG4" s="325"/>
      <c r="SPH4" s="325"/>
      <c r="SPI4" s="325"/>
      <c r="SPJ4" s="325"/>
      <c r="SPK4" s="325"/>
      <c r="SPL4" s="325"/>
      <c r="SPM4" s="325"/>
      <c r="SPN4" s="325"/>
      <c r="SPO4" s="325"/>
      <c r="SPP4" s="325"/>
      <c r="SPQ4" s="325"/>
      <c r="SPR4" s="325"/>
      <c r="SPS4" s="325"/>
      <c r="SPT4" s="325"/>
      <c r="SPU4" s="325"/>
      <c r="SPV4" s="325"/>
      <c r="SPW4" s="325"/>
      <c r="SPX4" s="325"/>
      <c r="SPY4" s="325"/>
      <c r="SPZ4" s="325"/>
      <c r="SQA4" s="325"/>
      <c r="SQB4" s="325"/>
      <c r="SQC4" s="325"/>
      <c r="SQD4" s="325"/>
      <c r="SQE4" s="325"/>
      <c r="SQF4" s="325"/>
      <c r="SQG4" s="325"/>
      <c r="SQH4" s="325"/>
      <c r="SQI4" s="325"/>
      <c r="SQJ4" s="325"/>
      <c r="SQK4" s="325"/>
      <c r="SQL4" s="325"/>
      <c r="SQM4" s="325"/>
      <c r="SQN4" s="325"/>
      <c r="SQO4" s="325"/>
      <c r="SQP4" s="325"/>
      <c r="SQQ4" s="325"/>
      <c r="SQR4" s="325"/>
      <c r="SQS4" s="325"/>
      <c r="SQT4" s="325"/>
      <c r="SQU4" s="325"/>
      <c r="SQV4" s="325"/>
      <c r="SQW4" s="325"/>
      <c r="SQX4" s="325"/>
      <c r="SQY4" s="325"/>
      <c r="SQZ4" s="325"/>
      <c r="SRA4" s="325"/>
      <c r="SRB4" s="325"/>
      <c r="SRC4" s="325"/>
      <c r="SRD4" s="325"/>
      <c r="SRE4" s="325"/>
      <c r="SRF4" s="325"/>
      <c r="SRG4" s="325"/>
      <c r="SRH4" s="325"/>
      <c r="SRI4" s="325"/>
      <c r="SRJ4" s="325"/>
      <c r="SRK4" s="325"/>
      <c r="SRL4" s="325"/>
      <c r="SRM4" s="325"/>
      <c r="SRN4" s="325"/>
      <c r="SRO4" s="325"/>
      <c r="SRP4" s="325"/>
      <c r="SRQ4" s="325"/>
      <c r="SRR4" s="325"/>
      <c r="SRS4" s="325"/>
      <c r="SRT4" s="325"/>
      <c r="SRU4" s="325"/>
      <c r="SRV4" s="325"/>
      <c r="SRW4" s="325"/>
      <c r="SRX4" s="325"/>
      <c r="SRY4" s="325"/>
      <c r="SRZ4" s="325"/>
      <c r="SSA4" s="325"/>
      <c r="SSB4" s="325"/>
      <c r="SSC4" s="325"/>
      <c r="SSD4" s="325"/>
      <c r="SSE4" s="325"/>
      <c r="SSF4" s="325"/>
      <c r="SSG4" s="325"/>
      <c r="SSH4" s="325"/>
      <c r="SSI4" s="325"/>
      <c r="SSJ4" s="325"/>
      <c r="SSK4" s="325"/>
      <c r="SSL4" s="325"/>
      <c r="SSM4" s="325"/>
      <c r="SSN4" s="325"/>
      <c r="SSO4" s="325"/>
      <c r="SSP4" s="325"/>
      <c r="SSQ4" s="325"/>
      <c r="SSR4" s="325"/>
      <c r="SSS4" s="325"/>
      <c r="SST4" s="325"/>
      <c r="SSU4" s="325"/>
      <c r="SSV4" s="325"/>
      <c r="SSW4" s="325"/>
      <c r="SSX4" s="325"/>
      <c r="SSY4" s="325"/>
      <c r="SSZ4" s="325"/>
      <c r="STA4" s="325"/>
      <c r="STB4" s="325"/>
      <c r="STC4" s="325"/>
      <c r="STD4" s="325"/>
      <c r="STE4" s="325"/>
      <c r="STF4" s="325"/>
      <c r="STG4" s="325"/>
      <c r="STH4" s="325"/>
      <c r="STI4" s="325"/>
      <c r="STJ4" s="325"/>
      <c r="STK4" s="325"/>
      <c r="STL4" s="325"/>
      <c r="STM4" s="325"/>
      <c r="STN4" s="325"/>
      <c r="STO4" s="325"/>
      <c r="STP4" s="325"/>
      <c r="STQ4" s="325"/>
      <c r="STR4" s="325"/>
      <c r="STS4" s="325"/>
      <c r="STT4" s="325"/>
      <c r="STU4" s="325"/>
      <c r="STV4" s="325"/>
      <c r="STW4" s="325"/>
      <c r="STX4" s="325"/>
      <c r="STY4" s="325"/>
      <c r="STZ4" s="325"/>
      <c r="SUA4" s="325"/>
      <c r="SUB4" s="325"/>
      <c r="SUC4" s="325"/>
      <c r="SUD4" s="325"/>
      <c r="SUE4" s="325"/>
      <c r="SUF4" s="325"/>
      <c r="SUG4" s="325"/>
      <c r="SUH4" s="325"/>
      <c r="SUI4" s="325"/>
      <c r="SUJ4" s="325"/>
      <c r="SUK4" s="325"/>
      <c r="SUL4" s="325"/>
      <c r="SUM4" s="325"/>
      <c r="SUN4" s="325"/>
      <c r="SUO4" s="325"/>
      <c r="SUP4" s="325"/>
      <c r="SUQ4" s="325"/>
      <c r="SUR4" s="325"/>
      <c r="SUS4" s="325"/>
      <c r="SUT4" s="325"/>
      <c r="SUU4" s="325"/>
      <c r="SUV4" s="325"/>
      <c r="SUW4" s="325"/>
      <c r="SUX4" s="325"/>
      <c r="SUY4" s="325"/>
      <c r="SUZ4" s="325"/>
      <c r="SVA4" s="325"/>
      <c r="SVB4" s="325"/>
      <c r="SVC4" s="325"/>
      <c r="SVD4" s="325"/>
      <c r="SVE4" s="325"/>
      <c r="SVF4" s="325"/>
      <c r="SVG4" s="325"/>
      <c r="SVH4" s="325"/>
      <c r="SVI4" s="325"/>
      <c r="SVJ4" s="325"/>
      <c r="SVK4" s="325"/>
      <c r="SVL4" s="325"/>
      <c r="SVM4" s="325"/>
      <c r="SVN4" s="325"/>
      <c r="SVO4" s="325"/>
      <c r="SVP4" s="325"/>
      <c r="SVQ4" s="325"/>
      <c r="SVR4" s="325"/>
      <c r="SVS4" s="325"/>
      <c r="SVT4" s="325"/>
      <c r="SVU4" s="325"/>
      <c r="SVV4" s="325"/>
      <c r="SVW4" s="325"/>
      <c r="SVX4" s="325"/>
      <c r="SVY4" s="325"/>
      <c r="SVZ4" s="325"/>
      <c r="SWA4" s="325"/>
      <c r="SWB4" s="325"/>
      <c r="SWC4" s="325"/>
      <c r="SWD4" s="325"/>
      <c r="SWE4" s="325"/>
      <c r="SWF4" s="325"/>
      <c r="SWG4" s="325"/>
      <c r="SWH4" s="325"/>
      <c r="SWI4" s="325"/>
      <c r="SWJ4" s="325"/>
      <c r="SWK4" s="325"/>
      <c r="SWL4" s="325"/>
      <c r="SWM4" s="325"/>
      <c r="SWN4" s="325"/>
      <c r="SWO4" s="325"/>
      <c r="SWP4" s="325"/>
      <c r="SWQ4" s="325"/>
      <c r="SWR4" s="325"/>
      <c r="SWS4" s="325"/>
      <c r="SWT4" s="325"/>
      <c r="SWU4" s="325"/>
      <c r="SWV4" s="325"/>
      <c r="SWW4" s="325"/>
      <c r="SWX4" s="325"/>
      <c r="SWY4" s="325"/>
      <c r="SWZ4" s="325"/>
      <c r="SXA4" s="325"/>
      <c r="SXB4" s="325"/>
      <c r="SXC4" s="325"/>
      <c r="SXD4" s="325"/>
      <c r="SXE4" s="325"/>
      <c r="SXF4" s="325"/>
      <c r="SXG4" s="325"/>
      <c r="SXH4" s="325"/>
      <c r="SXI4" s="325"/>
      <c r="SXJ4" s="325"/>
      <c r="SXK4" s="325"/>
      <c r="SXL4" s="325"/>
      <c r="SXM4" s="325"/>
      <c r="SXN4" s="325"/>
      <c r="SXO4" s="325"/>
      <c r="SXP4" s="325"/>
      <c r="SXQ4" s="325"/>
      <c r="SXR4" s="325"/>
      <c r="SXS4" s="325"/>
      <c r="SXT4" s="325"/>
      <c r="SXU4" s="325"/>
      <c r="SXV4" s="325"/>
      <c r="SXW4" s="325"/>
      <c r="SXX4" s="325"/>
      <c r="SXY4" s="325"/>
      <c r="SXZ4" s="325"/>
      <c r="SYA4" s="325"/>
      <c r="SYB4" s="325"/>
      <c r="SYC4" s="325"/>
      <c r="SYD4" s="325"/>
      <c r="SYE4" s="325"/>
      <c r="SYF4" s="325"/>
      <c r="SYG4" s="325"/>
      <c r="SYH4" s="325"/>
      <c r="SYI4" s="325"/>
      <c r="SYJ4" s="325"/>
      <c r="SYK4" s="325"/>
      <c r="SYL4" s="325"/>
      <c r="SYM4" s="325"/>
      <c r="SYN4" s="325"/>
      <c r="SYO4" s="325"/>
      <c r="SYP4" s="325"/>
      <c r="SYQ4" s="325"/>
      <c r="SYR4" s="325"/>
      <c r="SYS4" s="325"/>
      <c r="SYT4" s="325"/>
      <c r="SYU4" s="325"/>
      <c r="SYV4" s="325"/>
      <c r="SYW4" s="325"/>
      <c r="SYX4" s="325"/>
      <c r="SYY4" s="325"/>
      <c r="SYZ4" s="325"/>
      <c r="SZA4" s="325"/>
      <c r="SZB4" s="325"/>
      <c r="SZC4" s="325"/>
      <c r="SZD4" s="325"/>
      <c r="SZE4" s="325"/>
      <c r="SZF4" s="325"/>
      <c r="SZG4" s="325"/>
      <c r="SZH4" s="325"/>
      <c r="SZI4" s="325"/>
      <c r="SZJ4" s="325"/>
      <c r="SZK4" s="325"/>
      <c r="SZL4" s="325"/>
      <c r="SZM4" s="325"/>
      <c r="SZN4" s="325"/>
      <c r="SZO4" s="325"/>
      <c r="SZP4" s="325"/>
      <c r="SZQ4" s="325"/>
      <c r="SZR4" s="325"/>
      <c r="SZS4" s="325"/>
      <c r="SZT4" s="325"/>
      <c r="SZU4" s="325"/>
      <c r="SZV4" s="325"/>
      <c r="SZW4" s="325"/>
      <c r="SZX4" s="325"/>
      <c r="SZY4" s="325"/>
      <c r="SZZ4" s="325"/>
      <c r="TAA4" s="325"/>
      <c r="TAB4" s="325"/>
      <c r="TAC4" s="325"/>
      <c r="TAD4" s="325"/>
      <c r="TAE4" s="325"/>
      <c r="TAF4" s="325"/>
      <c r="TAG4" s="325"/>
      <c r="TAH4" s="325"/>
      <c r="TAI4" s="325"/>
      <c r="TAJ4" s="325"/>
      <c r="TAK4" s="325"/>
      <c r="TAL4" s="325"/>
      <c r="TAM4" s="325"/>
      <c r="TAN4" s="325"/>
      <c r="TAO4" s="325"/>
      <c r="TAP4" s="325"/>
      <c r="TAQ4" s="325"/>
      <c r="TAR4" s="325"/>
      <c r="TAS4" s="325"/>
      <c r="TAT4" s="325"/>
      <c r="TAU4" s="325"/>
      <c r="TAV4" s="325"/>
      <c r="TAW4" s="325"/>
      <c r="TAX4" s="325"/>
      <c r="TAY4" s="325"/>
      <c r="TAZ4" s="325"/>
      <c r="TBA4" s="325"/>
      <c r="TBB4" s="325"/>
      <c r="TBC4" s="325"/>
      <c r="TBD4" s="325"/>
      <c r="TBE4" s="325"/>
      <c r="TBF4" s="325"/>
      <c r="TBG4" s="325"/>
      <c r="TBH4" s="325"/>
      <c r="TBI4" s="325"/>
      <c r="TBJ4" s="325"/>
      <c r="TBK4" s="325"/>
      <c r="TBL4" s="325"/>
      <c r="TBM4" s="325"/>
      <c r="TBN4" s="325"/>
      <c r="TBO4" s="325"/>
      <c r="TBP4" s="325"/>
      <c r="TBQ4" s="325"/>
      <c r="TBR4" s="325"/>
      <c r="TBS4" s="325"/>
      <c r="TBT4" s="325"/>
      <c r="TBU4" s="325"/>
      <c r="TBV4" s="325"/>
      <c r="TBW4" s="325"/>
      <c r="TBX4" s="325"/>
      <c r="TBY4" s="325"/>
      <c r="TBZ4" s="325"/>
      <c r="TCA4" s="325"/>
      <c r="TCB4" s="325"/>
      <c r="TCC4" s="325"/>
      <c r="TCD4" s="325"/>
      <c r="TCE4" s="325"/>
      <c r="TCF4" s="325"/>
      <c r="TCG4" s="325"/>
      <c r="TCH4" s="325"/>
      <c r="TCI4" s="325"/>
      <c r="TCJ4" s="325"/>
      <c r="TCK4" s="325"/>
      <c r="TCL4" s="325"/>
      <c r="TCM4" s="325"/>
      <c r="TCN4" s="325"/>
      <c r="TCO4" s="325"/>
      <c r="TCP4" s="325"/>
      <c r="TCQ4" s="325"/>
      <c r="TCR4" s="325"/>
      <c r="TCS4" s="325"/>
      <c r="TCT4" s="325"/>
      <c r="TCU4" s="325"/>
      <c r="TCV4" s="325"/>
      <c r="TCW4" s="325"/>
      <c r="TCX4" s="325"/>
      <c r="TCY4" s="325"/>
      <c r="TCZ4" s="325"/>
      <c r="TDA4" s="325"/>
      <c r="TDB4" s="325"/>
      <c r="TDC4" s="325"/>
      <c r="TDD4" s="325"/>
      <c r="TDE4" s="325"/>
      <c r="TDF4" s="325"/>
      <c r="TDG4" s="325"/>
      <c r="TDH4" s="325"/>
      <c r="TDI4" s="325"/>
      <c r="TDJ4" s="325"/>
      <c r="TDK4" s="325"/>
      <c r="TDL4" s="325"/>
      <c r="TDM4" s="325"/>
      <c r="TDN4" s="325"/>
      <c r="TDO4" s="325"/>
      <c r="TDP4" s="325"/>
      <c r="TDQ4" s="325"/>
      <c r="TDR4" s="325"/>
      <c r="TDS4" s="325"/>
      <c r="TDT4" s="325"/>
      <c r="TDU4" s="325"/>
      <c r="TDV4" s="325"/>
      <c r="TDW4" s="325"/>
      <c r="TDX4" s="325"/>
      <c r="TDY4" s="325"/>
      <c r="TDZ4" s="325"/>
      <c r="TEA4" s="325"/>
      <c r="TEB4" s="325"/>
      <c r="TEC4" s="325"/>
      <c r="TED4" s="325"/>
      <c r="TEE4" s="325"/>
      <c r="TEF4" s="325"/>
      <c r="TEG4" s="325"/>
      <c r="TEH4" s="325"/>
      <c r="TEI4" s="325"/>
      <c r="TEJ4" s="325"/>
      <c r="TEK4" s="325"/>
      <c r="TEL4" s="325"/>
      <c r="TEM4" s="325"/>
      <c r="TEN4" s="325"/>
      <c r="TEO4" s="325"/>
      <c r="TEP4" s="325"/>
      <c r="TEQ4" s="325"/>
      <c r="TER4" s="325"/>
      <c r="TES4" s="325"/>
      <c r="TET4" s="325"/>
      <c r="TEU4" s="325"/>
      <c r="TEV4" s="325"/>
      <c r="TEW4" s="325"/>
      <c r="TEX4" s="325"/>
      <c r="TEY4" s="325"/>
      <c r="TEZ4" s="325"/>
      <c r="TFA4" s="325"/>
      <c r="TFB4" s="325"/>
      <c r="TFC4" s="325"/>
      <c r="TFD4" s="325"/>
      <c r="TFE4" s="325"/>
      <c r="TFF4" s="325"/>
      <c r="TFG4" s="325"/>
      <c r="TFH4" s="325"/>
      <c r="TFI4" s="325"/>
      <c r="TFJ4" s="325"/>
      <c r="TFK4" s="325"/>
      <c r="TFL4" s="325"/>
      <c r="TFM4" s="325"/>
      <c r="TFN4" s="325"/>
      <c r="TFO4" s="325"/>
      <c r="TFP4" s="325"/>
      <c r="TFQ4" s="325"/>
      <c r="TFR4" s="325"/>
      <c r="TFS4" s="325"/>
      <c r="TFT4" s="325"/>
      <c r="TFU4" s="325"/>
      <c r="TFV4" s="325"/>
      <c r="TFW4" s="325"/>
      <c r="TFX4" s="325"/>
      <c r="TFY4" s="325"/>
      <c r="TFZ4" s="325"/>
      <c r="TGA4" s="325"/>
      <c r="TGB4" s="325"/>
      <c r="TGC4" s="325"/>
      <c r="TGD4" s="325"/>
      <c r="TGE4" s="325"/>
      <c r="TGF4" s="325"/>
      <c r="TGG4" s="325"/>
      <c r="TGH4" s="325"/>
      <c r="TGI4" s="325"/>
      <c r="TGJ4" s="325"/>
      <c r="TGK4" s="325"/>
      <c r="TGL4" s="325"/>
      <c r="TGM4" s="325"/>
      <c r="TGN4" s="325"/>
      <c r="TGO4" s="325"/>
      <c r="TGP4" s="325"/>
      <c r="TGQ4" s="325"/>
      <c r="TGR4" s="325"/>
      <c r="TGS4" s="325"/>
      <c r="TGT4" s="325"/>
      <c r="TGU4" s="325"/>
      <c r="TGV4" s="325"/>
      <c r="TGW4" s="325"/>
      <c r="TGX4" s="325"/>
      <c r="TGY4" s="325"/>
      <c r="TGZ4" s="325"/>
      <c r="THA4" s="325"/>
      <c r="THB4" s="325"/>
      <c r="THC4" s="325"/>
      <c r="THD4" s="325"/>
      <c r="THE4" s="325"/>
      <c r="THF4" s="325"/>
      <c r="THG4" s="325"/>
      <c r="THH4" s="325"/>
      <c r="THI4" s="325"/>
      <c r="THJ4" s="325"/>
      <c r="THK4" s="325"/>
      <c r="THL4" s="325"/>
      <c r="THM4" s="325"/>
      <c r="THN4" s="325"/>
      <c r="THO4" s="325"/>
      <c r="THP4" s="325"/>
      <c r="THQ4" s="325"/>
      <c r="THR4" s="325"/>
      <c r="THS4" s="325"/>
      <c r="THT4" s="325"/>
      <c r="THU4" s="325"/>
      <c r="THV4" s="325"/>
      <c r="THW4" s="325"/>
      <c r="THX4" s="325"/>
      <c r="THY4" s="325"/>
      <c r="THZ4" s="325"/>
      <c r="TIA4" s="325"/>
      <c r="TIB4" s="325"/>
      <c r="TIC4" s="325"/>
      <c r="TID4" s="325"/>
      <c r="TIE4" s="325"/>
      <c r="TIF4" s="325"/>
      <c r="TIG4" s="325"/>
      <c r="TIH4" s="325"/>
      <c r="TII4" s="325"/>
      <c r="TIJ4" s="325"/>
      <c r="TIK4" s="325"/>
      <c r="TIL4" s="325"/>
      <c r="TIM4" s="325"/>
      <c r="TIN4" s="325"/>
      <c r="TIO4" s="325"/>
      <c r="TIP4" s="325"/>
      <c r="TIQ4" s="325"/>
      <c r="TIR4" s="325"/>
      <c r="TIS4" s="325"/>
      <c r="TIT4" s="325"/>
      <c r="TIU4" s="325"/>
      <c r="TIV4" s="325"/>
      <c r="TIW4" s="325"/>
      <c r="TIX4" s="325"/>
      <c r="TIY4" s="325"/>
      <c r="TIZ4" s="325"/>
      <c r="TJA4" s="325"/>
      <c r="TJB4" s="325"/>
      <c r="TJC4" s="325"/>
      <c r="TJD4" s="325"/>
      <c r="TJE4" s="325"/>
      <c r="TJF4" s="325"/>
      <c r="TJG4" s="325"/>
      <c r="TJH4" s="325"/>
      <c r="TJI4" s="325"/>
      <c r="TJJ4" s="325"/>
      <c r="TJK4" s="325"/>
      <c r="TJL4" s="325"/>
      <c r="TJM4" s="325"/>
      <c r="TJN4" s="325"/>
      <c r="TJO4" s="325"/>
      <c r="TJP4" s="325"/>
      <c r="TJQ4" s="325"/>
      <c r="TJR4" s="325"/>
      <c r="TJS4" s="325"/>
      <c r="TJT4" s="325"/>
      <c r="TJU4" s="325"/>
      <c r="TJV4" s="325"/>
      <c r="TJW4" s="325"/>
      <c r="TJX4" s="325"/>
      <c r="TJY4" s="325"/>
      <c r="TJZ4" s="325"/>
      <c r="TKA4" s="325"/>
      <c r="TKB4" s="325"/>
      <c r="TKC4" s="325"/>
      <c r="TKD4" s="325"/>
      <c r="TKE4" s="325"/>
      <c r="TKF4" s="325"/>
      <c r="TKG4" s="325"/>
      <c r="TKH4" s="325"/>
      <c r="TKI4" s="325"/>
      <c r="TKJ4" s="325"/>
      <c r="TKK4" s="325"/>
      <c r="TKL4" s="325"/>
      <c r="TKM4" s="325"/>
      <c r="TKN4" s="325"/>
      <c r="TKO4" s="325"/>
      <c r="TKP4" s="325"/>
      <c r="TKQ4" s="325"/>
      <c r="TKR4" s="325"/>
      <c r="TKS4" s="325"/>
      <c r="TKT4" s="325"/>
      <c r="TKU4" s="325"/>
      <c r="TKV4" s="325"/>
      <c r="TKW4" s="325"/>
      <c r="TKX4" s="325"/>
      <c r="TKY4" s="325"/>
      <c r="TKZ4" s="325"/>
      <c r="TLA4" s="325"/>
      <c r="TLB4" s="325"/>
      <c r="TLC4" s="325"/>
      <c r="TLD4" s="325"/>
      <c r="TLE4" s="325"/>
      <c r="TLF4" s="325"/>
      <c r="TLG4" s="325"/>
      <c r="TLH4" s="325"/>
      <c r="TLI4" s="325"/>
      <c r="TLJ4" s="325"/>
      <c r="TLK4" s="325"/>
      <c r="TLL4" s="325"/>
      <c r="TLM4" s="325"/>
      <c r="TLN4" s="325"/>
      <c r="TLO4" s="325"/>
      <c r="TLP4" s="325"/>
      <c r="TLQ4" s="325"/>
      <c r="TLR4" s="325"/>
      <c r="TLS4" s="325"/>
      <c r="TLT4" s="325"/>
      <c r="TLU4" s="325"/>
      <c r="TLV4" s="325"/>
      <c r="TLW4" s="325"/>
      <c r="TLX4" s="325"/>
      <c r="TLY4" s="325"/>
      <c r="TLZ4" s="325"/>
      <c r="TMA4" s="325"/>
      <c r="TMB4" s="325"/>
      <c r="TMC4" s="325"/>
      <c r="TMD4" s="325"/>
      <c r="TME4" s="325"/>
      <c r="TMF4" s="325"/>
      <c r="TMG4" s="325"/>
      <c r="TMH4" s="325"/>
      <c r="TMI4" s="325"/>
      <c r="TMJ4" s="325"/>
      <c r="TMK4" s="325"/>
      <c r="TML4" s="325"/>
      <c r="TMM4" s="325"/>
      <c r="TMN4" s="325"/>
      <c r="TMO4" s="325"/>
      <c r="TMP4" s="325"/>
      <c r="TMQ4" s="325"/>
      <c r="TMR4" s="325"/>
      <c r="TMS4" s="325"/>
      <c r="TMT4" s="325"/>
      <c r="TMU4" s="325"/>
      <c r="TMV4" s="325"/>
      <c r="TMW4" s="325"/>
      <c r="TMX4" s="325"/>
      <c r="TMY4" s="325"/>
      <c r="TMZ4" s="325"/>
      <c r="TNA4" s="325"/>
      <c r="TNB4" s="325"/>
      <c r="TNC4" s="325"/>
      <c r="TND4" s="325"/>
      <c r="TNE4" s="325"/>
      <c r="TNF4" s="325"/>
      <c r="TNG4" s="325"/>
      <c r="TNH4" s="325"/>
      <c r="TNI4" s="325"/>
      <c r="TNJ4" s="325"/>
      <c r="TNK4" s="325"/>
      <c r="TNL4" s="325"/>
      <c r="TNM4" s="325"/>
      <c r="TNN4" s="325"/>
      <c r="TNO4" s="325"/>
      <c r="TNP4" s="325"/>
      <c r="TNQ4" s="325"/>
      <c r="TNR4" s="325"/>
      <c r="TNS4" s="325"/>
      <c r="TNT4" s="325"/>
      <c r="TNU4" s="325"/>
      <c r="TNV4" s="325"/>
      <c r="TNW4" s="325"/>
      <c r="TNX4" s="325"/>
      <c r="TNY4" s="325"/>
      <c r="TNZ4" s="325"/>
      <c r="TOA4" s="325"/>
      <c r="TOB4" s="325"/>
      <c r="TOC4" s="325"/>
      <c r="TOD4" s="325"/>
      <c r="TOE4" s="325"/>
      <c r="TOF4" s="325"/>
      <c r="TOG4" s="325"/>
      <c r="TOH4" s="325"/>
      <c r="TOI4" s="325"/>
      <c r="TOJ4" s="325"/>
      <c r="TOK4" s="325"/>
      <c r="TOL4" s="325"/>
      <c r="TOM4" s="325"/>
      <c r="TON4" s="325"/>
      <c r="TOO4" s="325"/>
      <c r="TOP4" s="325"/>
      <c r="TOQ4" s="325"/>
      <c r="TOR4" s="325"/>
      <c r="TOS4" s="325"/>
      <c r="TOT4" s="325"/>
      <c r="TOU4" s="325"/>
      <c r="TOV4" s="325"/>
      <c r="TOW4" s="325"/>
      <c r="TOX4" s="325"/>
      <c r="TOY4" s="325"/>
      <c r="TOZ4" s="325"/>
      <c r="TPA4" s="325"/>
      <c r="TPB4" s="325"/>
      <c r="TPC4" s="325"/>
      <c r="TPD4" s="325"/>
      <c r="TPE4" s="325"/>
      <c r="TPF4" s="325"/>
      <c r="TPG4" s="325"/>
      <c r="TPH4" s="325"/>
      <c r="TPI4" s="325"/>
      <c r="TPJ4" s="325"/>
      <c r="TPK4" s="325"/>
      <c r="TPL4" s="325"/>
      <c r="TPM4" s="325"/>
      <c r="TPN4" s="325"/>
      <c r="TPO4" s="325"/>
      <c r="TPP4" s="325"/>
      <c r="TPQ4" s="325"/>
      <c r="TPR4" s="325"/>
      <c r="TPS4" s="325"/>
      <c r="TPT4" s="325"/>
      <c r="TPU4" s="325"/>
      <c r="TPV4" s="325"/>
      <c r="TPW4" s="325"/>
      <c r="TPX4" s="325"/>
      <c r="TPY4" s="325"/>
      <c r="TPZ4" s="325"/>
      <c r="TQA4" s="325"/>
      <c r="TQB4" s="325"/>
      <c r="TQC4" s="325"/>
      <c r="TQD4" s="325"/>
      <c r="TQE4" s="325"/>
      <c r="TQF4" s="325"/>
      <c r="TQG4" s="325"/>
      <c r="TQH4" s="325"/>
      <c r="TQI4" s="325"/>
      <c r="TQJ4" s="325"/>
      <c r="TQK4" s="325"/>
      <c r="TQL4" s="325"/>
      <c r="TQM4" s="325"/>
      <c r="TQN4" s="325"/>
      <c r="TQO4" s="325"/>
      <c r="TQP4" s="325"/>
      <c r="TQQ4" s="325"/>
      <c r="TQR4" s="325"/>
      <c r="TQS4" s="325"/>
      <c r="TQT4" s="325"/>
      <c r="TQU4" s="325"/>
      <c r="TQV4" s="325"/>
      <c r="TQW4" s="325"/>
      <c r="TQX4" s="325"/>
      <c r="TQY4" s="325"/>
      <c r="TQZ4" s="325"/>
      <c r="TRA4" s="325"/>
      <c r="TRB4" s="325"/>
      <c r="TRC4" s="325"/>
      <c r="TRD4" s="325"/>
      <c r="TRE4" s="325"/>
      <c r="TRF4" s="325"/>
      <c r="TRG4" s="325"/>
      <c r="TRH4" s="325"/>
      <c r="TRI4" s="325"/>
      <c r="TRJ4" s="325"/>
      <c r="TRK4" s="325"/>
      <c r="TRL4" s="325"/>
      <c r="TRM4" s="325"/>
      <c r="TRN4" s="325"/>
      <c r="TRO4" s="325"/>
      <c r="TRP4" s="325"/>
      <c r="TRQ4" s="325"/>
      <c r="TRR4" s="325"/>
      <c r="TRS4" s="325"/>
      <c r="TRT4" s="325"/>
      <c r="TRU4" s="325"/>
      <c r="TRV4" s="325"/>
      <c r="TRW4" s="325"/>
      <c r="TRX4" s="325"/>
      <c r="TRY4" s="325"/>
      <c r="TRZ4" s="325"/>
      <c r="TSA4" s="325"/>
      <c r="TSB4" s="325"/>
      <c r="TSC4" s="325"/>
      <c r="TSD4" s="325"/>
      <c r="TSE4" s="325"/>
      <c r="TSF4" s="325"/>
      <c r="TSG4" s="325"/>
      <c r="TSH4" s="325"/>
      <c r="TSI4" s="325"/>
      <c r="TSJ4" s="325"/>
      <c r="TSK4" s="325"/>
      <c r="TSL4" s="325"/>
      <c r="TSM4" s="325"/>
      <c r="TSN4" s="325"/>
      <c r="TSO4" s="325"/>
      <c r="TSP4" s="325"/>
      <c r="TSQ4" s="325"/>
      <c r="TSR4" s="325"/>
      <c r="TSS4" s="325"/>
      <c r="TST4" s="325"/>
      <c r="TSU4" s="325"/>
      <c r="TSV4" s="325"/>
      <c r="TSW4" s="325"/>
      <c r="TSX4" s="325"/>
      <c r="TSY4" s="325"/>
      <c r="TSZ4" s="325"/>
      <c r="TTA4" s="325"/>
      <c r="TTB4" s="325"/>
      <c r="TTC4" s="325"/>
      <c r="TTD4" s="325"/>
      <c r="TTE4" s="325"/>
      <c r="TTF4" s="325"/>
      <c r="TTG4" s="325"/>
      <c r="TTH4" s="325"/>
      <c r="TTI4" s="325"/>
      <c r="TTJ4" s="325"/>
      <c r="TTK4" s="325"/>
      <c r="TTL4" s="325"/>
      <c r="TTM4" s="325"/>
      <c r="TTN4" s="325"/>
      <c r="TTO4" s="325"/>
      <c r="TTP4" s="325"/>
      <c r="TTQ4" s="325"/>
      <c r="TTR4" s="325"/>
      <c r="TTS4" s="325"/>
      <c r="TTT4" s="325"/>
      <c r="TTU4" s="325"/>
      <c r="TTV4" s="325"/>
      <c r="TTW4" s="325"/>
      <c r="TTX4" s="325"/>
      <c r="TTY4" s="325"/>
      <c r="TTZ4" s="325"/>
      <c r="TUA4" s="325"/>
      <c r="TUB4" s="325"/>
      <c r="TUC4" s="325"/>
      <c r="TUD4" s="325"/>
      <c r="TUE4" s="325"/>
      <c r="TUF4" s="325"/>
      <c r="TUG4" s="325"/>
      <c r="TUH4" s="325"/>
      <c r="TUI4" s="325"/>
      <c r="TUJ4" s="325"/>
      <c r="TUK4" s="325"/>
      <c r="TUL4" s="325"/>
      <c r="TUM4" s="325"/>
      <c r="TUN4" s="325"/>
      <c r="TUO4" s="325"/>
      <c r="TUP4" s="325"/>
      <c r="TUQ4" s="325"/>
      <c r="TUR4" s="325"/>
      <c r="TUS4" s="325"/>
      <c r="TUT4" s="325"/>
      <c r="TUU4" s="325"/>
      <c r="TUV4" s="325"/>
      <c r="TUW4" s="325"/>
      <c r="TUX4" s="325"/>
      <c r="TUY4" s="325"/>
      <c r="TUZ4" s="325"/>
      <c r="TVA4" s="325"/>
      <c r="TVB4" s="325"/>
      <c r="TVC4" s="325"/>
      <c r="TVD4" s="325"/>
      <c r="TVE4" s="325"/>
      <c r="TVF4" s="325"/>
      <c r="TVG4" s="325"/>
      <c r="TVH4" s="325"/>
      <c r="TVI4" s="325"/>
      <c r="TVJ4" s="325"/>
      <c r="TVK4" s="325"/>
      <c r="TVL4" s="325"/>
      <c r="TVM4" s="325"/>
      <c r="TVN4" s="325"/>
      <c r="TVO4" s="325"/>
      <c r="TVP4" s="325"/>
      <c r="TVQ4" s="325"/>
      <c r="TVR4" s="325"/>
      <c r="TVS4" s="325"/>
      <c r="TVT4" s="325"/>
      <c r="TVU4" s="325"/>
      <c r="TVV4" s="325"/>
      <c r="TVW4" s="325"/>
      <c r="TVX4" s="325"/>
      <c r="TVY4" s="325"/>
      <c r="TVZ4" s="325"/>
      <c r="TWA4" s="325"/>
      <c r="TWB4" s="325"/>
      <c r="TWC4" s="325"/>
      <c r="TWD4" s="325"/>
      <c r="TWE4" s="325"/>
      <c r="TWF4" s="325"/>
      <c r="TWG4" s="325"/>
      <c r="TWH4" s="325"/>
      <c r="TWI4" s="325"/>
      <c r="TWJ4" s="325"/>
      <c r="TWK4" s="325"/>
      <c r="TWL4" s="325"/>
      <c r="TWM4" s="325"/>
      <c r="TWN4" s="325"/>
      <c r="TWO4" s="325"/>
      <c r="TWP4" s="325"/>
      <c r="TWQ4" s="325"/>
      <c r="TWR4" s="325"/>
      <c r="TWS4" s="325"/>
      <c r="TWT4" s="325"/>
      <c r="TWU4" s="325"/>
      <c r="TWV4" s="325"/>
      <c r="TWW4" s="325"/>
      <c r="TWX4" s="325"/>
      <c r="TWY4" s="325"/>
      <c r="TWZ4" s="325"/>
      <c r="TXA4" s="325"/>
      <c r="TXB4" s="325"/>
      <c r="TXC4" s="325"/>
      <c r="TXD4" s="325"/>
      <c r="TXE4" s="325"/>
      <c r="TXF4" s="325"/>
      <c r="TXG4" s="325"/>
      <c r="TXH4" s="325"/>
      <c r="TXI4" s="325"/>
      <c r="TXJ4" s="325"/>
      <c r="TXK4" s="325"/>
      <c r="TXL4" s="325"/>
      <c r="TXM4" s="325"/>
      <c r="TXN4" s="325"/>
      <c r="TXO4" s="325"/>
      <c r="TXP4" s="325"/>
      <c r="TXQ4" s="325"/>
      <c r="TXR4" s="325"/>
      <c r="TXS4" s="325"/>
      <c r="TXT4" s="325"/>
      <c r="TXU4" s="325"/>
      <c r="TXV4" s="325"/>
      <c r="TXW4" s="325"/>
      <c r="TXX4" s="325"/>
      <c r="TXY4" s="325"/>
      <c r="TXZ4" s="325"/>
      <c r="TYA4" s="325"/>
      <c r="TYB4" s="325"/>
      <c r="TYC4" s="325"/>
      <c r="TYD4" s="325"/>
      <c r="TYE4" s="325"/>
      <c r="TYF4" s="325"/>
      <c r="TYG4" s="325"/>
      <c r="TYH4" s="325"/>
      <c r="TYI4" s="325"/>
      <c r="TYJ4" s="325"/>
      <c r="TYK4" s="325"/>
      <c r="TYL4" s="325"/>
      <c r="TYM4" s="325"/>
      <c r="TYN4" s="325"/>
      <c r="TYO4" s="325"/>
      <c r="TYP4" s="325"/>
      <c r="TYQ4" s="325"/>
      <c r="TYR4" s="325"/>
      <c r="TYS4" s="325"/>
      <c r="TYT4" s="325"/>
      <c r="TYU4" s="325"/>
      <c r="TYV4" s="325"/>
      <c r="TYW4" s="325"/>
      <c r="TYX4" s="325"/>
      <c r="TYY4" s="325"/>
      <c r="TYZ4" s="325"/>
      <c r="TZA4" s="325"/>
      <c r="TZB4" s="325"/>
      <c r="TZC4" s="325"/>
      <c r="TZD4" s="325"/>
      <c r="TZE4" s="325"/>
      <c r="TZF4" s="325"/>
      <c r="TZG4" s="325"/>
      <c r="TZH4" s="325"/>
      <c r="TZI4" s="325"/>
      <c r="TZJ4" s="325"/>
      <c r="TZK4" s="325"/>
      <c r="TZL4" s="325"/>
      <c r="TZM4" s="325"/>
      <c r="TZN4" s="325"/>
      <c r="TZO4" s="325"/>
      <c r="TZP4" s="325"/>
      <c r="TZQ4" s="325"/>
      <c r="TZR4" s="325"/>
      <c r="TZS4" s="325"/>
      <c r="TZT4" s="325"/>
      <c r="TZU4" s="325"/>
      <c r="TZV4" s="325"/>
      <c r="TZW4" s="325"/>
      <c r="TZX4" s="325"/>
      <c r="TZY4" s="325"/>
      <c r="TZZ4" s="325"/>
      <c r="UAA4" s="325"/>
      <c r="UAB4" s="325"/>
      <c r="UAC4" s="325"/>
      <c r="UAD4" s="325"/>
      <c r="UAE4" s="325"/>
      <c r="UAF4" s="325"/>
      <c r="UAG4" s="325"/>
      <c r="UAH4" s="325"/>
      <c r="UAI4" s="325"/>
      <c r="UAJ4" s="325"/>
      <c r="UAK4" s="325"/>
      <c r="UAL4" s="325"/>
      <c r="UAM4" s="325"/>
      <c r="UAN4" s="325"/>
      <c r="UAO4" s="325"/>
      <c r="UAP4" s="325"/>
      <c r="UAQ4" s="325"/>
      <c r="UAR4" s="325"/>
      <c r="UAS4" s="325"/>
      <c r="UAT4" s="325"/>
      <c r="UAU4" s="325"/>
      <c r="UAV4" s="325"/>
      <c r="UAW4" s="325"/>
      <c r="UAX4" s="325"/>
      <c r="UAY4" s="325"/>
      <c r="UAZ4" s="325"/>
      <c r="UBA4" s="325"/>
      <c r="UBB4" s="325"/>
      <c r="UBC4" s="325"/>
      <c r="UBD4" s="325"/>
      <c r="UBE4" s="325"/>
      <c r="UBF4" s="325"/>
      <c r="UBG4" s="325"/>
      <c r="UBH4" s="325"/>
      <c r="UBI4" s="325"/>
      <c r="UBJ4" s="325"/>
      <c r="UBK4" s="325"/>
      <c r="UBL4" s="325"/>
      <c r="UBM4" s="325"/>
      <c r="UBN4" s="325"/>
      <c r="UBO4" s="325"/>
      <c r="UBP4" s="325"/>
      <c r="UBQ4" s="325"/>
      <c r="UBR4" s="325"/>
      <c r="UBS4" s="325"/>
      <c r="UBT4" s="325"/>
      <c r="UBU4" s="325"/>
      <c r="UBV4" s="325"/>
      <c r="UBW4" s="325"/>
      <c r="UBX4" s="325"/>
      <c r="UBY4" s="325"/>
      <c r="UBZ4" s="325"/>
      <c r="UCA4" s="325"/>
      <c r="UCB4" s="325"/>
      <c r="UCC4" s="325"/>
      <c r="UCD4" s="325"/>
      <c r="UCE4" s="325"/>
      <c r="UCF4" s="325"/>
      <c r="UCG4" s="325"/>
      <c r="UCH4" s="325"/>
      <c r="UCI4" s="325"/>
      <c r="UCJ4" s="325"/>
      <c r="UCK4" s="325"/>
      <c r="UCL4" s="325"/>
      <c r="UCM4" s="325"/>
      <c r="UCN4" s="325"/>
      <c r="UCO4" s="325"/>
      <c r="UCP4" s="325"/>
      <c r="UCQ4" s="325"/>
      <c r="UCR4" s="325"/>
      <c r="UCS4" s="325"/>
      <c r="UCT4" s="325"/>
      <c r="UCU4" s="325"/>
      <c r="UCV4" s="325"/>
      <c r="UCW4" s="325"/>
      <c r="UCX4" s="325"/>
      <c r="UCY4" s="325"/>
      <c r="UCZ4" s="325"/>
      <c r="UDA4" s="325"/>
      <c r="UDB4" s="325"/>
      <c r="UDC4" s="325"/>
      <c r="UDD4" s="325"/>
      <c r="UDE4" s="325"/>
      <c r="UDF4" s="325"/>
      <c r="UDG4" s="325"/>
      <c r="UDH4" s="325"/>
      <c r="UDI4" s="325"/>
      <c r="UDJ4" s="325"/>
      <c r="UDK4" s="325"/>
      <c r="UDL4" s="325"/>
      <c r="UDM4" s="325"/>
      <c r="UDN4" s="325"/>
      <c r="UDO4" s="325"/>
      <c r="UDP4" s="325"/>
      <c r="UDQ4" s="325"/>
      <c r="UDR4" s="325"/>
      <c r="UDS4" s="325"/>
      <c r="UDT4" s="325"/>
      <c r="UDU4" s="325"/>
      <c r="UDV4" s="325"/>
      <c r="UDW4" s="325"/>
      <c r="UDX4" s="325"/>
      <c r="UDY4" s="325"/>
      <c r="UDZ4" s="325"/>
      <c r="UEA4" s="325"/>
      <c r="UEB4" s="325"/>
      <c r="UEC4" s="325"/>
      <c r="UED4" s="325"/>
      <c r="UEE4" s="325"/>
      <c r="UEF4" s="325"/>
      <c r="UEG4" s="325"/>
      <c r="UEH4" s="325"/>
      <c r="UEI4" s="325"/>
      <c r="UEJ4" s="325"/>
      <c r="UEK4" s="325"/>
      <c r="UEL4" s="325"/>
      <c r="UEM4" s="325"/>
      <c r="UEN4" s="325"/>
      <c r="UEO4" s="325"/>
      <c r="UEP4" s="325"/>
      <c r="UEQ4" s="325"/>
      <c r="UER4" s="325"/>
      <c r="UES4" s="325"/>
      <c r="UET4" s="325"/>
      <c r="UEU4" s="325"/>
      <c r="UEV4" s="325"/>
      <c r="UEW4" s="325"/>
      <c r="UEX4" s="325"/>
      <c r="UEY4" s="325"/>
      <c r="UEZ4" s="325"/>
      <c r="UFA4" s="325"/>
      <c r="UFB4" s="325"/>
      <c r="UFC4" s="325"/>
      <c r="UFD4" s="325"/>
      <c r="UFE4" s="325"/>
      <c r="UFF4" s="325"/>
      <c r="UFG4" s="325"/>
      <c r="UFH4" s="325"/>
      <c r="UFI4" s="325"/>
      <c r="UFJ4" s="325"/>
      <c r="UFK4" s="325"/>
      <c r="UFL4" s="325"/>
      <c r="UFM4" s="325"/>
      <c r="UFN4" s="325"/>
      <c r="UFO4" s="325"/>
      <c r="UFP4" s="325"/>
      <c r="UFQ4" s="325"/>
      <c r="UFR4" s="325"/>
      <c r="UFS4" s="325"/>
      <c r="UFT4" s="325"/>
      <c r="UFU4" s="325"/>
      <c r="UFV4" s="325"/>
      <c r="UFW4" s="325"/>
      <c r="UFX4" s="325"/>
      <c r="UFY4" s="325"/>
      <c r="UFZ4" s="325"/>
      <c r="UGA4" s="325"/>
      <c r="UGB4" s="325"/>
      <c r="UGC4" s="325"/>
      <c r="UGD4" s="325"/>
      <c r="UGE4" s="325"/>
      <c r="UGF4" s="325"/>
      <c r="UGG4" s="325"/>
      <c r="UGH4" s="325"/>
      <c r="UGI4" s="325"/>
      <c r="UGJ4" s="325"/>
      <c r="UGK4" s="325"/>
      <c r="UGL4" s="325"/>
      <c r="UGM4" s="325"/>
      <c r="UGN4" s="325"/>
      <c r="UGO4" s="325"/>
      <c r="UGP4" s="325"/>
      <c r="UGQ4" s="325"/>
      <c r="UGR4" s="325"/>
      <c r="UGS4" s="325"/>
      <c r="UGT4" s="325"/>
      <c r="UGU4" s="325"/>
      <c r="UGV4" s="325"/>
      <c r="UGW4" s="325"/>
      <c r="UGX4" s="325"/>
      <c r="UGY4" s="325"/>
      <c r="UGZ4" s="325"/>
      <c r="UHA4" s="325"/>
      <c r="UHB4" s="325"/>
      <c r="UHC4" s="325"/>
      <c r="UHD4" s="325"/>
      <c r="UHE4" s="325"/>
      <c r="UHF4" s="325"/>
      <c r="UHG4" s="325"/>
      <c r="UHH4" s="325"/>
      <c r="UHI4" s="325"/>
      <c r="UHJ4" s="325"/>
      <c r="UHK4" s="325"/>
      <c r="UHL4" s="325"/>
      <c r="UHM4" s="325"/>
      <c r="UHN4" s="325"/>
      <c r="UHO4" s="325"/>
      <c r="UHP4" s="325"/>
      <c r="UHQ4" s="325"/>
      <c r="UHR4" s="325"/>
      <c r="UHS4" s="325"/>
      <c r="UHT4" s="325"/>
      <c r="UHU4" s="325"/>
      <c r="UHV4" s="325"/>
      <c r="UHW4" s="325"/>
      <c r="UHX4" s="325"/>
      <c r="UHY4" s="325"/>
      <c r="UHZ4" s="325"/>
      <c r="UIA4" s="325"/>
      <c r="UIB4" s="325"/>
      <c r="UIC4" s="325"/>
      <c r="UID4" s="325"/>
      <c r="UIE4" s="325"/>
      <c r="UIF4" s="325"/>
      <c r="UIG4" s="325"/>
      <c r="UIH4" s="325"/>
      <c r="UII4" s="325"/>
      <c r="UIJ4" s="325"/>
      <c r="UIK4" s="325"/>
      <c r="UIL4" s="325"/>
      <c r="UIM4" s="325"/>
      <c r="UIN4" s="325"/>
      <c r="UIO4" s="325"/>
      <c r="UIP4" s="325"/>
      <c r="UIQ4" s="325"/>
      <c r="UIR4" s="325"/>
      <c r="UIS4" s="325"/>
      <c r="UIT4" s="325"/>
      <c r="UIU4" s="325"/>
      <c r="UIV4" s="325"/>
      <c r="UIW4" s="325"/>
      <c r="UIX4" s="325"/>
      <c r="UIY4" s="325"/>
      <c r="UIZ4" s="325"/>
      <c r="UJA4" s="325"/>
      <c r="UJB4" s="325"/>
      <c r="UJC4" s="325"/>
      <c r="UJD4" s="325"/>
      <c r="UJE4" s="325"/>
      <c r="UJF4" s="325"/>
      <c r="UJG4" s="325"/>
      <c r="UJH4" s="325"/>
      <c r="UJI4" s="325"/>
      <c r="UJJ4" s="325"/>
      <c r="UJK4" s="325"/>
      <c r="UJL4" s="325"/>
      <c r="UJM4" s="325"/>
      <c r="UJN4" s="325"/>
      <c r="UJO4" s="325"/>
      <c r="UJP4" s="325"/>
      <c r="UJQ4" s="325"/>
      <c r="UJR4" s="325"/>
      <c r="UJS4" s="325"/>
      <c r="UJT4" s="325"/>
      <c r="UJU4" s="325"/>
      <c r="UJV4" s="325"/>
      <c r="UJW4" s="325"/>
      <c r="UJX4" s="325"/>
      <c r="UJY4" s="325"/>
      <c r="UJZ4" s="325"/>
      <c r="UKA4" s="325"/>
      <c r="UKB4" s="325"/>
      <c r="UKC4" s="325"/>
      <c r="UKD4" s="325"/>
      <c r="UKE4" s="325"/>
      <c r="UKF4" s="325"/>
      <c r="UKG4" s="325"/>
      <c r="UKH4" s="325"/>
      <c r="UKI4" s="325"/>
      <c r="UKJ4" s="325"/>
      <c r="UKK4" s="325"/>
      <c r="UKL4" s="325"/>
      <c r="UKM4" s="325"/>
      <c r="UKN4" s="325"/>
      <c r="UKO4" s="325"/>
      <c r="UKP4" s="325"/>
      <c r="UKQ4" s="325"/>
      <c r="UKR4" s="325"/>
      <c r="UKS4" s="325"/>
      <c r="UKT4" s="325"/>
      <c r="UKU4" s="325"/>
      <c r="UKV4" s="325"/>
      <c r="UKW4" s="325"/>
      <c r="UKX4" s="325"/>
      <c r="UKY4" s="325"/>
      <c r="UKZ4" s="325"/>
      <c r="ULA4" s="325"/>
      <c r="ULB4" s="325"/>
      <c r="ULC4" s="325"/>
      <c r="ULD4" s="325"/>
      <c r="ULE4" s="325"/>
      <c r="ULF4" s="325"/>
      <c r="ULG4" s="325"/>
      <c r="ULH4" s="325"/>
      <c r="ULI4" s="325"/>
      <c r="ULJ4" s="325"/>
      <c r="ULK4" s="325"/>
      <c r="ULL4" s="325"/>
      <c r="ULM4" s="325"/>
      <c r="ULN4" s="325"/>
      <c r="ULO4" s="325"/>
      <c r="ULP4" s="325"/>
      <c r="ULQ4" s="325"/>
      <c r="ULR4" s="325"/>
      <c r="ULS4" s="325"/>
      <c r="ULT4" s="325"/>
      <c r="ULU4" s="325"/>
      <c r="ULV4" s="325"/>
      <c r="ULW4" s="325"/>
      <c r="ULX4" s="325"/>
      <c r="ULY4" s="325"/>
      <c r="ULZ4" s="325"/>
      <c r="UMA4" s="325"/>
      <c r="UMB4" s="325"/>
      <c r="UMC4" s="325"/>
      <c r="UMD4" s="325"/>
      <c r="UME4" s="325"/>
      <c r="UMF4" s="325"/>
      <c r="UMG4" s="325"/>
      <c r="UMH4" s="325"/>
      <c r="UMI4" s="325"/>
      <c r="UMJ4" s="325"/>
      <c r="UMK4" s="325"/>
      <c r="UML4" s="325"/>
      <c r="UMM4" s="325"/>
      <c r="UMN4" s="325"/>
      <c r="UMO4" s="325"/>
      <c r="UMP4" s="325"/>
      <c r="UMQ4" s="325"/>
      <c r="UMR4" s="325"/>
      <c r="UMS4" s="325"/>
      <c r="UMT4" s="325"/>
      <c r="UMU4" s="325"/>
      <c r="UMV4" s="325"/>
      <c r="UMW4" s="325"/>
      <c r="UMX4" s="325"/>
      <c r="UMY4" s="325"/>
      <c r="UMZ4" s="325"/>
      <c r="UNA4" s="325"/>
      <c r="UNB4" s="325"/>
      <c r="UNC4" s="325"/>
      <c r="UND4" s="325"/>
      <c r="UNE4" s="325"/>
      <c r="UNF4" s="325"/>
      <c r="UNG4" s="325"/>
      <c r="UNH4" s="325"/>
      <c r="UNI4" s="325"/>
      <c r="UNJ4" s="325"/>
      <c r="UNK4" s="325"/>
      <c r="UNL4" s="325"/>
      <c r="UNM4" s="325"/>
      <c r="UNN4" s="325"/>
      <c r="UNO4" s="325"/>
      <c r="UNP4" s="325"/>
      <c r="UNQ4" s="325"/>
      <c r="UNR4" s="325"/>
      <c r="UNS4" s="325"/>
      <c r="UNT4" s="325"/>
      <c r="UNU4" s="325"/>
      <c r="UNV4" s="325"/>
      <c r="UNW4" s="325"/>
      <c r="UNX4" s="325"/>
      <c r="UNY4" s="325"/>
      <c r="UNZ4" s="325"/>
      <c r="UOA4" s="325"/>
      <c r="UOB4" s="325"/>
      <c r="UOC4" s="325"/>
      <c r="UOD4" s="325"/>
      <c r="UOE4" s="325"/>
      <c r="UOF4" s="325"/>
      <c r="UOG4" s="325"/>
      <c r="UOH4" s="325"/>
      <c r="UOI4" s="325"/>
      <c r="UOJ4" s="325"/>
      <c r="UOK4" s="325"/>
      <c r="UOL4" s="325"/>
      <c r="UOM4" s="325"/>
      <c r="UON4" s="325"/>
      <c r="UOO4" s="325"/>
      <c r="UOP4" s="325"/>
      <c r="UOQ4" s="325"/>
      <c r="UOR4" s="325"/>
      <c r="UOS4" s="325"/>
      <c r="UOT4" s="325"/>
      <c r="UOU4" s="325"/>
      <c r="UOV4" s="325"/>
      <c r="UOW4" s="325"/>
      <c r="UOX4" s="325"/>
      <c r="UOY4" s="325"/>
      <c r="UOZ4" s="325"/>
      <c r="UPA4" s="325"/>
      <c r="UPB4" s="325"/>
      <c r="UPC4" s="325"/>
      <c r="UPD4" s="325"/>
      <c r="UPE4" s="325"/>
      <c r="UPF4" s="325"/>
      <c r="UPG4" s="325"/>
      <c r="UPH4" s="325"/>
      <c r="UPI4" s="325"/>
      <c r="UPJ4" s="325"/>
      <c r="UPK4" s="325"/>
      <c r="UPL4" s="325"/>
      <c r="UPM4" s="325"/>
      <c r="UPN4" s="325"/>
      <c r="UPO4" s="325"/>
      <c r="UPP4" s="325"/>
      <c r="UPQ4" s="325"/>
      <c r="UPR4" s="325"/>
      <c r="UPS4" s="325"/>
      <c r="UPT4" s="325"/>
      <c r="UPU4" s="325"/>
      <c r="UPV4" s="325"/>
      <c r="UPW4" s="325"/>
      <c r="UPX4" s="325"/>
      <c r="UPY4" s="325"/>
      <c r="UPZ4" s="325"/>
      <c r="UQA4" s="325"/>
      <c r="UQB4" s="325"/>
      <c r="UQC4" s="325"/>
      <c r="UQD4" s="325"/>
      <c r="UQE4" s="325"/>
      <c r="UQF4" s="325"/>
      <c r="UQG4" s="325"/>
      <c r="UQH4" s="325"/>
      <c r="UQI4" s="325"/>
      <c r="UQJ4" s="325"/>
      <c r="UQK4" s="325"/>
      <c r="UQL4" s="325"/>
      <c r="UQM4" s="325"/>
      <c r="UQN4" s="325"/>
      <c r="UQO4" s="325"/>
      <c r="UQP4" s="325"/>
      <c r="UQQ4" s="325"/>
      <c r="UQR4" s="325"/>
      <c r="UQS4" s="325"/>
      <c r="UQT4" s="325"/>
      <c r="UQU4" s="325"/>
      <c r="UQV4" s="325"/>
      <c r="UQW4" s="325"/>
      <c r="UQX4" s="325"/>
      <c r="UQY4" s="325"/>
      <c r="UQZ4" s="325"/>
      <c r="URA4" s="325"/>
      <c r="URB4" s="325"/>
      <c r="URC4" s="325"/>
      <c r="URD4" s="325"/>
      <c r="URE4" s="325"/>
      <c r="URF4" s="325"/>
      <c r="URG4" s="325"/>
      <c r="URH4" s="325"/>
      <c r="URI4" s="325"/>
      <c r="URJ4" s="325"/>
      <c r="URK4" s="325"/>
      <c r="URL4" s="325"/>
      <c r="URM4" s="325"/>
      <c r="URN4" s="325"/>
      <c r="URO4" s="325"/>
      <c r="URP4" s="325"/>
      <c r="URQ4" s="325"/>
      <c r="URR4" s="325"/>
      <c r="URS4" s="325"/>
      <c r="URT4" s="325"/>
      <c r="URU4" s="325"/>
      <c r="URV4" s="325"/>
      <c r="URW4" s="325"/>
      <c r="URX4" s="325"/>
      <c r="URY4" s="325"/>
      <c r="URZ4" s="325"/>
      <c r="USA4" s="325"/>
      <c r="USB4" s="325"/>
      <c r="USC4" s="325"/>
      <c r="USD4" s="325"/>
      <c r="USE4" s="325"/>
      <c r="USF4" s="325"/>
      <c r="USG4" s="325"/>
      <c r="USH4" s="325"/>
      <c r="USI4" s="325"/>
      <c r="USJ4" s="325"/>
      <c r="USK4" s="325"/>
      <c r="USL4" s="325"/>
      <c r="USM4" s="325"/>
      <c r="USN4" s="325"/>
      <c r="USO4" s="325"/>
      <c r="USP4" s="325"/>
      <c r="USQ4" s="325"/>
      <c r="USR4" s="325"/>
      <c r="USS4" s="325"/>
      <c r="UST4" s="325"/>
      <c r="USU4" s="325"/>
      <c r="USV4" s="325"/>
      <c r="USW4" s="325"/>
      <c r="USX4" s="325"/>
      <c r="USY4" s="325"/>
      <c r="USZ4" s="325"/>
      <c r="UTA4" s="325"/>
      <c r="UTB4" s="325"/>
      <c r="UTC4" s="325"/>
      <c r="UTD4" s="325"/>
      <c r="UTE4" s="325"/>
      <c r="UTF4" s="325"/>
      <c r="UTG4" s="325"/>
      <c r="UTH4" s="325"/>
      <c r="UTI4" s="325"/>
      <c r="UTJ4" s="325"/>
      <c r="UTK4" s="325"/>
      <c r="UTL4" s="325"/>
      <c r="UTM4" s="325"/>
      <c r="UTN4" s="325"/>
      <c r="UTO4" s="325"/>
      <c r="UTP4" s="325"/>
      <c r="UTQ4" s="325"/>
      <c r="UTR4" s="325"/>
      <c r="UTS4" s="325"/>
      <c r="UTT4" s="325"/>
      <c r="UTU4" s="325"/>
      <c r="UTV4" s="325"/>
      <c r="UTW4" s="325"/>
      <c r="UTX4" s="325"/>
      <c r="UTY4" s="325"/>
      <c r="UTZ4" s="325"/>
      <c r="UUA4" s="325"/>
      <c r="UUB4" s="325"/>
      <c r="UUC4" s="325"/>
      <c r="UUD4" s="325"/>
      <c r="UUE4" s="325"/>
      <c r="UUF4" s="325"/>
      <c r="UUG4" s="325"/>
      <c r="UUH4" s="325"/>
      <c r="UUI4" s="325"/>
      <c r="UUJ4" s="325"/>
      <c r="UUK4" s="325"/>
      <c r="UUL4" s="325"/>
      <c r="UUM4" s="325"/>
      <c r="UUN4" s="325"/>
      <c r="UUO4" s="325"/>
      <c r="UUP4" s="325"/>
      <c r="UUQ4" s="325"/>
      <c r="UUR4" s="325"/>
      <c r="UUS4" s="325"/>
      <c r="UUT4" s="325"/>
      <c r="UUU4" s="325"/>
      <c r="UUV4" s="325"/>
      <c r="UUW4" s="325"/>
      <c r="UUX4" s="325"/>
      <c r="UUY4" s="325"/>
      <c r="UUZ4" s="325"/>
      <c r="UVA4" s="325"/>
      <c r="UVB4" s="325"/>
      <c r="UVC4" s="325"/>
      <c r="UVD4" s="325"/>
      <c r="UVE4" s="325"/>
      <c r="UVF4" s="325"/>
      <c r="UVG4" s="325"/>
      <c r="UVH4" s="325"/>
      <c r="UVI4" s="325"/>
      <c r="UVJ4" s="325"/>
      <c r="UVK4" s="325"/>
      <c r="UVL4" s="325"/>
      <c r="UVM4" s="325"/>
      <c r="UVN4" s="325"/>
      <c r="UVO4" s="325"/>
      <c r="UVP4" s="325"/>
      <c r="UVQ4" s="325"/>
      <c r="UVR4" s="325"/>
      <c r="UVS4" s="325"/>
      <c r="UVT4" s="325"/>
      <c r="UVU4" s="325"/>
      <c r="UVV4" s="325"/>
      <c r="UVW4" s="325"/>
      <c r="UVX4" s="325"/>
      <c r="UVY4" s="325"/>
      <c r="UVZ4" s="325"/>
      <c r="UWA4" s="325"/>
      <c r="UWB4" s="325"/>
      <c r="UWC4" s="325"/>
      <c r="UWD4" s="325"/>
      <c r="UWE4" s="325"/>
      <c r="UWF4" s="325"/>
      <c r="UWG4" s="325"/>
      <c r="UWH4" s="325"/>
      <c r="UWI4" s="325"/>
      <c r="UWJ4" s="325"/>
      <c r="UWK4" s="325"/>
      <c r="UWL4" s="325"/>
      <c r="UWM4" s="325"/>
      <c r="UWN4" s="325"/>
      <c r="UWO4" s="325"/>
      <c r="UWP4" s="325"/>
      <c r="UWQ4" s="325"/>
      <c r="UWR4" s="325"/>
      <c r="UWS4" s="325"/>
      <c r="UWT4" s="325"/>
      <c r="UWU4" s="325"/>
      <c r="UWV4" s="325"/>
      <c r="UWW4" s="325"/>
      <c r="UWX4" s="325"/>
      <c r="UWY4" s="325"/>
      <c r="UWZ4" s="325"/>
      <c r="UXA4" s="325"/>
      <c r="UXB4" s="325"/>
      <c r="UXC4" s="325"/>
      <c r="UXD4" s="325"/>
      <c r="UXE4" s="325"/>
      <c r="UXF4" s="325"/>
      <c r="UXG4" s="325"/>
      <c r="UXH4" s="325"/>
      <c r="UXI4" s="325"/>
      <c r="UXJ4" s="325"/>
      <c r="UXK4" s="325"/>
      <c r="UXL4" s="325"/>
      <c r="UXM4" s="325"/>
      <c r="UXN4" s="325"/>
      <c r="UXO4" s="325"/>
      <c r="UXP4" s="325"/>
      <c r="UXQ4" s="325"/>
      <c r="UXR4" s="325"/>
      <c r="UXS4" s="325"/>
      <c r="UXT4" s="325"/>
      <c r="UXU4" s="325"/>
      <c r="UXV4" s="325"/>
      <c r="UXW4" s="325"/>
      <c r="UXX4" s="325"/>
      <c r="UXY4" s="325"/>
      <c r="UXZ4" s="325"/>
      <c r="UYA4" s="325"/>
      <c r="UYB4" s="325"/>
      <c r="UYC4" s="325"/>
      <c r="UYD4" s="325"/>
      <c r="UYE4" s="325"/>
      <c r="UYF4" s="325"/>
      <c r="UYG4" s="325"/>
      <c r="UYH4" s="325"/>
      <c r="UYI4" s="325"/>
      <c r="UYJ4" s="325"/>
      <c r="UYK4" s="325"/>
      <c r="UYL4" s="325"/>
      <c r="UYM4" s="325"/>
      <c r="UYN4" s="325"/>
      <c r="UYO4" s="325"/>
      <c r="UYP4" s="325"/>
      <c r="UYQ4" s="325"/>
      <c r="UYR4" s="325"/>
      <c r="UYS4" s="325"/>
      <c r="UYT4" s="325"/>
      <c r="UYU4" s="325"/>
      <c r="UYV4" s="325"/>
      <c r="UYW4" s="325"/>
      <c r="UYX4" s="325"/>
      <c r="UYY4" s="325"/>
      <c r="UYZ4" s="325"/>
      <c r="UZA4" s="325"/>
      <c r="UZB4" s="325"/>
      <c r="UZC4" s="325"/>
      <c r="UZD4" s="325"/>
      <c r="UZE4" s="325"/>
      <c r="UZF4" s="325"/>
      <c r="UZG4" s="325"/>
      <c r="UZH4" s="325"/>
      <c r="UZI4" s="325"/>
      <c r="UZJ4" s="325"/>
      <c r="UZK4" s="325"/>
      <c r="UZL4" s="325"/>
      <c r="UZM4" s="325"/>
      <c r="UZN4" s="325"/>
      <c r="UZO4" s="325"/>
      <c r="UZP4" s="325"/>
      <c r="UZQ4" s="325"/>
      <c r="UZR4" s="325"/>
      <c r="UZS4" s="325"/>
      <c r="UZT4" s="325"/>
      <c r="UZU4" s="325"/>
      <c r="UZV4" s="325"/>
      <c r="UZW4" s="325"/>
      <c r="UZX4" s="325"/>
      <c r="UZY4" s="325"/>
      <c r="UZZ4" s="325"/>
      <c r="VAA4" s="325"/>
      <c r="VAB4" s="325"/>
      <c r="VAC4" s="325"/>
      <c r="VAD4" s="325"/>
      <c r="VAE4" s="325"/>
      <c r="VAF4" s="325"/>
      <c r="VAG4" s="325"/>
      <c r="VAH4" s="325"/>
      <c r="VAI4" s="325"/>
      <c r="VAJ4" s="325"/>
      <c r="VAK4" s="325"/>
      <c r="VAL4" s="325"/>
      <c r="VAM4" s="325"/>
      <c r="VAN4" s="325"/>
      <c r="VAO4" s="325"/>
      <c r="VAP4" s="325"/>
      <c r="VAQ4" s="325"/>
      <c r="VAR4" s="325"/>
      <c r="VAS4" s="325"/>
      <c r="VAT4" s="325"/>
      <c r="VAU4" s="325"/>
      <c r="VAV4" s="325"/>
      <c r="VAW4" s="325"/>
      <c r="VAX4" s="325"/>
      <c r="VAY4" s="325"/>
      <c r="VAZ4" s="325"/>
      <c r="VBA4" s="325"/>
      <c r="VBB4" s="325"/>
      <c r="VBC4" s="325"/>
      <c r="VBD4" s="325"/>
      <c r="VBE4" s="325"/>
      <c r="VBF4" s="325"/>
      <c r="VBG4" s="325"/>
      <c r="VBH4" s="325"/>
      <c r="VBI4" s="325"/>
      <c r="VBJ4" s="325"/>
      <c r="VBK4" s="325"/>
      <c r="VBL4" s="325"/>
      <c r="VBM4" s="325"/>
      <c r="VBN4" s="325"/>
      <c r="VBO4" s="325"/>
      <c r="VBP4" s="325"/>
      <c r="VBQ4" s="325"/>
      <c r="VBR4" s="325"/>
      <c r="VBS4" s="325"/>
      <c r="VBT4" s="325"/>
      <c r="VBU4" s="325"/>
      <c r="VBV4" s="325"/>
      <c r="VBW4" s="325"/>
      <c r="VBX4" s="325"/>
      <c r="VBY4" s="325"/>
      <c r="VBZ4" s="325"/>
      <c r="VCA4" s="325"/>
      <c r="VCB4" s="325"/>
      <c r="VCC4" s="325"/>
      <c r="VCD4" s="325"/>
      <c r="VCE4" s="325"/>
      <c r="VCF4" s="325"/>
      <c r="VCG4" s="325"/>
      <c r="VCH4" s="325"/>
      <c r="VCI4" s="325"/>
      <c r="VCJ4" s="325"/>
      <c r="VCK4" s="325"/>
      <c r="VCL4" s="325"/>
      <c r="VCM4" s="325"/>
      <c r="VCN4" s="325"/>
      <c r="VCO4" s="325"/>
      <c r="VCP4" s="325"/>
      <c r="VCQ4" s="325"/>
      <c r="VCR4" s="325"/>
      <c r="VCS4" s="325"/>
      <c r="VCT4" s="325"/>
      <c r="VCU4" s="325"/>
      <c r="VCV4" s="325"/>
      <c r="VCW4" s="325"/>
      <c r="VCX4" s="325"/>
      <c r="VCY4" s="325"/>
      <c r="VCZ4" s="325"/>
      <c r="VDA4" s="325"/>
      <c r="VDB4" s="325"/>
      <c r="VDC4" s="325"/>
      <c r="VDD4" s="325"/>
      <c r="VDE4" s="325"/>
      <c r="VDF4" s="325"/>
      <c r="VDG4" s="325"/>
      <c r="VDH4" s="325"/>
      <c r="VDI4" s="325"/>
      <c r="VDJ4" s="325"/>
      <c r="VDK4" s="325"/>
      <c r="VDL4" s="325"/>
      <c r="VDM4" s="325"/>
      <c r="VDN4" s="325"/>
      <c r="VDO4" s="325"/>
      <c r="VDP4" s="325"/>
      <c r="VDQ4" s="325"/>
      <c r="VDR4" s="325"/>
      <c r="VDS4" s="325"/>
      <c r="VDT4" s="325"/>
      <c r="VDU4" s="325"/>
      <c r="VDV4" s="325"/>
      <c r="VDW4" s="325"/>
      <c r="VDX4" s="325"/>
      <c r="VDY4" s="325"/>
      <c r="VDZ4" s="325"/>
      <c r="VEA4" s="325"/>
      <c r="VEB4" s="325"/>
      <c r="VEC4" s="325"/>
      <c r="VED4" s="325"/>
      <c r="VEE4" s="325"/>
      <c r="VEF4" s="325"/>
      <c r="VEG4" s="325"/>
      <c r="VEH4" s="325"/>
      <c r="VEI4" s="325"/>
      <c r="VEJ4" s="325"/>
      <c r="VEK4" s="325"/>
      <c r="VEL4" s="325"/>
      <c r="VEM4" s="325"/>
      <c r="VEN4" s="325"/>
      <c r="VEO4" s="325"/>
      <c r="VEP4" s="325"/>
      <c r="VEQ4" s="325"/>
      <c r="VER4" s="325"/>
      <c r="VES4" s="325"/>
      <c r="VET4" s="325"/>
      <c r="VEU4" s="325"/>
      <c r="VEV4" s="325"/>
      <c r="VEW4" s="325"/>
      <c r="VEX4" s="325"/>
      <c r="VEY4" s="325"/>
      <c r="VEZ4" s="325"/>
      <c r="VFA4" s="325"/>
      <c r="VFB4" s="325"/>
      <c r="VFC4" s="325"/>
      <c r="VFD4" s="325"/>
      <c r="VFE4" s="325"/>
      <c r="VFF4" s="325"/>
      <c r="VFG4" s="325"/>
      <c r="VFH4" s="325"/>
      <c r="VFI4" s="325"/>
      <c r="VFJ4" s="325"/>
      <c r="VFK4" s="325"/>
      <c r="VFL4" s="325"/>
      <c r="VFM4" s="325"/>
      <c r="VFN4" s="325"/>
      <c r="VFO4" s="325"/>
      <c r="VFP4" s="325"/>
      <c r="VFQ4" s="325"/>
      <c r="VFR4" s="325"/>
      <c r="VFS4" s="325"/>
      <c r="VFT4" s="325"/>
      <c r="VFU4" s="325"/>
      <c r="VFV4" s="325"/>
      <c r="VFW4" s="325"/>
      <c r="VFX4" s="325"/>
      <c r="VFY4" s="325"/>
      <c r="VFZ4" s="325"/>
      <c r="VGA4" s="325"/>
      <c r="VGB4" s="325"/>
      <c r="VGC4" s="325"/>
      <c r="VGD4" s="325"/>
      <c r="VGE4" s="325"/>
      <c r="VGF4" s="325"/>
      <c r="VGG4" s="325"/>
      <c r="VGH4" s="325"/>
      <c r="VGI4" s="325"/>
      <c r="VGJ4" s="325"/>
      <c r="VGK4" s="325"/>
      <c r="VGL4" s="325"/>
      <c r="VGM4" s="325"/>
      <c r="VGN4" s="325"/>
      <c r="VGO4" s="325"/>
      <c r="VGP4" s="325"/>
      <c r="VGQ4" s="325"/>
      <c r="VGR4" s="325"/>
      <c r="VGS4" s="325"/>
      <c r="VGT4" s="325"/>
      <c r="VGU4" s="325"/>
      <c r="VGV4" s="325"/>
      <c r="VGW4" s="325"/>
      <c r="VGX4" s="325"/>
      <c r="VGY4" s="325"/>
      <c r="VGZ4" s="325"/>
      <c r="VHA4" s="325"/>
      <c r="VHB4" s="325"/>
      <c r="VHC4" s="325"/>
      <c r="VHD4" s="325"/>
      <c r="VHE4" s="325"/>
      <c r="VHF4" s="325"/>
      <c r="VHG4" s="325"/>
      <c r="VHH4" s="325"/>
      <c r="VHI4" s="325"/>
      <c r="VHJ4" s="325"/>
      <c r="VHK4" s="325"/>
      <c r="VHL4" s="325"/>
      <c r="VHM4" s="325"/>
      <c r="VHN4" s="325"/>
      <c r="VHO4" s="325"/>
      <c r="VHP4" s="325"/>
      <c r="VHQ4" s="325"/>
      <c r="VHR4" s="325"/>
      <c r="VHS4" s="325"/>
      <c r="VHT4" s="325"/>
      <c r="VHU4" s="325"/>
      <c r="VHV4" s="325"/>
      <c r="VHW4" s="325"/>
      <c r="VHX4" s="325"/>
      <c r="VHY4" s="325"/>
      <c r="VHZ4" s="325"/>
      <c r="VIA4" s="325"/>
      <c r="VIB4" s="325"/>
      <c r="VIC4" s="325"/>
      <c r="VID4" s="325"/>
      <c r="VIE4" s="325"/>
      <c r="VIF4" s="325"/>
      <c r="VIG4" s="325"/>
      <c r="VIH4" s="325"/>
      <c r="VII4" s="325"/>
      <c r="VIJ4" s="325"/>
      <c r="VIK4" s="325"/>
      <c r="VIL4" s="325"/>
      <c r="VIM4" s="325"/>
      <c r="VIN4" s="325"/>
      <c r="VIO4" s="325"/>
      <c r="VIP4" s="325"/>
      <c r="VIQ4" s="325"/>
      <c r="VIR4" s="325"/>
      <c r="VIS4" s="325"/>
      <c r="VIT4" s="325"/>
      <c r="VIU4" s="325"/>
      <c r="VIV4" s="325"/>
      <c r="VIW4" s="325"/>
      <c r="VIX4" s="325"/>
      <c r="VIY4" s="325"/>
      <c r="VIZ4" s="325"/>
      <c r="VJA4" s="325"/>
      <c r="VJB4" s="325"/>
      <c r="VJC4" s="325"/>
      <c r="VJD4" s="325"/>
      <c r="VJE4" s="325"/>
      <c r="VJF4" s="325"/>
      <c r="VJG4" s="325"/>
      <c r="VJH4" s="325"/>
      <c r="VJI4" s="325"/>
      <c r="VJJ4" s="325"/>
      <c r="VJK4" s="325"/>
      <c r="VJL4" s="325"/>
      <c r="VJM4" s="325"/>
      <c r="VJN4" s="325"/>
      <c r="VJO4" s="325"/>
      <c r="VJP4" s="325"/>
      <c r="VJQ4" s="325"/>
      <c r="VJR4" s="325"/>
      <c r="VJS4" s="325"/>
      <c r="VJT4" s="325"/>
      <c r="VJU4" s="325"/>
      <c r="VJV4" s="325"/>
      <c r="VJW4" s="325"/>
      <c r="VJX4" s="325"/>
      <c r="VJY4" s="325"/>
      <c r="VJZ4" s="325"/>
      <c r="VKA4" s="325"/>
      <c r="VKB4" s="325"/>
      <c r="VKC4" s="325"/>
      <c r="VKD4" s="325"/>
      <c r="VKE4" s="325"/>
      <c r="VKF4" s="325"/>
      <c r="VKG4" s="325"/>
      <c r="VKH4" s="325"/>
      <c r="VKI4" s="325"/>
      <c r="VKJ4" s="325"/>
      <c r="VKK4" s="325"/>
      <c r="VKL4" s="325"/>
      <c r="VKM4" s="325"/>
      <c r="VKN4" s="325"/>
      <c r="VKO4" s="325"/>
      <c r="VKP4" s="325"/>
      <c r="VKQ4" s="325"/>
      <c r="VKR4" s="325"/>
      <c r="VKS4" s="325"/>
      <c r="VKT4" s="325"/>
      <c r="VKU4" s="325"/>
      <c r="VKV4" s="325"/>
      <c r="VKW4" s="325"/>
      <c r="VKX4" s="325"/>
      <c r="VKY4" s="325"/>
      <c r="VKZ4" s="325"/>
      <c r="VLA4" s="325"/>
      <c r="VLB4" s="325"/>
      <c r="VLC4" s="325"/>
      <c r="VLD4" s="325"/>
      <c r="VLE4" s="325"/>
      <c r="VLF4" s="325"/>
      <c r="VLG4" s="325"/>
      <c r="VLH4" s="325"/>
      <c r="VLI4" s="325"/>
      <c r="VLJ4" s="325"/>
      <c r="VLK4" s="325"/>
      <c r="VLL4" s="325"/>
      <c r="VLM4" s="325"/>
      <c r="VLN4" s="325"/>
      <c r="VLO4" s="325"/>
      <c r="VLP4" s="325"/>
      <c r="VLQ4" s="325"/>
      <c r="VLR4" s="325"/>
      <c r="VLS4" s="325"/>
      <c r="VLT4" s="325"/>
      <c r="VLU4" s="325"/>
      <c r="VLV4" s="325"/>
      <c r="VLW4" s="325"/>
      <c r="VLX4" s="325"/>
      <c r="VLY4" s="325"/>
      <c r="VLZ4" s="325"/>
      <c r="VMA4" s="325"/>
      <c r="VMB4" s="325"/>
      <c r="VMC4" s="325"/>
      <c r="VMD4" s="325"/>
      <c r="VME4" s="325"/>
      <c r="VMF4" s="325"/>
      <c r="VMG4" s="325"/>
      <c r="VMH4" s="325"/>
      <c r="VMI4" s="325"/>
      <c r="VMJ4" s="325"/>
      <c r="VMK4" s="325"/>
      <c r="VML4" s="325"/>
      <c r="VMM4" s="325"/>
      <c r="VMN4" s="325"/>
      <c r="VMO4" s="325"/>
      <c r="VMP4" s="325"/>
      <c r="VMQ4" s="325"/>
      <c r="VMR4" s="325"/>
      <c r="VMS4" s="325"/>
      <c r="VMT4" s="325"/>
      <c r="VMU4" s="325"/>
      <c r="VMV4" s="325"/>
      <c r="VMW4" s="325"/>
      <c r="VMX4" s="325"/>
      <c r="VMY4" s="325"/>
      <c r="VMZ4" s="325"/>
      <c r="VNA4" s="325"/>
      <c r="VNB4" s="325"/>
      <c r="VNC4" s="325"/>
      <c r="VND4" s="325"/>
      <c r="VNE4" s="325"/>
      <c r="VNF4" s="325"/>
      <c r="VNG4" s="325"/>
      <c r="VNH4" s="325"/>
      <c r="VNI4" s="325"/>
      <c r="VNJ4" s="325"/>
      <c r="VNK4" s="325"/>
      <c r="VNL4" s="325"/>
      <c r="VNM4" s="325"/>
      <c r="VNN4" s="325"/>
      <c r="VNO4" s="325"/>
      <c r="VNP4" s="325"/>
      <c r="VNQ4" s="325"/>
      <c r="VNR4" s="325"/>
      <c r="VNS4" s="325"/>
      <c r="VNT4" s="325"/>
      <c r="VNU4" s="325"/>
      <c r="VNV4" s="325"/>
      <c r="VNW4" s="325"/>
      <c r="VNX4" s="325"/>
      <c r="VNY4" s="325"/>
      <c r="VNZ4" s="325"/>
      <c r="VOA4" s="325"/>
      <c r="VOB4" s="325"/>
      <c r="VOC4" s="325"/>
      <c r="VOD4" s="325"/>
      <c r="VOE4" s="325"/>
      <c r="VOF4" s="325"/>
      <c r="VOG4" s="325"/>
      <c r="VOH4" s="325"/>
      <c r="VOI4" s="325"/>
      <c r="VOJ4" s="325"/>
      <c r="VOK4" s="325"/>
      <c r="VOL4" s="325"/>
      <c r="VOM4" s="325"/>
      <c r="VON4" s="325"/>
      <c r="VOO4" s="325"/>
      <c r="VOP4" s="325"/>
      <c r="VOQ4" s="325"/>
      <c r="VOR4" s="325"/>
      <c r="VOS4" s="325"/>
      <c r="VOT4" s="325"/>
      <c r="VOU4" s="325"/>
      <c r="VOV4" s="325"/>
      <c r="VOW4" s="325"/>
      <c r="VOX4" s="325"/>
      <c r="VOY4" s="325"/>
      <c r="VOZ4" s="325"/>
      <c r="VPA4" s="325"/>
      <c r="VPB4" s="325"/>
      <c r="VPC4" s="325"/>
      <c r="VPD4" s="325"/>
      <c r="VPE4" s="325"/>
      <c r="VPF4" s="325"/>
      <c r="VPG4" s="325"/>
      <c r="VPH4" s="325"/>
      <c r="VPI4" s="325"/>
      <c r="VPJ4" s="325"/>
      <c r="VPK4" s="325"/>
      <c r="VPL4" s="325"/>
      <c r="VPM4" s="325"/>
      <c r="VPN4" s="325"/>
      <c r="VPO4" s="325"/>
      <c r="VPP4" s="325"/>
      <c r="VPQ4" s="325"/>
      <c r="VPR4" s="325"/>
      <c r="VPS4" s="325"/>
      <c r="VPT4" s="325"/>
      <c r="VPU4" s="325"/>
      <c r="VPV4" s="325"/>
      <c r="VPW4" s="325"/>
      <c r="VPX4" s="325"/>
      <c r="VPY4" s="325"/>
      <c r="VPZ4" s="325"/>
      <c r="VQA4" s="325"/>
      <c r="VQB4" s="325"/>
      <c r="VQC4" s="325"/>
      <c r="VQD4" s="325"/>
      <c r="VQE4" s="325"/>
      <c r="VQF4" s="325"/>
      <c r="VQG4" s="325"/>
      <c r="VQH4" s="325"/>
      <c r="VQI4" s="325"/>
      <c r="VQJ4" s="325"/>
      <c r="VQK4" s="325"/>
      <c r="VQL4" s="325"/>
      <c r="VQM4" s="325"/>
      <c r="VQN4" s="325"/>
      <c r="VQO4" s="325"/>
      <c r="VQP4" s="325"/>
      <c r="VQQ4" s="325"/>
      <c r="VQR4" s="325"/>
      <c r="VQS4" s="325"/>
      <c r="VQT4" s="325"/>
      <c r="VQU4" s="325"/>
      <c r="VQV4" s="325"/>
      <c r="VQW4" s="325"/>
      <c r="VQX4" s="325"/>
      <c r="VQY4" s="325"/>
      <c r="VQZ4" s="325"/>
      <c r="VRA4" s="325"/>
      <c r="VRB4" s="325"/>
      <c r="VRC4" s="325"/>
      <c r="VRD4" s="325"/>
      <c r="VRE4" s="325"/>
      <c r="VRF4" s="325"/>
      <c r="VRG4" s="325"/>
      <c r="VRH4" s="325"/>
      <c r="VRI4" s="325"/>
      <c r="VRJ4" s="325"/>
      <c r="VRK4" s="325"/>
      <c r="VRL4" s="325"/>
      <c r="VRM4" s="325"/>
      <c r="VRN4" s="325"/>
      <c r="VRO4" s="325"/>
      <c r="VRP4" s="325"/>
      <c r="VRQ4" s="325"/>
      <c r="VRR4" s="325"/>
      <c r="VRS4" s="325"/>
      <c r="VRT4" s="325"/>
      <c r="VRU4" s="325"/>
      <c r="VRV4" s="325"/>
      <c r="VRW4" s="325"/>
      <c r="VRX4" s="325"/>
      <c r="VRY4" s="325"/>
      <c r="VRZ4" s="325"/>
      <c r="VSA4" s="325"/>
      <c r="VSB4" s="325"/>
      <c r="VSC4" s="325"/>
      <c r="VSD4" s="325"/>
      <c r="VSE4" s="325"/>
      <c r="VSF4" s="325"/>
      <c r="VSG4" s="325"/>
      <c r="VSH4" s="325"/>
      <c r="VSI4" s="325"/>
      <c r="VSJ4" s="325"/>
      <c r="VSK4" s="325"/>
      <c r="VSL4" s="325"/>
      <c r="VSM4" s="325"/>
      <c r="VSN4" s="325"/>
      <c r="VSO4" s="325"/>
      <c r="VSP4" s="325"/>
      <c r="VSQ4" s="325"/>
      <c r="VSR4" s="325"/>
      <c r="VSS4" s="325"/>
      <c r="VST4" s="325"/>
      <c r="VSU4" s="325"/>
      <c r="VSV4" s="325"/>
      <c r="VSW4" s="325"/>
      <c r="VSX4" s="325"/>
      <c r="VSY4" s="325"/>
      <c r="VSZ4" s="325"/>
      <c r="VTA4" s="325"/>
      <c r="VTB4" s="325"/>
      <c r="VTC4" s="325"/>
      <c r="VTD4" s="325"/>
      <c r="VTE4" s="325"/>
      <c r="VTF4" s="325"/>
      <c r="VTG4" s="325"/>
      <c r="VTH4" s="325"/>
      <c r="VTI4" s="325"/>
      <c r="VTJ4" s="325"/>
      <c r="VTK4" s="325"/>
      <c r="VTL4" s="325"/>
      <c r="VTM4" s="325"/>
      <c r="VTN4" s="325"/>
      <c r="VTO4" s="325"/>
      <c r="VTP4" s="325"/>
      <c r="VTQ4" s="325"/>
      <c r="VTR4" s="325"/>
      <c r="VTS4" s="325"/>
      <c r="VTT4" s="325"/>
      <c r="VTU4" s="325"/>
      <c r="VTV4" s="325"/>
      <c r="VTW4" s="325"/>
      <c r="VTX4" s="325"/>
      <c r="VTY4" s="325"/>
      <c r="VTZ4" s="325"/>
      <c r="VUA4" s="325"/>
      <c r="VUB4" s="325"/>
      <c r="VUC4" s="325"/>
      <c r="VUD4" s="325"/>
      <c r="VUE4" s="325"/>
      <c r="VUF4" s="325"/>
      <c r="VUG4" s="325"/>
      <c r="VUH4" s="325"/>
      <c r="VUI4" s="325"/>
      <c r="VUJ4" s="325"/>
      <c r="VUK4" s="325"/>
      <c r="VUL4" s="325"/>
      <c r="VUM4" s="325"/>
      <c r="VUN4" s="325"/>
      <c r="VUO4" s="325"/>
      <c r="VUP4" s="325"/>
      <c r="VUQ4" s="325"/>
      <c r="VUR4" s="325"/>
      <c r="VUS4" s="325"/>
      <c r="VUT4" s="325"/>
      <c r="VUU4" s="325"/>
      <c r="VUV4" s="325"/>
      <c r="VUW4" s="325"/>
      <c r="VUX4" s="325"/>
      <c r="VUY4" s="325"/>
      <c r="VUZ4" s="325"/>
      <c r="VVA4" s="325"/>
      <c r="VVB4" s="325"/>
      <c r="VVC4" s="325"/>
      <c r="VVD4" s="325"/>
      <c r="VVE4" s="325"/>
      <c r="VVF4" s="325"/>
      <c r="VVG4" s="325"/>
      <c r="VVH4" s="325"/>
      <c r="VVI4" s="325"/>
      <c r="VVJ4" s="325"/>
      <c r="VVK4" s="325"/>
      <c r="VVL4" s="325"/>
      <c r="VVM4" s="325"/>
      <c r="VVN4" s="325"/>
      <c r="VVO4" s="325"/>
      <c r="VVP4" s="325"/>
      <c r="VVQ4" s="325"/>
      <c r="VVR4" s="325"/>
      <c r="VVS4" s="325"/>
      <c r="VVT4" s="325"/>
      <c r="VVU4" s="325"/>
      <c r="VVV4" s="325"/>
      <c r="VVW4" s="325"/>
      <c r="VVX4" s="325"/>
      <c r="VVY4" s="325"/>
      <c r="VVZ4" s="325"/>
      <c r="VWA4" s="325"/>
      <c r="VWB4" s="325"/>
      <c r="VWC4" s="325"/>
      <c r="VWD4" s="325"/>
      <c r="VWE4" s="325"/>
      <c r="VWF4" s="325"/>
      <c r="VWG4" s="325"/>
      <c r="VWH4" s="325"/>
      <c r="VWI4" s="325"/>
      <c r="VWJ4" s="325"/>
      <c r="VWK4" s="325"/>
      <c r="VWL4" s="325"/>
      <c r="VWM4" s="325"/>
      <c r="VWN4" s="325"/>
      <c r="VWO4" s="325"/>
      <c r="VWP4" s="325"/>
      <c r="VWQ4" s="325"/>
      <c r="VWR4" s="325"/>
      <c r="VWS4" s="325"/>
      <c r="VWT4" s="325"/>
      <c r="VWU4" s="325"/>
      <c r="VWV4" s="325"/>
      <c r="VWW4" s="325"/>
      <c r="VWX4" s="325"/>
      <c r="VWY4" s="325"/>
      <c r="VWZ4" s="325"/>
      <c r="VXA4" s="325"/>
      <c r="VXB4" s="325"/>
      <c r="VXC4" s="325"/>
      <c r="VXD4" s="325"/>
      <c r="VXE4" s="325"/>
      <c r="VXF4" s="325"/>
      <c r="VXG4" s="325"/>
      <c r="VXH4" s="325"/>
      <c r="VXI4" s="325"/>
      <c r="VXJ4" s="325"/>
      <c r="VXK4" s="325"/>
      <c r="VXL4" s="325"/>
      <c r="VXM4" s="325"/>
      <c r="VXN4" s="325"/>
      <c r="VXO4" s="325"/>
      <c r="VXP4" s="325"/>
      <c r="VXQ4" s="325"/>
      <c r="VXR4" s="325"/>
      <c r="VXS4" s="325"/>
      <c r="VXT4" s="325"/>
      <c r="VXU4" s="325"/>
      <c r="VXV4" s="325"/>
      <c r="VXW4" s="325"/>
      <c r="VXX4" s="325"/>
      <c r="VXY4" s="325"/>
      <c r="VXZ4" s="325"/>
      <c r="VYA4" s="325"/>
      <c r="VYB4" s="325"/>
      <c r="VYC4" s="325"/>
      <c r="VYD4" s="325"/>
      <c r="VYE4" s="325"/>
      <c r="VYF4" s="325"/>
      <c r="VYG4" s="325"/>
      <c r="VYH4" s="325"/>
      <c r="VYI4" s="325"/>
      <c r="VYJ4" s="325"/>
      <c r="VYK4" s="325"/>
      <c r="VYL4" s="325"/>
      <c r="VYM4" s="325"/>
      <c r="VYN4" s="325"/>
      <c r="VYO4" s="325"/>
      <c r="VYP4" s="325"/>
      <c r="VYQ4" s="325"/>
      <c r="VYR4" s="325"/>
      <c r="VYS4" s="325"/>
      <c r="VYT4" s="325"/>
      <c r="VYU4" s="325"/>
      <c r="VYV4" s="325"/>
      <c r="VYW4" s="325"/>
      <c r="VYX4" s="325"/>
      <c r="VYY4" s="325"/>
      <c r="VYZ4" s="325"/>
      <c r="VZA4" s="325"/>
      <c r="VZB4" s="325"/>
      <c r="VZC4" s="325"/>
      <c r="VZD4" s="325"/>
      <c r="VZE4" s="325"/>
      <c r="VZF4" s="325"/>
      <c r="VZG4" s="325"/>
      <c r="VZH4" s="325"/>
      <c r="VZI4" s="325"/>
      <c r="VZJ4" s="325"/>
      <c r="VZK4" s="325"/>
      <c r="VZL4" s="325"/>
      <c r="VZM4" s="325"/>
      <c r="VZN4" s="325"/>
      <c r="VZO4" s="325"/>
      <c r="VZP4" s="325"/>
      <c r="VZQ4" s="325"/>
      <c r="VZR4" s="325"/>
      <c r="VZS4" s="325"/>
      <c r="VZT4" s="325"/>
      <c r="VZU4" s="325"/>
      <c r="VZV4" s="325"/>
      <c r="VZW4" s="325"/>
      <c r="VZX4" s="325"/>
      <c r="VZY4" s="325"/>
      <c r="VZZ4" s="325"/>
      <c r="WAA4" s="325"/>
      <c r="WAB4" s="325"/>
      <c r="WAC4" s="325"/>
      <c r="WAD4" s="325"/>
      <c r="WAE4" s="325"/>
      <c r="WAF4" s="325"/>
      <c r="WAG4" s="325"/>
      <c r="WAH4" s="325"/>
      <c r="WAI4" s="325"/>
      <c r="WAJ4" s="325"/>
      <c r="WAK4" s="325"/>
      <c r="WAL4" s="325"/>
      <c r="WAM4" s="325"/>
      <c r="WAN4" s="325"/>
      <c r="WAO4" s="325"/>
      <c r="WAP4" s="325"/>
      <c r="WAQ4" s="325"/>
      <c r="WAR4" s="325"/>
      <c r="WAS4" s="325"/>
      <c r="WAT4" s="325"/>
      <c r="WAU4" s="325"/>
      <c r="WAV4" s="325"/>
      <c r="WAW4" s="325"/>
      <c r="WAX4" s="325"/>
      <c r="WAY4" s="325"/>
      <c r="WAZ4" s="325"/>
      <c r="WBA4" s="325"/>
      <c r="WBB4" s="325"/>
      <c r="WBC4" s="325"/>
      <c r="WBD4" s="325"/>
      <c r="WBE4" s="325"/>
      <c r="WBF4" s="325"/>
      <c r="WBG4" s="325"/>
      <c r="WBH4" s="325"/>
      <c r="WBI4" s="325"/>
      <c r="WBJ4" s="325"/>
      <c r="WBK4" s="325"/>
      <c r="WBL4" s="325"/>
      <c r="WBM4" s="325"/>
      <c r="WBN4" s="325"/>
      <c r="WBO4" s="325"/>
      <c r="WBP4" s="325"/>
      <c r="WBQ4" s="325"/>
      <c r="WBR4" s="325"/>
      <c r="WBS4" s="325"/>
      <c r="WBT4" s="325"/>
      <c r="WBU4" s="325"/>
      <c r="WBV4" s="325"/>
      <c r="WBW4" s="325"/>
      <c r="WBX4" s="325"/>
      <c r="WBY4" s="325"/>
      <c r="WBZ4" s="325"/>
      <c r="WCA4" s="325"/>
      <c r="WCB4" s="325"/>
      <c r="WCC4" s="325"/>
      <c r="WCD4" s="325"/>
      <c r="WCE4" s="325"/>
      <c r="WCF4" s="325"/>
      <c r="WCG4" s="325"/>
      <c r="WCH4" s="325"/>
      <c r="WCI4" s="325"/>
      <c r="WCJ4" s="325"/>
      <c r="WCK4" s="325"/>
      <c r="WCL4" s="325"/>
      <c r="WCM4" s="325"/>
      <c r="WCN4" s="325"/>
      <c r="WCO4" s="325"/>
      <c r="WCP4" s="325"/>
      <c r="WCQ4" s="325"/>
      <c r="WCR4" s="325"/>
      <c r="WCS4" s="325"/>
      <c r="WCT4" s="325"/>
      <c r="WCU4" s="325"/>
      <c r="WCV4" s="325"/>
      <c r="WCW4" s="325"/>
      <c r="WCX4" s="325"/>
      <c r="WCY4" s="325"/>
      <c r="WCZ4" s="325"/>
      <c r="WDA4" s="325"/>
      <c r="WDB4" s="325"/>
      <c r="WDC4" s="325"/>
      <c r="WDD4" s="325"/>
      <c r="WDE4" s="325"/>
      <c r="WDF4" s="325"/>
      <c r="WDG4" s="325"/>
      <c r="WDH4" s="325"/>
      <c r="WDI4" s="325"/>
      <c r="WDJ4" s="325"/>
      <c r="WDK4" s="325"/>
      <c r="WDL4" s="325"/>
      <c r="WDM4" s="325"/>
      <c r="WDN4" s="325"/>
      <c r="WDO4" s="325"/>
      <c r="WDP4" s="325"/>
      <c r="WDQ4" s="325"/>
      <c r="WDR4" s="325"/>
      <c r="WDS4" s="325"/>
      <c r="WDT4" s="325"/>
      <c r="WDU4" s="325"/>
      <c r="WDV4" s="325"/>
      <c r="WDW4" s="325"/>
      <c r="WDX4" s="325"/>
      <c r="WDY4" s="325"/>
      <c r="WDZ4" s="325"/>
      <c r="WEA4" s="325"/>
      <c r="WEB4" s="325"/>
      <c r="WEC4" s="325"/>
      <c r="WED4" s="325"/>
      <c r="WEE4" s="325"/>
      <c r="WEF4" s="325"/>
      <c r="WEG4" s="325"/>
      <c r="WEH4" s="325"/>
      <c r="WEI4" s="325"/>
      <c r="WEJ4" s="325"/>
      <c r="WEK4" s="325"/>
      <c r="WEL4" s="325"/>
      <c r="WEM4" s="325"/>
      <c r="WEN4" s="325"/>
      <c r="WEO4" s="325"/>
      <c r="WEP4" s="325"/>
      <c r="WEQ4" s="325"/>
      <c r="WER4" s="325"/>
      <c r="WES4" s="325"/>
      <c r="WET4" s="325"/>
      <c r="WEU4" s="325"/>
      <c r="WEV4" s="325"/>
      <c r="WEW4" s="325"/>
      <c r="WEX4" s="325"/>
      <c r="WEY4" s="325"/>
      <c r="WEZ4" s="325"/>
      <c r="WFA4" s="325"/>
      <c r="WFB4" s="325"/>
      <c r="WFC4" s="325"/>
      <c r="WFD4" s="325"/>
      <c r="WFE4" s="325"/>
      <c r="WFF4" s="325"/>
      <c r="WFG4" s="325"/>
      <c r="WFH4" s="325"/>
      <c r="WFI4" s="325"/>
      <c r="WFJ4" s="325"/>
      <c r="WFK4" s="325"/>
      <c r="WFL4" s="325"/>
      <c r="WFM4" s="325"/>
      <c r="WFN4" s="325"/>
      <c r="WFO4" s="325"/>
      <c r="WFP4" s="325"/>
      <c r="WFQ4" s="325"/>
      <c r="WFR4" s="325"/>
      <c r="WFS4" s="325"/>
      <c r="WFT4" s="325"/>
      <c r="WFU4" s="325"/>
      <c r="WFV4" s="325"/>
      <c r="WFW4" s="325"/>
      <c r="WFX4" s="325"/>
      <c r="WFY4" s="325"/>
      <c r="WFZ4" s="325"/>
      <c r="WGA4" s="325"/>
      <c r="WGB4" s="325"/>
      <c r="WGC4" s="325"/>
      <c r="WGD4" s="325"/>
      <c r="WGE4" s="325"/>
      <c r="WGF4" s="325"/>
      <c r="WGG4" s="325"/>
      <c r="WGH4" s="325"/>
      <c r="WGI4" s="325"/>
      <c r="WGJ4" s="325"/>
      <c r="WGK4" s="325"/>
      <c r="WGL4" s="325"/>
      <c r="WGM4" s="325"/>
      <c r="WGN4" s="325"/>
      <c r="WGO4" s="325"/>
      <c r="WGP4" s="325"/>
      <c r="WGQ4" s="325"/>
      <c r="WGR4" s="325"/>
      <c r="WGS4" s="325"/>
      <c r="WGT4" s="325"/>
      <c r="WGU4" s="325"/>
      <c r="WGV4" s="325"/>
      <c r="WGW4" s="325"/>
      <c r="WGX4" s="325"/>
      <c r="WGY4" s="325"/>
      <c r="WGZ4" s="325"/>
      <c r="WHA4" s="325"/>
      <c r="WHB4" s="325"/>
      <c r="WHC4" s="325"/>
      <c r="WHD4" s="325"/>
      <c r="WHE4" s="325"/>
      <c r="WHF4" s="325"/>
      <c r="WHG4" s="325"/>
      <c r="WHH4" s="325"/>
      <c r="WHI4" s="325"/>
      <c r="WHJ4" s="325"/>
      <c r="WHK4" s="325"/>
      <c r="WHL4" s="325"/>
      <c r="WHM4" s="325"/>
      <c r="WHN4" s="325"/>
      <c r="WHO4" s="325"/>
      <c r="WHP4" s="325"/>
      <c r="WHQ4" s="325"/>
      <c r="WHR4" s="325"/>
      <c r="WHS4" s="325"/>
      <c r="WHT4" s="325"/>
      <c r="WHU4" s="325"/>
      <c r="WHV4" s="325"/>
      <c r="WHW4" s="325"/>
      <c r="WHX4" s="325"/>
      <c r="WHY4" s="325"/>
      <c r="WHZ4" s="325"/>
      <c r="WIA4" s="325"/>
      <c r="WIB4" s="325"/>
      <c r="WIC4" s="325"/>
      <c r="WID4" s="325"/>
      <c r="WIE4" s="325"/>
      <c r="WIF4" s="325"/>
      <c r="WIG4" s="325"/>
      <c r="WIH4" s="325"/>
      <c r="WII4" s="325"/>
      <c r="WIJ4" s="325"/>
      <c r="WIK4" s="325"/>
      <c r="WIL4" s="325"/>
      <c r="WIM4" s="325"/>
      <c r="WIN4" s="325"/>
      <c r="WIO4" s="325"/>
      <c r="WIP4" s="325"/>
      <c r="WIQ4" s="325"/>
      <c r="WIR4" s="325"/>
      <c r="WIS4" s="325"/>
      <c r="WIT4" s="325"/>
      <c r="WIU4" s="325"/>
      <c r="WIV4" s="325"/>
      <c r="WIW4" s="325"/>
      <c r="WIX4" s="325"/>
      <c r="WIY4" s="325"/>
      <c r="WIZ4" s="325"/>
      <c r="WJA4" s="325"/>
      <c r="WJB4" s="325"/>
      <c r="WJC4" s="325"/>
      <c r="WJD4" s="325"/>
      <c r="WJE4" s="325"/>
      <c r="WJF4" s="325"/>
      <c r="WJG4" s="325"/>
      <c r="WJH4" s="325"/>
      <c r="WJI4" s="325"/>
      <c r="WJJ4" s="325"/>
      <c r="WJK4" s="325"/>
      <c r="WJL4" s="325"/>
      <c r="WJM4" s="325"/>
      <c r="WJN4" s="325"/>
      <c r="WJO4" s="325"/>
      <c r="WJP4" s="325"/>
      <c r="WJQ4" s="325"/>
      <c r="WJR4" s="325"/>
      <c r="WJS4" s="325"/>
      <c r="WJT4" s="325"/>
      <c r="WJU4" s="325"/>
      <c r="WJV4" s="325"/>
      <c r="WJW4" s="325"/>
      <c r="WJX4" s="325"/>
      <c r="WJY4" s="325"/>
      <c r="WJZ4" s="325"/>
      <c r="WKA4" s="325"/>
      <c r="WKB4" s="325"/>
      <c r="WKC4" s="325"/>
      <c r="WKD4" s="325"/>
      <c r="WKE4" s="325"/>
      <c r="WKF4" s="325"/>
      <c r="WKG4" s="325"/>
      <c r="WKH4" s="325"/>
      <c r="WKI4" s="325"/>
      <c r="WKJ4" s="325"/>
      <c r="WKK4" s="325"/>
      <c r="WKL4" s="325"/>
      <c r="WKM4" s="325"/>
      <c r="WKN4" s="325"/>
      <c r="WKO4" s="325"/>
      <c r="WKP4" s="325"/>
      <c r="WKQ4" s="325"/>
      <c r="WKR4" s="325"/>
      <c r="WKS4" s="325"/>
      <c r="WKT4" s="325"/>
      <c r="WKU4" s="325"/>
      <c r="WKV4" s="325"/>
      <c r="WKW4" s="325"/>
      <c r="WKX4" s="325"/>
      <c r="WKY4" s="325"/>
      <c r="WKZ4" s="325"/>
      <c r="WLA4" s="325"/>
      <c r="WLB4" s="325"/>
      <c r="WLC4" s="325"/>
      <c r="WLD4" s="325"/>
      <c r="WLE4" s="325"/>
      <c r="WLF4" s="325"/>
      <c r="WLG4" s="325"/>
      <c r="WLH4" s="325"/>
      <c r="WLI4" s="325"/>
      <c r="WLJ4" s="325"/>
      <c r="WLK4" s="325"/>
      <c r="WLL4" s="325"/>
      <c r="WLM4" s="325"/>
      <c r="WLN4" s="325"/>
      <c r="WLO4" s="325"/>
      <c r="WLP4" s="325"/>
      <c r="WLQ4" s="325"/>
      <c r="WLR4" s="325"/>
      <c r="WLS4" s="325"/>
      <c r="WLT4" s="325"/>
      <c r="WLU4" s="325"/>
      <c r="WLV4" s="325"/>
      <c r="WLW4" s="325"/>
      <c r="WLX4" s="325"/>
      <c r="WLY4" s="325"/>
      <c r="WLZ4" s="325"/>
      <c r="WMA4" s="325"/>
      <c r="WMB4" s="325"/>
      <c r="WMC4" s="325"/>
      <c r="WMD4" s="325"/>
      <c r="WME4" s="325"/>
      <c r="WMF4" s="325"/>
      <c r="WMG4" s="325"/>
      <c r="WMH4" s="325"/>
      <c r="WMI4" s="325"/>
      <c r="WMJ4" s="325"/>
      <c r="WMK4" s="325"/>
      <c r="WML4" s="325"/>
      <c r="WMM4" s="325"/>
      <c r="WMN4" s="325"/>
      <c r="WMO4" s="325"/>
      <c r="WMP4" s="325"/>
      <c r="WMQ4" s="325"/>
      <c r="WMR4" s="325"/>
      <c r="WMS4" s="325"/>
      <c r="WMT4" s="325"/>
      <c r="WMU4" s="325"/>
      <c r="WMV4" s="325"/>
      <c r="WMW4" s="325"/>
      <c r="WMX4" s="325"/>
      <c r="WMY4" s="325"/>
      <c r="WMZ4" s="325"/>
      <c r="WNA4" s="325"/>
      <c r="WNB4" s="325"/>
      <c r="WNC4" s="325"/>
      <c r="WND4" s="325"/>
      <c r="WNE4" s="325"/>
      <c r="WNF4" s="325"/>
      <c r="WNG4" s="325"/>
      <c r="WNH4" s="325"/>
      <c r="WNI4" s="325"/>
      <c r="WNJ4" s="325"/>
      <c r="WNK4" s="325"/>
      <c r="WNL4" s="325"/>
      <c r="WNM4" s="325"/>
      <c r="WNN4" s="325"/>
      <c r="WNO4" s="325"/>
      <c r="WNP4" s="325"/>
      <c r="WNQ4" s="325"/>
      <c r="WNR4" s="325"/>
      <c r="WNS4" s="325"/>
      <c r="WNT4" s="325"/>
      <c r="WNU4" s="325"/>
      <c r="WNV4" s="325"/>
      <c r="WNW4" s="325"/>
      <c r="WNX4" s="325"/>
      <c r="WNY4" s="325"/>
      <c r="WNZ4" s="325"/>
      <c r="WOA4" s="325"/>
      <c r="WOB4" s="325"/>
      <c r="WOC4" s="325"/>
      <c r="WOD4" s="325"/>
      <c r="WOE4" s="325"/>
      <c r="WOF4" s="325"/>
      <c r="WOG4" s="325"/>
      <c r="WOH4" s="325"/>
      <c r="WOI4" s="325"/>
      <c r="WOJ4" s="325"/>
      <c r="WOK4" s="325"/>
      <c r="WOL4" s="325"/>
      <c r="WOM4" s="325"/>
      <c r="WON4" s="325"/>
      <c r="WOO4" s="325"/>
      <c r="WOP4" s="325"/>
      <c r="WOQ4" s="325"/>
      <c r="WOR4" s="325"/>
      <c r="WOS4" s="325"/>
      <c r="WOT4" s="325"/>
      <c r="WOU4" s="325"/>
      <c r="WOV4" s="325"/>
      <c r="WOW4" s="325"/>
      <c r="WOX4" s="325"/>
      <c r="WOY4" s="325"/>
      <c r="WOZ4" s="325"/>
      <c r="WPA4" s="325"/>
      <c r="WPB4" s="325"/>
      <c r="WPC4" s="325"/>
      <c r="WPD4" s="325"/>
      <c r="WPE4" s="325"/>
      <c r="WPF4" s="325"/>
      <c r="WPG4" s="325"/>
      <c r="WPH4" s="325"/>
      <c r="WPI4" s="325"/>
      <c r="WPJ4" s="325"/>
      <c r="WPK4" s="325"/>
      <c r="WPL4" s="325"/>
      <c r="WPM4" s="325"/>
      <c r="WPN4" s="325"/>
      <c r="WPO4" s="325"/>
      <c r="WPP4" s="325"/>
      <c r="WPQ4" s="325"/>
      <c r="WPR4" s="325"/>
      <c r="WPS4" s="325"/>
      <c r="WPT4" s="325"/>
      <c r="WPU4" s="325"/>
      <c r="WPV4" s="325"/>
      <c r="WPW4" s="325"/>
      <c r="WPX4" s="325"/>
      <c r="WPY4" s="325"/>
      <c r="WPZ4" s="325"/>
      <c r="WQA4" s="325"/>
      <c r="WQB4" s="325"/>
      <c r="WQC4" s="325"/>
      <c r="WQD4" s="325"/>
      <c r="WQE4" s="325"/>
      <c r="WQF4" s="325"/>
      <c r="WQG4" s="325"/>
      <c r="WQH4" s="325"/>
      <c r="WQI4" s="325"/>
      <c r="WQJ4" s="325"/>
      <c r="WQK4" s="325"/>
      <c r="WQL4" s="325"/>
      <c r="WQM4" s="325"/>
      <c r="WQN4" s="325"/>
      <c r="WQO4" s="325"/>
      <c r="WQP4" s="325"/>
      <c r="WQQ4" s="325"/>
      <c r="WQR4" s="325"/>
      <c r="WQS4" s="325"/>
      <c r="WQT4" s="325"/>
      <c r="WQU4" s="325"/>
      <c r="WQV4" s="325"/>
      <c r="WQW4" s="325"/>
      <c r="WQX4" s="325"/>
      <c r="WQY4" s="325"/>
      <c r="WQZ4" s="325"/>
      <c r="WRA4" s="325"/>
      <c r="WRB4" s="325"/>
      <c r="WRC4" s="325"/>
      <c r="WRD4" s="325"/>
      <c r="WRE4" s="325"/>
      <c r="WRF4" s="325"/>
      <c r="WRG4" s="325"/>
      <c r="WRH4" s="325"/>
      <c r="WRI4" s="325"/>
      <c r="WRJ4" s="325"/>
      <c r="WRK4" s="325"/>
      <c r="WRL4" s="325"/>
      <c r="WRM4" s="325"/>
      <c r="WRN4" s="325"/>
      <c r="WRO4" s="325"/>
      <c r="WRP4" s="325"/>
      <c r="WRQ4" s="325"/>
      <c r="WRR4" s="325"/>
      <c r="WRS4" s="325"/>
      <c r="WRT4" s="325"/>
      <c r="WRU4" s="325"/>
      <c r="WRV4" s="325"/>
      <c r="WRW4" s="325"/>
      <c r="WRX4" s="325"/>
      <c r="WRY4" s="325"/>
      <c r="WRZ4" s="325"/>
      <c r="WSA4" s="325"/>
      <c r="WSB4" s="325"/>
      <c r="WSC4" s="325"/>
      <c r="WSD4" s="325"/>
      <c r="WSE4" s="325"/>
      <c r="WSF4" s="325"/>
      <c r="WSG4" s="325"/>
      <c r="WSH4" s="325"/>
      <c r="WSI4" s="325"/>
      <c r="WSJ4" s="325"/>
      <c r="WSK4" s="325"/>
      <c r="WSL4" s="325"/>
      <c r="WSM4" s="325"/>
      <c r="WSN4" s="325"/>
      <c r="WSO4" s="325"/>
      <c r="WSP4" s="325"/>
      <c r="WSQ4" s="325"/>
      <c r="WSR4" s="325"/>
      <c r="WSS4" s="325"/>
      <c r="WST4" s="325"/>
      <c r="WSU4" s="325"/>
      <c r="WSV4" s="325"/>
      <c r="WSW4" s="325"/>
      <c r="WSX4" s="325"/>
      <c r="WSY4" s="325"/>
      <c r="WSZ4" s="325"/>
      <c r="WTA4" s="325"/>
      <c r="WTB4" s="325"/>
      <c r="WTC4" s="325"/>
      <c r="WTD4" s="325"/>
      <c r="WTE4" s="325"/>
      <c r="WTF4" s="325"/>
      <c r="WTG4" s="325"/>
      <c r="WTH4" s="325"/>
      <c r="WTI4" s="325"/>
      <c r="WTJ4" s="325"/>
      <c r="WTK4" s="325"/>
      <c r="WTL4" s="325"/>
      <c r="WTM4" s="325"/>
      <c r="WTN4" s="325"/>
      <c r="WTO4" s="325"/>
      <c r="WTP4" s="325"/>
      <c r="WTQ4" s="325"/>
      <c r="WTR4" s="325"/>
      <c r="WTS4" s="325"/>
      <c r="WTT4" s="325"/>
      <c r="WTU4" s="325"/>
      <c r="WTV4" s="325"/>
      <c r="WTW4" s="325"/>
      <c r="WTX4" s="325"/>
      <c r="WTY4" s="325"/>
      <c r="WTZ4" s="325"/>
      <c r="WUA4" s="325"/>
      <c r="WUB4" s="325"/>
      <c r="WUC4" s="325"/>
      <c r="WUD4" s="325"/>
      <c r="WUE4" s="325"/>
      <c r="WUF4" s="325"/>
      <c r="WUG4" s="325"/>
      <c r="WUH4" s="325"/>
      <c r="WUI4" s="325"/>
      <c r="WUJ4" s="325"/>
      <c r="WUK4" s="325"/>
      <c r="WUL4" s="325"/>
      <c r="WUM4" s="325"/>
      <c r="WUN4" s="325"/>
      <c r="WUO4" s="325"/>
      <c r="WUP4" s="325"/>
      <c r="WUQ4" s="325"/>
      <c r="WUR4" s="325"/>
      <c r="WUS4" s="325"/>
      <c r="WUT4" s="325"/>
      <c r="WUU4" s="325"/>
      <c r="WUV4" s="325"/>
      <c r="WUW4" s="325"/>
      <c r="WUX4" s="325"/>
      <c r="WUY4" s="325"/>
      <c r="WUZ4" s="325"/>
      <c r="WVA4" s="325"/>
      <c r="WVB4" s="325"/>
      <c r="WVC4" s="325"/>
      <c r="WVD4" s="325"/>
      <c r="WVE4" s="325"/>
      <c r="WVF4" s="325"/>
      <c r="WVG4" s="325"/>
      <c r="WVH4" s="325"/>
      <c r="WVI4" s="325"/>
      <c r="WVJ4" s="325"/>
      <c r="WVK4" s="325"/>
      <c r="WVL4" s="325"/>
      <c r="WVM4" s="325"/>
      <c r="WVN4" s="325"/>
      <c r="WVO4" s="325"/>
      <c r="WVP4" s="325"/>
      <c r="WVQ4" s="325"/>
      <c r="WVR4" s="325"/>
      <c r="WVS4" s="325"/>
      <c r="WVT4" s="325"/>
      <c r="WVU4" s="325"/>
      <c r="WVV4" s="325"/>
      <c r="WVW4" s="325"/>
      <c r="WVX4" s="325"/>
      <c r="WVY4" s="325"/>
      <c r="WVZ4" s="325"/>
      <c r="WWA4" s="325"/>
      <c r="WWB4" s="325"/>
      <c r="WWC4" s="325"/>
      <c r="WWD4" s="325"/>
      <c r="WWE4" s="325"/>
      <c r="WWF4" s="325"/>
      <c r="WWG4" s="325"/>
      <c r="WWH4" s="325"/>
      <c r="WWI4" s="325"/>
      <c r="WWJ4" s="325"/>
      <c r="WWK4" s="325"/>
      <c r="WWL4" s="325"/>
      <c r="WWM4" s="325"/>
      <c r="WWN4" s="325"/>
      <c r="WWO4" s="325"/>
      <c r="WWP4" s="325"/>
      <c r="WWQ4" s="325"/>
      <c r="WWR4" s="325"/>
      <c r="WWS4" s="325"/>
      <c r="WWT4" s="325"/>
      <c r="WWU4" s="325"/>
      <c r="WWV4" s="325"/>
      <c r="WWW4" s="325"/>
      <c r="WWX4" s="325"/>
      <c r="WWY4" s="325"/>
      <c r="WWZ4" s="325"/>
      <c r="WXA4" s="325"/>
      <c r="WXB4" s="325"/>
      <c r="WXC4" s="325"/>
      <c r="WXD4" s="325"/>
      <c r="WXE4" s="325"/>
      <c r="WXF4" s="325"/>
      <c r="WXG4" s="325"/>
      <c r="WXH4" s="325"/>
      <c r="WXI4" s="325"/>
      <c r="WXJ4" s="325"/>
      <c r="WXK4" s="325"/>
      <c r="WXL4" s="325"/>
      <c r="WXM4" s="325"/>
      <c r="WXN4" s="325"/>
      <c r="WXO4" s="325"/>
      <c r="WXP4" s="325"/>
      <c r="WXQ4" s="325"/>
      <c r="WXR4" s="325"/>
      <c r="WXS4" s="325"/>
      <c r="WXT4" s="325"/>
      <c r="WXU4" s="325"/>
      <c r="WXV4" s="325"/>
      <c r="WXW4" s="325"/>
      <c r="WXX4" s="325"/>
      <c r="WXY4" s="325"/>
      <c r="WXZ4" s="325"/>
      <c r="WYA4" s="325"/>
      <c r="WYB4" s="325"/>
      <c r="WYC4" s="325"/>
      <c r="WYD4" s="325"/>
      <c r="WYE4" s="325"/>
      <c r="WYF4" s="325"/>
      <c r="WYG4" s="325"/>
      <c r="WYH4" s="325"/>
      <c r="WYI4" s="325"/>
      <c r="WYJ4" s="325"/>
      <c r="WYK4" s="325"/>
      <c r="WYL4" s="325"/>
      <c r="WYM4" s="325"/>
      <c r="WYN4" s="325"/>
      <c r="WYO4" s="325"/>
      <c r="WYP4" s="325"/>
      <c r="WYQ4" s="325"/>
      <c r="WYR4" s="325"/>
      <c r="WYS4" s="325"/>
      <c r="WYT4" s="325"/>
      <c r="WYU4" s="325"/>
      <c r="WYV4" s="325"/>
      <c r="WYW4" s="325"/>
      <c r="WYX4" s="325"/>
      <c r="WYY4" s="325"/>
      <c r="WYZ4" s="325"/>
      <c r="WZA4" s="325"/>
      <c r="WZB4" s="325"/>
      <c r="WZC4" s="325"/>
      <c r="WZD4" s="325"/>
      <c r="WZE4" s="325"/>
      <c r="WZF4" s="325"/>
      <c r="WZG4" s="325"/>
      <c r="WZH4" s="325"/>
      <c r="WZI4" s="325"/>
      <c r="WZJ4" s="325"/>
      <c r="WZK4" s="325"/>
      <c r="WZL4" s="325"/>
      <c r="WZM4" s="325"/>
      <c r="WZN4" s="325"/>
      <c r="WZO4" s="325"/>
      <c r="WZP4" s="325"/>
      <c r="WZQ4" s="325"/>
      <c r="WZR4" s="325"/>
      <c r="WZS4" s="325"/>
      <c r="WZT4" s="325"/>
      <c r="WZU4" s="325"/>
      <c r="WZV4" s="325"/>
      <c r="WZW4" s="325"/>
      <c r="WZX4" s="325"/>
      <c r="WZY4" s="325"/>
      <c r="WZZ4" s="325"/>
      <c r="XAA4" s="325"/>
      <c r="XAB4" s="325"/>
      <c r="XAC4" s="325"/>
      <c r="XAD4" s="325"/>
      <c r="XAE4" s="325"/>
      <c r="XAF4" s="325"/>
      <c r="XAG4" s="325"/>
      <c r="XAH4" s="325"/>
      <c r="XAI4" s="325"/>
      <c r="XAJ4" s="325"/>
      <c r="XAK4" s="325"/>
      <c r="XAL4" s="325"/>
      <c r="XAM4" s="325"/>
      <c r="XAN4" s="325"/>
      <c r="XAO4" s="325"/>
      <c r="XAP4" s="325"/>
      <c r="XAQ4" s="325"/>
      <c r="XAR4" s="325"/>
      <c r="XAS4" s="325"/>
      <c r="XAT4" s="325"/>
      <c r="XAU4" s="325"/>
      <c r="XAV4" s="325"/>
      <c r="XAW4" s="325"/>
      <c r="XAX4" s="325"/>
      <c r="XAY4" s="325"/>
      <c r="XAZ4" s="325"/>
      <c r="XBA4" s="325"/>
      <c r="XBB4" s="325"/>
      <c r="XBC4" s="325"/>
      <c r="XBD4" s="325"/>
      <c r="XBE4" s="325"/>
      <c r="XBF4" s="325"/>
      <c r="XBG4" s="325"/>
      <c r="XBH4" s="325"/>
      <c r="XBI4" s="325"/>
      <c r="XBJ4" s="325"/>
      <c r="XBK4" s="325"/>
      <c r="XBL4" s="325"/>
      <c r="XBM4" s="325"/>
      <c r="XBN4" s="325"/>
      <c r="XBO4" s="325"/>
      <c r="XBP4" s="325"/>
      <c r="XBQ4" s="325"/>
      <c r="XBR4" s="325"/>
      <c r="XBS4" s="325"/>
      <c r="XBT4" s="325"/>
      <c r="XBU4" s="325"/>
      <c r="XBV4" s="325"/>
      <c r="XBW4" s="325"/>
      <c r="XBX4" s="325"/>
      <c r="XBY4" s="325"/>
      <c r="XBZ4" s="325"/>
      <c r="XCA4" s="325"/>
      <c r="XCB4" s="325"/>
      <c r="XCC4" s="325"/>
      <c r="XCD4" s="325"/>
      <c r="XCE4" s="325"/>
      <c r="XCF4" s="325"/>
      <c r="XCG4" s="325"/>
      <c r="XCH4" s="325"/>
      <c r="XCI4" s="325"/>
      <c r="XCJ4" s="325"/>
      <c r="XCK4" s="325"/>
      <c r="XCL4" s="325"/>
      <c r="XCM4" s="325"/>
      <c r="XCN4" s="325"/>
      <c r="XCO4" s="325"/>
      <c r="XCP4" s="325"/>
      <c r="XCQ4" s="325"/>
      <c r="XCR4" s="325"/>
      <c r="XCS4" s="325"/>
      <c r="XCT4" s="325"/>
      <c r="XCU4" s="325"/>
      <c r="XCV4" s="325"/>
      <c r="XCW4" s="325"/>
      <c r="XCX4" s="325"/>
      <c r="XCY4" s="325"/>
      <c r="XCZ4" s="325"/>
      <c r="XDA4" s="325"/>
      <c r="XDB4" s="325"/>
      <c r="XDC4" s="325"/>
      <c r="XDD4" s="325"/>
      <c r="XDE4" s="325"/>
      <c r="XDF4" s="325"/>
      <c r="XDG4" s="325"/>
      <c r="XDH4" s="325"/>
      <c r="XDI4" s="325"/>
      <c r="XDJ4" s="325"/>
      <c r="XDK4" s="325"/>
      <c r="XDL4" s="325"/>
      <c r="XDM4" s="325"/>
      <c r="XDN4" s="325"/>
      <c r="XDO4" s="325"/>
      <c r="XDP4" s="325"/>
      <c r="XDQ4" s="325"/>
      <c r="XDR4" s="325"/>
      <c r="XDS4" s="325"/>
      <c r="XDT4" s="325"/>
      <c r="XDU4" s="325"/>
      <c r="XDV4" s="325"/>
      <c r="XDW4" s="325"/>
      <c r="XDX4" s="325"/>
      <c r="XDY4" s="325"/>
      <c r="XDZ4" s="325"/>
      <c r="XEA4" s="325"/>
      <c r="XEB4" s="325"/>
      <c r="XEC4" s="325"/>
      <c r="XED4" s="325"/>
      <c r="XEE4" s="325"/>
      <c r="XEF4" s="325"/>
      <c r="XEG4" s="325"/>
      <c r="XEH4" s="325"/>
      <c r="XEI4" s="325"/>
      <c r="XEJ4" s="325"/>
      <c r="XEK4" s="325"/>
      <c r="XEL4" s="325"/>
      <c r="XEM4" s="325"/>
      <c r="XEN4" s="325"/>
      <c r="XEO4" s="325"/>
      <c r="XEP4" s="325"/>
      <c r="XEQ4" s="325"/>
      <c r="XER4" s="325"/>
      <c r="XES4" s="325"/>
      <c r="XET4" s="325"/>
      <c r="XEU4" s="325"/>
      <c r="XEV4" s="325"/>
      <c r="XEW4" s="325"/>
      <c r="XEX4" s="325"/>
    </row>
    <row r="5" spans="1:16378" x14ac:dyDescent="0.25">
      <c r="A5" s="430"/>
      <c r="B5" s="468" t="s">
        <v>159</v>
      </c>
      <c r="C5" s="466" t="s">
        <v>160</v>
      </c>
      <c r="D5" s="466" t="s">
        <v>161</v>
      </c>
      <c r="E5" s="468" t="s">
        <v>162</v>
      </c>
      <c r="F5" s="326">
        <v>45979</v>
      </c>
      <c r="G5" s="326">
        <v>45980</v>
      </c>
      <c r="H5" s="317" t="s">
        <v>163</v>
      </c>
      <c r="I5" s="318">
        <v>0.33333333333333331</v>
      </c>
      <c r="J5" s="318"/>
      <c r="K5" s="330"/>
      <c r="L5" s="317"/>
      <c r="M5" s="317"/>
      <c r="N5" s="317"/>
      <c r="O5" s="317"/>
      <c r="P5" s="320" t="s">
        <v>164</v>
      </c>
      <c r="Q5" s="320"/>
      <c r="R5" s="321"/>
      <c r="S5" s="316">
        <v>30</v>
      </c>
      <c r="T5" s="322">
        <v>16</v>
      </c>
      <c r="U5" s="323">
        <v>2</v>
      </c>
      <c r="V5" s="324">
        <v>0</v>
      </c>
      <c r="W5" s="322"/>
      <c r="X5" s="322"/>
      <c r="Y5" s="323"/>
      <c r="Z5" s="323"/>
      <c r="AA5" s="316"/>
      <c r="AB5" s="316"/>
      <c r="AC5" s="316"/>
      <c r="AD5" s="316"/>
      <c r="AE5" s="316"/>
      <c r="AF5" s="322">
        <v>1</v>
      </c>
      <c r="AG5" s="334" t="s">
        <v>165</v>
      </c>
      <c r="AH5" s="325"/>
      <c r="AI5" s="325"/>
      <c r="AJ5" s="325"/>
      <c r="AK5" s="325"/>
      <c r="AL5" s="325"/>
      <c r="AM5" s="325"/>
      <c r="AN5" s="325"/>
      <c r="AO5" s="325"/>
      <c r="AP5" s="325"/>
      <c r="AQ5" s="325"/>
      <c r="AR5" s="325"/>
      <c r="AS5" s="325"/>
      <c r="AT5" s="325"/>
      <c r="AU5" s="325"/>
      <c r="AV5" s="325"/>
      <c r="AW5" s="325"/>
      <c r="AX5" s="325"/>
      <c r="AY5" s="325"/>
      <c r="AZ5" s="325"/>
      <c r="BA5" s="325"/>
      <c r="BB5" s="325"/>
      <c r="BC5" s="325"/>
      <c r="BD5" s="325"/>
      <c r="BE5" s="325"/>
      <c r="BF5" s="325"/>
      <c r="BG5" s="325"/>
      <c r="BH5" s="325"/>
      <c r="BI5" s="325"/>
      <c r="BJ5" s="325"/>
      <c r="BK5" s="325"/>
      <c r="BL5" s="325"/>
      <c r="BM5" s="325"/>
      <c r="BN5" s="325"/>
      <c r="BO5" s="325"/>
      <c r="BP5" s="325"/>
      <c r="BQ5" s="325"/>
      <c r="BR5" s="325"/>
      <c r="BS5" s="325"/>
      <c r="BT5" s="325"/>
      <c r="BU5" s="325"/>
      <c r="BV5" s="325"/>
      <c r="BW5" s="325"/>
      <c r="BX5" s="325"/>
      <c r="BY5" s="325"/>
      <c r="BZ5" s="325"/>
      <c r="CA5" s="325"/>
      <c r="CB5" s="325"/>
      <c r="CC5" s="325"/>
      <c r="CD5" s="325"/>
      <c r="CE5" s="325"/>
      <c r="CF5" s="325"/>
      <c r="CG5" s="325"/>
      <c r="CH5" s="325"/>
      <c r="CI5" s="325"/>
      <c r="CJ5" s="325"/>
      <c r="CK5" s="325"/>
      <c r="CL5" s="325"/>
      <c r="CM5" s="325"/>
      <c r="CN5" s="325"/>
      <c r="CO5" s="325"/>
      <c r="CP5" s="325"/>
      <c r="CQ5" s="325"/>
      <c r="CR5" s="325"/>
      <c r="CS5" s="325"/>
      <c r="CT5" s="325"/>
      <c r="CU5" s="325"/>
      <c r="CV5" s="325"/>
      <c r="CW5" s="325"/>
      <c r="CX5" s="325"/>
      <c r="CY5" s="325"/>
      <c r="CZ5" s="325"/>
      <c r="DA5" s="325"/>
      <c r="DB5" s="325"/>
      <c r="DC5" s="325"/>
      <c r="DD5" s="325"/>
      <c r="DE5" s="325"/>
      <c r="DF5" s="325"/>
      <c r="DG5" s="325"/>
      <c r="DH5" s="325"/>
      <c r="DI5" s="325"/>
      <c r="DJ5" s="325"/>
      <c r="DK5" s="325"/>
      <c r="DL5" s="325"/>
      <c r="DM5" s="325"/>
      <c r="DN5" s="325"/>
      <c r="DO5" s="325"/>
      <c r="DP5" s="325"/>
      <c r="DQ5" s="325"/>
      <c r="DR5" s="325"/>
      <c r="DS5" s="325"/>
      <c r="DT5" s="325"/>
      <c r="DU5" s="325"/>
      <c r="DV5" s="325"/>
      <c r="DW5" s="325"/>
      <c r="DX5" s="325"/>
      <c r="DY5" s="325"/>
      <c r="DZ5" s="325"/>
      <c r="EA5" s="325"/>
      <c r="EB5" s="325"/>
      <c r="EC5" s="325"/>
      <c r="ED5" s="325"/>
      <c r="EE5" s="325"/>
      <c r="EF5" s="325"/>
      <c r="EG5" s="325"/>
      <c r="EH5" s="325"/>
      <c r="EI5" s="325"/>
      <c r="EJ5" s="325"/>
      <c r="EK5" s="325"/>
      <c r="EL5" s="325"/>
      <c r="EM5" s="325"/>
      <c r="EN5" s="325"/>
      <c r="EO5" s="325"/>
      <c r="EP5" s="325"/>
      <c r="EQ5" s="325"/>
      <c r="ER5" s="325"/>
      <c r="ES5" s="325"/>
      <c r="ET5" s="325"/>
      <c r="EU5" s="325"/>
      <c r="EV5" s="325"/>
      <c r="EW5" s="325"/>
      <c r="EX5" s="325"/>
      <c r="EY5" s="325"/>
      <c r="EZ5" s="325"/>
      <c r="FA5" s="325"/>
      <c r="FB5" s="325"/>
      <c r="FC5" s="325"/>
      <c r="FD5" s="325"/>
      <c r="FE5" s="325"/>
      <c r="FF5" s="325"/>
      <c r="FG5" s="325"/>
      <c r="FH5" s="325"/>
      <c r="FI5" s="325"/>
      <c r="FJ5" s="325"/>
      <c r="FK5" s="325"/>
      <c r="FL5" s="325"/>
      <c r="FM5" s="325"/>
      <c r="FN5" s="325"/>
      <c r="FO5" s="325"/>
      <c r="FP5" s="325"/>
      <c r="FQ5" s="325"/>
      <c r="FR5" s="325"/>
      <c r="FS5" s="325"/>
      <c r="FT5" s="325"/>
      <c r="FU5" s="325"/>
      <c r="FV5" s="325"/>
      <c r="FW5" s="325"/>
      <c r="FX5" s="325"/>
      <c r="FY5" s="325"/>
      <c r="FZ5" s="325"/>
      <c r="GA5" s="325"/>
      <c r="GB5" s="325"/>
      <c r="GC5" s="325"/>
      <c r="GD5" s="325"/>
      <c r="GE5" s="325"/>
      <c r="GF5" s="325"/>
      <c r="GG5" s="325"/>
      <c r="GH5" s="325"/>
      <c r="GI5" s="325"/>
      <c r="GJ5" s="325"/>
      <c r="GK5" s="325"/>
      <c r="GL5" s="325"/>
      <c r="GM5" s="325"/>
      <c r="GN5" s="325"/>
      <c r="GO5" s="325"/>
      <c r="GP5" s="325"/>
      <c r="GQ5" s="325"/>
      <c r="GR5" s="325"/>
      <c r="GS5" s="325"/>
      <c r="GT5" s="325"/>
      <c r="GU5" s="325"/>
      <c r="GV5" s="325"/>
      <c r="GW5" s="325"/>
      <c r="GX5" s="325"/>
      <c r="GY5" s="325"/>
      <c r="GZ5" s="325"/>
      <c r="HA5" s="325"/>
      <c r="HB5" s="325"/>
      <c r="HC5" s="325"/>
      <c r="HD5" s="325"/>
      <c r="HE5" s="325"/>
      <c r="HF5" s="325"/>
      <c r="HG5" s="325"/>
      <c r="HH5" s="325"/>
      <c r="HI5" s="325"/>
      <c r="HJ5" s="325"/>
      <c r="HK5" s="325"/>
      <c r="HL5" s="325"/>
      <c r="HM5" s="325"/>
      <c r="HN5" s="325"/>
      <c r="HO5" s="325"/>
      <c r="HP5" s="325"/>
      <c r="HQ5" s="325"/>
      <c r="HR5" s="325"/>
      <c r="HS5" s="325"/>
      <c r="HT5" s="325"/>
      <c r="HU5" s="325"/>
      <c r="HV5" s="325"/>
      <c r="HW5" s="325"/>
      <c r="HX5" s="325"/>
      <c r="HY5" s="325"/>
      <c r="HZ5" s="325"/>
      <c r="IA5" s="325"/>
      <c r="IB5" s="325"/>
      <c r="IC5" s="325"/>
      <c r="ID5" s="325"/>
      <c r="IE5" s="325"/>
      <c r="IF5" s="325"/>
      <c r="IG5" s="325"/>
      <c r="IH5" s="325"/>
      <c r="II5" s="325"/>
      <c r="IJ5" s="325"/>
      <c r="IK5" s="325"/>
      <c r="IL5" s="325"/>
      <c r="IM5" s="325"/>
      <c r="IN5" s="325"/>
      <c r="IO5" s="325"/>
      <c r="IP5" s="325"/>
      <c r="IQ5" s="325"/>
      <c r="IR5" s="325"/>
      <c r="IS5" s="325"/>
      <c r="IT5" s="325"/>
      <c r="IU5" s="325"/>
      <c r="IV5" s="325"/>
      <c r="IW5" s="325"/>
      <c r="IX5" s="325"/>
      <c r="IY5" s="325"/>
      <c r="IZ5" s="325"/>
      <c r="JA5" s="325"/>
      <c r="JB5" s="325"/>
      <c r="JC5" s="325"/>
      <c r="JD5" s="325"/>
      <c r="JE5" s="325"/>
      <c r="JF5" s="325"/>
      <c r="JG5" s="325"/>
      <c r="JH5" s="325"/>
      <c r="JI5" s="325"/>
      <c r="JJ5" s="325"/>
      <c r="JK5" s="325"/>
      <c r="JL5" s="325"/>
      <c r="JM5" s="325"/>
      <c r="JN5" s="325"/>
      <c r="JO5" s="325"/>
      <c r="JP5" s="325"/>
      <c r="JQ5" s="325"/>
      <c r="JR5" s="325"/>
      <c r="JS5" s="325"/>
      <c r="JT5" s="325"/>
      <c r="JU5" s="325"/>
      <c r="JV5" s="325"/>
      <c r="JW5" s="325"/>
      <c r="JX5" s="325"/>
      <c r="JY5" s="325"/>
      <c r="JZ5" s="325"/>
      <c r="KA5" s="325"/>
      <c r="KB5" s="325"/>
      <c r="KC5" s="325"/>
      <c r="KD5" s="325"/>
      <c r="KE5" s="325"/>
      <c r="KF5" s="325"/>
      <c r="KG5" s="325"/>
      <c r="KH5" s="325"/>
      <c r="KI5" s="325"/>
      <c r="KJ5" s="325"/>
      <c r="KK5" s="325"/>
      <c r="KL5" s="325"/>
      <c r="KM5" s="325"/>
      <c r="KN5" s="325"/>
      <c r="KO5" s="325"/>
      <c r="KP5" s="325"/>
      <c r="KQ5" s="325"/>
      <c r="KR5" s="325"/>
      <c r="KS5" s="325"/>
      <c r="KT5" s="325"/>
      <c r="KU5" s="325"/>
      <c r="KV5" s="325"/>
      <c r="KW5" s="325"/>
      <c r="KX5" s="325"/>
      <c r="KY5" s="325"/>
      <c r="KZ5" s="325"/>
      <c r="LA5" s="325"/>
      <c r="LB5" s="325"/>
      <c r="LC5" s="325"/>
      <c r="LD5" s="325"/>
      <c r="LE5" s="325"/>
      <c r="LF5" s="325"/>
      <c r="LG5" s="325"/>
      <c r="LH5" s="325"/>
      <c r="LI5" s="325"/>
      <c r="LJ5" s="325"/>
      <c r="LK5" s="325"/>
      <c r="LL5" s="325"/>
      <c r="LM5" s="325"/>
      <c r="LN5" s="325"/>
      <c r="LO5" s="325"/>
      <c r="LP5" s="325"/>
      <c r="LQ5" s="325"/>
      <c r="LR5" s="325"/>
      <c r="LS5" s="325"/>
      <c r="LT5" s="325"/>
      <c r="LU5" s="325"/>
      <c r="LV5" s="325"/>
      <c r="LW5" s="325"/>
      <c r="LX5" s="325"/>
      <c r="LY5" s="325"/>
      <c r="LZ5" s="325"/>
      <c r="MA5" s="325"/>
      <c r="MB5" s="325"/>
      <c r="MC5" s="325"/>
      <c r="MD5" s="325"/>
      <c r="ME5" s="325"/>
      <c r="MF5" s="325"/>
      <c r="MG5" s="325"/>
      <c r="MH5" s="325"/>
      <c r="MI5" s="325"/>
      <c r="MJ5" s="325"/>
      <c r="MK5" s="325"/>
      <c r="ML5" s="325"/>
      <c r="MM5" s="325"/>
      <c r="MN5" s="325"/>
      <c r="MO5" s="325"/>
      <c r="MP5" s="325"/>
      <c r="MQ5" s="325"/>
      <c r="MR5" s="325"/>
      <c r="MS5" s="325"/>
      <c r="MT5" s="325"/>
      <c r="MU5" s="325"/>
      <c r="MV5" s="325"/>
      <c r="MW5" s="325"/>
      <c r="MX5" s="325"/>
      <c r="MY5" s="325"/>
      <c r="MZ5" s="325"/>
      <c r="NA5" s="325"/>
      <c r="NB5" s="325"/>
      <c r="NC5" s="325"/>
      <c r="ND5" s="325"/>
      <c r="NE5" s="325"/>
      <c r="NF5" s="325"/>
      <c r="NG5" s="325"/>
      <c r="NH5" s="325"/>
      <c r="NI5" s="325"/>
      <c r="NJ5" s="325"/>
      <c r="NK5" s="325"/>
      <c r="NL5" s="325"/>
      <c r="NM5" s="325"/>
      <c r="NN5" s="325"/>
      <c r="NO5" s="325"/>
      <c r="NP5" s="325"/>
      <c r="NQ5" s="325"/>
      <c r="NR5" s="325"/>
      <c r="NS5" s="325"/>
      <c r="NT5" s="325"/>
      <c r="NU5" s="325"/>
      <c r="NV5" s="325"/>
      <c r="NW5" s="325"/>
      <c r="NX5" s="325"/>
      <c r="NY5" s="325"/>
      <c r="NZ5" s="325"/>
      <c r="OA5" s="325"/>
      <c r="OB5" s="325"/>
      <c r="OC5" s="325"/>
      <c r="OD5" s="325"/>
      <c r="OE5" s="325"/>
      <c r="OF5" s="325"/>
      <c r="OG5" s="325"/>
      <c r="OH5" s="325"/>
      <c r="OI5" s="325"/>
      <c r="OJ5" s="325"/>
      <c r="OK5" s="325"/>
      <c r="OL5" s="325"/>
      <c r="OM5" s="325"/>
      <c r="ON5" s="325"/>
      <c r="OO5" s="325"/>
      <c r="OP5" s="325"/>
      <c r="OQ5" s="325"/>
      <c r="OR5" s="325"/>
      <c r="OS5" s="325"/>
      <c r="OT5" s="325"/>
      <c r="OU5" s="325"/>
      <c r="OV5" s="325"/>
      <c r="OW5" s="325"/>
      <c r="OX5" s="325"/>
      <c r="OY5" s="325"/>
      <c r="OZ5" s="325"/>
      <c r="PA5" s="325"/>
      <c r="PB5" s="325"/>
      <c r="PC5" s="325"/>
      <c r="PD5" s="325"/>
      <c r="PE5" s="325"/>
      <c r="PF5" s="325"/>
      <c r="PG5" s="325"/>
      <c r="PH5" s="325"/>
      <c r="PI5" s="325"/>
      <c r="PJ5" s="325"/>
      <c r="PK5" s="325"/>
      <c r="PL5" s="325"/>
      <c r="PM5" s="325"/>
      <c r="PN5" s="325"/>
      <c r="PO5" s="325"/>
      <c r="PP5" s="325"/>
      <c r="PQ5" s="325"/>
      <c r="PR5" s="325"/>
      <c r="PS5" s="325"/>
      <c r="PT5" s="325"/>
      <c r="PU5" s="325"/>
      <c r="PV5" s="325"/>
      <c r="PW5" s="325"/>
      <c r="PX5" s="325"/>
      <c r="PY5" s="325"/>
      <c r="PZ5" s="325"/>
      <c r="QA5" s="325"/>
      <c r="QB5" s="325"/>
      <c r="QC5" s="325"/>
      <c r="QD5" s="325"/>
      <c r="QE5" s="325"/>
      <c r="QF5" s="325"/>
      <c r="QG5" s="325"/>
      <c r="QH5" s="325"/>
      <c r="QI5" s="325"/>
      <c r="QJ5" s="325"/>
      <c r="QK5" s="325"/>
      <c r="QL5" s="325"/>
      <c r="QM5" s="325"/>
      <c r="QN5" s="325"/>
      <c r="QO5" s="325"/>
      <c r="QP5" s="325"/>
      <c r="QQ5" s="325"/>
      <c r="QR5" s="325"/>
      <c r="QS5" s="325"/>
      <c r="QT5" s="325"/>
      <c r="QU5" s="325"/>
      <c r="QV5" s="325"/>
      <c r="QW5" s="325"/>
      <c r="QX5" s="325"/>
      <c r="QY5" s="325"/>
      <c r="QZ5" s="325"/>
      <c r="RA5" s="325"/>
      <c r="RB5" s="325"/>
      <c r="RC5" s="325"/>
      <c r="RD5" s="325"/>
      <c r="RE5" s="325"/>
      <c r="RF5" s="325"/>
      <c r="RG5" s="325"/>
      <c r="RH5" s="325"/>
      <c r="RI5" s="325"/>
      <c r="RJ5" s="325"/>
      <c r="RK5" s="325"/>
      <c r="RL5" s="325"/>
      <c r="RM5" s="325"/>
      <c r="RN5" s="325"/>
      <c r="RO5" s="325"/>
      <c r="RP5" s="325"/>
      <c r="RQ5" s="325"/>
      <c r="RR5" s="325"/>
      <c r="RS5" s="325"/>
      <c r="RT5" s="325"/>
      <c r="RU5" s="325"/>
      <c r="RV5" s="325"/>
      <c r="RW5" s="325"/>
      <c r="RX5" s="325"/>
      <c r="RY5" s="325"/>
      <c r="RZ5" s="325"/>
      <c r="SA5" s="325"/>
      <c r="SB5" s="325"/>
      <c r="SC5" s="325"/>
      <c r="SD5" s="325"/>
      <c r="SE5" s="325"/>
      <c r="SF5" s="325"/>
      <c r="SG5" s="325"/>
      <c r="SH5" s="325"/>
      <c r="SI5" s="325"/>
      <c r="SJ5" s="325"/>
      <c r="SK5" s="325"/>
      <c r="SL5" s="325"/>
      <c r="SM5" s="325"/>
      <c r="SN5" s="325"/>
      <c r="SO5" s="325"/>
      <c r="SP5" s="325"/>
      <c r="SQ5" s="325"/>
      <c r="SR5" s="325"/>
      <c r="SS5" s="325"/>
      <c r="ST5" s="325"/>
      <c r="SU5" s="325"/>
      <c r="SV5" s="325"/>
      <c r="SW5" s="325"/>
      <c r="SX5" s="325"/>
      <c r="SY5" s="325"/>
      <c r="SZ5" s="325"/>
      <c r="TA5" s="325"/>
      <c r="TB5" s="325"/>
      <c r="TC5" s="325"/>
      <c r="TD5" s="325"/>
      <c r="TE5" s="325"/>
      <c r="TF5" s="325"/>
      <c r="TG5" s="325"/>
      <c r="TH5" s="325"/>
      <c r="TI5" s="325"/>
      <c r="TJ5" s="325"/>
      <c r="TK5" s="325"/>
      <c r="TL5" s="325"/>
      <c r="TM5" s="325"/>
      <c r="TN5" s="325"/>
      <c r="TO5" s="325"/>
      <c r="TP5" s="325"/>
      <c r="TQ5" s="325"/>
      <c r="TR5" s="325"/>
      <c r="TS5" s="325"/>
      <c r="TT5" s="325"/>
      <c r="TU5" s="325"/>
      <c r="TV5" s="325"/>
      <c r="TW5" s="325"/>
      <c r="TX5" s="325"/>
      <c r="TY5" s="325"/>
      <c r="TZ5" s="325"/>
      <c r="UA5" s="325"/>
      <c r="UB5" s="325"/>
      <c r="UC5" s="325"/>
      <c r="UD5" s="325"/>
      <c r="UE5" s="325"/>
      <c r="UF5" s="325"/>
      <c r="UG5" s="325"/>
      <c r="UH5" s="325"/>
      <c r="UI5" s="325"/>
      <c r="UJ5" s="325"/>
      <c r="UK5" s="325"/>
      <c r="UL5" s="325"/>
      <c r="UM5" s="325"/>
      <c r="UN5" s="325"/>
      <c r="UO5" s="325"/>
      <c r="UP5" s="325"/>
      <c r="UQ5" s="325"/>
      <c r="UR5" s="325"/>
      <c r="US5" s="325"/>
      <c r="UT5" s="325"/>
      <c r="UU5" s="325"/>
      <c r="UV5" s="325"/>
      <c r="UW5" s="325"/>
      <c r="UX5" s="325"/>
      <c r="UY5" s="325"/>
      <c r="UZ5" s="325"/>
      <c r="VA5" s="325"/>
      <c r="VB5" s="325"/>
      <c r="VC5" s="325"/>
      <c r="VD5" s="325"/>
      <c r="VE5" s="325"/>
      <c r="VF5" s="325"/>
      <c r="VG5" s="325"/>
      <c r="VH5" s="325"/>
      <c r="VI5" s="325"/>
      <c r="VJ5" s="325"/>
      <c r="VK5" s="325"/>
      <c r="VL5" s="325"/>
      <c r="VM5" s="325"/>
      <c r="VN5" s="325"/>
      <c r="VO5" s="325"/>
      <c r="VP5" s="325"/>
      <c r="VQ5" s="325"/>
      <c r="VR5" s="325"/>
      <c r="VS5" s="325"/>
      <c r="VT5" s="325"/>
      <c r="VU5" s="325"/>
      <c r="VV5" s="325"/>
      <c r="VW5" s="325"/>
      <c r="VX5" s="325"/>
      <c r="VY5" s="325"/>
      <c r="VZ5" s="325"/>
      <c r="WA5" s="325"/>
      <c r="WB5" s="325"/>
      <c r="WC5" s="325"/>
      <c r="WD5" s="325"/>
      <c r="WE5" s="325"/>
      <c r="WF5" s="325"/>
      <c r="WG5" s="325"/>
      <c r="WH5" s="325"/>
      <c r="WI5" s="325"/>
      <c r="WJ5" s="325"/>
      <c r="WK5" s="325"/>
      <c r="WL5" s="325"/>
      <c r="WM5" s="325"/>
      <c r="WN5" s="325"/>
      <c r="WO5" s="325"/>
      <c r="WP5" s="325"/>
      <c r="WQ5" s="325"/>
      <c r="WR5" s="325"/>
      <c r="WS5" s="325"/>
      <c r="WT5" s="325"/>
      <c r="WU5" s="325"/>
      <c r="WV5" s="325"/>
      <c r="WW5" s="325"/>
      <c r="WX5" s="325"/>
      <c r="WY5" s="325"/>
      <c r="WZ5" s="325"/>
      <c r="XA5" s="325"/>
      <c r="XB5" s="325"/>
      <c r="XC5" s="325"/>
      <c r="XD5" s="325"/>
      <c r="XE5" s="325"/>
      <c r="XF5" s="325"/>
      <c r="XG5" s="325"/>
      <c r="XH5" s="325"/>
      <c r="XI5" s="325"/>
      <c r="XJ5" s="325"/>
      <c r="XK5" s="325"/>
      <c r="XL5" s="325"/>
      <c r="XM5" s="325"/>
      <c r="XN5" s="325"/>
      <c r="XO5" s="325"/>
      <c r="XP5" s="325"/>
      <c r="XQ5" s="325"/>
      <c r="XR5" s="325"/>
      <c r="XS5" s="325"/>
      <c r="XT5" s="325"/>
      <c r="XU5" s="325"/>
      <c r="XV5" s="325"/>
      <c r="XW5" s="325"/>
      <c r="XX5" s="325"/>
      <c r="XY5" s="325"/>
      <c r="XZ5" s="325"/>
      <c r="YA5" s="325"/>
      <c r="YB5" s="325"/>
      <c r="YC5" s="325"/>
      <c r="YD5" s="325"/>
      <c r="YE5" s="325"/>
      <c r="YF5" s="325"/>
      <c r="YG5" s="325"/>
      <c r="YH5" s="325"/>
      <c r="YI5" s="325"/>
      <c r="YJ5" s="325"/>
      <c r="YK5" s="325"/>
      <c r="YL5" s="325"/>
      <c r="YM5" s="325"/>
      <c r="YN5" s="325"/>
      <c r="YO5" s="325"/>
      <c r="YP5" s="325"/>
      <c r="YQ5" s="325"/>
      <c r="YR5" s="325"/>
      <c r="YS5" s="325"/>
      <c r="YT5" s="325"/>
      <c r="YU5" s="325"/>
      <c r="YV5" s="325"/>
      <c r="YW5" s="325"/>
      <c r="YX5" s="325"/>
      <c r="YY5" s="325"/>
      <c r="YZ5" s="325"/>
      <c r="ZA5" s="325"/>
      <c r="ZB5" s="325"/>
      <c r="ZC5" s="325"/>
      <c r="ZD5" s="325"/>
      <c r="ZE5" s="325"/>
      <c r="ZF5" s="325"/>
      <c r="ZG5" s="325"/>
      <c r="ZH5" s="325"/>
      <c r="ZI5" s="325"/>
      <c r="ZJ5" s="325"/>
      <c r="ZK5" s="325"/>
      <c r="ZL5" s="325"/>
      <c r="ZM5" s="325"/>
      <c r="ZN5" s="325"/>
      <c r="ZO5" s="325"/>
      <c r="ZP5" s="325"/>
      <c r="ZQ5" s="325"/>
      <c r="ZR5" s="325"/>
      <c r="ZS5" s="325"/>
      <c r="ZT5" s="325"/>
      <c r="ZU5" s="325"/>
      <c r="ZV5" s="325"/>
      <c r="ZW5" s="325"/>
      <c r="ZX5" s="325"/>
      <c r="ZY5" s="325"/>
      <c r="ZZ5" s="325"/>
      <c r="AAA5" s="325"/>
      <c r="AAB5" s="325"/>
      <c r="AAC5" s="325"/>
      <c r="AAD5" s="325"/>
      <c r="AAE5" s="325"/>
      <c r="AAF5" s="325"/>
      <c r="AAG5" s="325"/>
      <c r="AAH5" s="325"/>
      <c r="AAI5" s="325"/>
      <c r="AAJ5" s="325"/>
      <c r="AAK5" s="325"/>
      <c r="AAL5" s="325"/>
      <c r="AAM5" s="325"/>
      <c r="AAN5" s="325"/>
      <c r="AAO5" s="325"/>
      <c r="AAP5" s="325"/>
      <c r="AAQ5" s="325"/>
      <c r="AAR5" s="325"/>
      <c r="AAS5" s="325"/>
      <c r="AAT5" s="325"/>
      <c r="AAU5" s="325"/>
      <c r="AAV5" s="325"/>
      <c r="AAW5" s="325"/>
      <c r="AAX5" s="325"/>
      <c r="AAY5" s="325"/>
      <c r="AAZ5" s="325"/>
      <c r="ABA5" s="325"/>
      <c r="ABB5" s="325"/>
      <c r="ABC5" s="325"/>
      <c r="ABD5" s="325"/>
      <c r="ABE5" s="325"/>
      <c r="ABF5" s="325"/>
      <c r="ABG5" s="325"/>
      <c r="ABH5" s="325"/>
      <c r="ABI5" s="325"/>
      <c r="ABJ5" s="325"/>
      <c r="ABK5" s="325"/>
      <c r="ABL5" s="325"/>
      <c r="ABM5" s="325"/>
      <c r="ABN5" s="325"/>
      <c r="ABO5" s="325"/>
      <c r="ABP5" s="325"/>
      <c r="ABQ5" s="325"/>
      <c r="ABR5" s="325"/>
      <c r="ABS5" s="325"/>
      <c r="ABT5" s="325"/>
      <c r="ABU5" s="325"/>
      <c r="ABV5" s="325"/>
      <c r="ABW5" s="325"/>
      <c r="ABX5" s="325"/>
      <c r="ABY5" s="325"/>
      <c r="ABZ5" s="325"/>
      <c r="ACA5" s="325"/>
      <c r="ACB5" s="325"/>
      <c r="ACC5" s="325"/>
      <c r="ACD5" s="325"/>
      <c r="ACE5" s="325"/>
      <c r="ACF5" s="325"/>
      <c r="ACG5" s="325"/>
      <c r="ACH5" s="325"/>
      <c r="ACI5" s="325"/>
      <c r="ACJ5" s="325"/>
      <c r="ACK5" s="325"/>
      <c r="ACL5" s="325"/>
      <c r="ACM5" s="325"/>
      <c r="ACN5" s="325"/>
      <c r="ACO5" s="325"/>
      <c r="ACP5" s="325"/>
      <c r="ACQ5" s="325"/>
      <c r="ACR5" s="325"/>
      <c r="ACS5" s="325"/>
      <c r="ACT5" s="325"/>
      <c r="ACU5" s="325"/>
      <c r="ACV5" s="325"/>
      <c r="ACW5" s="325"/>
      <c r="ACX5" s="325"/>
      <c r="ACY5" s="325"/>
      <c r="ACZ5" s="325"/>
      <c r="ADA5" s="325"/>
      <c r="ADB5" s="325"/>
      <c r="ADC5" s="325"/>
      <c r="ADD5" s="325"/>
      <c r="ADE5" s="325"/>
      <c r="ADF5" s="325"/>
      <c r="ADG5" s="325"/>
      <c r="ADH5" s="325"/>
      <c r="ADI5" s="325"/>
      <c r="ADJ5" s="325"/>
      <c r="ADK5" s="325"/>
      <c r="ADL5" s="325"/>
      <c r="ADM5" s="325"/>
      <c r="ADN5" s="325"/>
      <c r="ADO5" s="325"/>
      <c r="ADP5" s="325"/>
      <c r="ADQ5" s="325"/>
      <c r="ADR5" s="325"/>
      <c r="ADS5" s="325"/>
      <c r="ADT5" s="325"/>
      <c r="ADU5" s="325"/>
      <c r="ADV5" s="325"/>
      <c r="ADW5" s="325"/>
      <c r="ADX5" s="325"/>
      <c r="ADY5" s="325"/>
      <c r="ADZ5" s="325"/>
      <c r="AEA5" s="325"/>
      <c r="AEB5" s="325"/>
      <c r="AEC5" s="325"/>
      <c r="AED5" s="325"/>
      <c r="AEE5" s="325"/>
      <c r="AEF5" s="325"/>
      <c r="AEG5" s="325"/>
      <c r="AEH5" s="325"/>
      <c r="AEI5" s="325"/>
      <c r="AEJ5" s="325"/>
      <c r="AEK5" s="325"/>
      <c r="AEL5" s="325"/>
      <c r="AEM5" s="325"/>
      <c r="AEN5" s="325"/>
      <c r="AEO5" s="325"/>
      <c r="AEP5" s="325"/>
      <c r="AEQ5" s="325"/>
      <c r="AER5" s="325"/>
      <c r="AES5" s="325"/>
      <c r="AET5" s="325"/>
      <c r="AEU5" s="325"/>
      <c r="AEV5" s="325"/>
      <c r="AEW5" s="325"/>
      <c r="AEX5" s="325"/>
      <c r="AEY5" s="325"/>
      <c r="AEZ5" s="325"/>
      <c r="AFA5" s="325"/>
      <c r="AFB5" s="325"/>
      <c r="AFC5" s="325"/>
      <c r="AFD5" s="325"/>
      <c r="AFE5" s="325"/>
      <c r="AFF5" s="325"/>
      <c r="AFG5" s="325"/>
      <c r="AFH5" s="325"/>
      <c r="AFI5" s="325"/>
      <c r="AFJ5" s="325"/>
      <c r="AFK5" s="325"/>
      <c r="AFL5" s="325"/>
      <c r="AFM5" s="325"/>
      <c r="AFN5" s="325"/>
      <c r="AFO5" s="325"/>
      <c r="AFP5" s="325"/>
      <c r="AFQ5" s="325"/>
      <c r="AFR5" s="325"/>
      <c r="AFS5" s="325"/>
      <c r="AFT5" s="325"/>
      <c r="AFU5" s="325"/>
      <c r="AFV5" s="325"/>
      <c r="AFW5" s="325"/>
      <c r="AFX5" s="325"/>
      <c r="AFY5" s="325"/>
      <c r="AFZ5" s="325"/>
      <c r="AGA5" s="325"/>
      <c r="AGB5" s="325"/>
      <c r="AGC5" s="325"/>
      <c r="AGD5" s="325"/>
      <c r="AGE5" s="325"/>
      <c r="AGF5" s="325"/>
      <c r="AGG5" s="325"/>
      <c r="AGH5" s="325"/>
      <c r="AGI5" s="325"/>
      <c r="AGJ5" s="325"/>
      <c r="AGK5" s="325"/>
      <c r="AGL5" s="325"/>
      <c r="AGM5" s="325"/>
      <c r="AGN5" s="325"/>
      <c r="AGO5" s="325"/>
      <c r="AGP5" s="325"/>
      <c r="AGQ5" s="325"/>
      <c r="AGR5" s="325"/>
      <c r="AGS5" s="325"/>
      <c r="AGT5" s="325"/>
      <c r="AGU5" s="325"/>
      <c r="AGV5" s="325"/>
      <c r="AGW5" s="325"/>
      <c r="AGX5" s="325"/>
      <c r="AGY5" s="325"/>
      <c r="AGZ5" s="325"/>
      <c r="AHA5" s="325"/>
      <c r="AHB5" s="325"/>
      <c r="AHC5" s="325"/>
      <c r="AHD5" s="325"/>
      <c r="AHE5" s="325"/>
      <c r="AHF5" s="325"/>
      <c r="AHG5" s="325"/>
      <c r="AHH5" s="325"/>
      <c r="AHI5" s="325"/>
      <c r="AHJ5" s="325"/>
      <c r="AHK5" s="325"/>
      <c r="AHL5" s="325"/>
      <c r="AHM5" s="325"/>
      <c r="AHN5" s="325"/>
      <c r="AHO5" s="325"/>
      <c r="AHP5" s="325"/>
      <c r="AHQ5" s="325"/>
      <c r="AHR5" s="325"/>
      <c r="AHS5" s="325"/>
      <c r="AHT5" s="325"/>
      <c r="AHU5" s="325"/>
      <c r="AHV5" s="325"/>
      <c r="AHW5" s="325"/>
      <c r="AHX5" s="325"/>
      <c r="AHY5" s="325"/>
      <c r="AHZ5" s="325"/>
      <c r="AIA5" s="325"/>
      <c r="AIB5" s="325"/>
      <c r="AIC5" s="325"/>
      <c r="AID5" s="325"/>
      <c r="AIE5" s="325"/>
      <c r="AIF5" s="325"/>
      <c r="AIG5" s="325"/>
      <c r="AIH5" s="325"/>
      <c r="AII5" s="325"/>
      <c r="AIJ5" s="325"/>
      <c r="AIK5" s="325"/>
      <c r="AIL5" s="325"/>
      <c r="AIM5" s="325"/>
      <c r="AIN5" s="325"/>
      <c r="AIO5" s="325"/>
      <c r="AIP5" s="325"/>
      <c r="AIQ5" s="325"/>
      <c r="AIR5" s="325"/>
      <c r="AIS5" s="325"/>
      <c r="AIT5" s="325"/>
      <c r="AIU5" s="325"/>
      <c r="AIV5" s="325"/>
      <c r="AIW5" s="325"/>
      <c r="AIX5" s="325"/>
      <c r="AIY5" s="325"/>
      <c r="AIZ5" s="325"/>
      <c r="AJA5" s="325"/>
      <c r="AJB5" s="325"/>
      <c r="AJC5" s="325"/>
      <c r="AJD5" s="325"/>
      <c r="AJE5" s="325"/>
      <c r="AJF5" s="325"/>
      <c r="AJG5" s="325"/>
      <c r="AJH5" s="325"/>
      <c r="AJI5" s="325"/>
      <c r="AJJ5" s="325"/>
      <c r="AJK5" s="325"/>
      <c r="AJL5" s="325"/>
      <c r="AJM5" s="325"/>
      <c r="AJN5" s="325"/>
      <c r="AJO5" s="325"/>
      <c r="AJP5" s="325"/>
      <c r="AJQ5" s="325"/>
      <c r="AJR5" s="325"/>
      <c r="AJS5" s="325"/>
      <c r="AJT5" s="325"/>
      <c r="AJU5" s="325"/>
      <c r="AJV5" s="325"/>
      <c r="AJW5" s="325"/>
      <c r="AJX5" s="325"/>
      <c r="AJY5" s="325"/>
      <c r="AJZ5" s="325"/>
      <c r="AKA5" s="325"/>
      <c r="AKB5" s="325"/>
      <c r="AKC5" s="325"/>
      <c r="AKD5" s="325"/>
      <c r="AKE5" s="325"/>
      <c r="AKF5" s="325"/>
      <c r="AKG5" s="325"/>
      <c r="AKH5" s="325"/>
      <c r="AKI5" s="325"/>
      <c r="AKJ5" s="325"/>
      <c r="AKK5" s="325"/>
      <c r="AKL5" s="325"/>
      <c r="AKM5" s="325"/>
      <c r="AKN5" s="325"/>
      <c r="AKO5" s="325"/>
      <c r="AKP5" s="325"/>
      <c r="AKQ5" s="325"/>
      <c r="AKR5" s="325"/>
      <c r="AKS5" s="325"/>
      <c r="AKT5" s="325"/>
      <c r="AKU5" s="325"/>
      <c r="AKV5" s="325"/>
      <c r="AKW5" s="325"/>
      <c r="AKX5" s="325"/>
      <c r="AKY5" s="325"/>
      <c r="AKZ5" s="325"/>
      <c r="ALA5" s="325"/>
      <c r="ALB5" s="325"/>
      <c r="ALC5" s="325"/>
      <c r="ALD5" s="325"/>
      <c r="ALE5" s="325"/>
      <c r="ALF5" s="325"/>
      <c r="ALG5" s="325"/>
      <c r="ALH5" s="325"/>
      <c r="ALI5" s="325"/>
      <c r="ALJ5" s="325"/>
      <c r="ALK5" s="325"/>
      <c r="ALL5" s="325"/>
      <c r="ALM5" s="325"/>
      <c r="ALN5" s="325"/>
      <c r="ALO5" s="325"/>
      <c r="ALP5" s="325"/>
      <c r="ALQ5" s="325"/>
      <c r="ALR5" s="325"/>
      <c r="ALS5" s="325"/>
      <c r="ALT5" s="325"/>
      <c r="ALU5" s="325"/>
      <c r="ALV5" s="325"/>
      <c r="ALW5" s="325"/>
      <c r="ALX5" s="325"/>
      <c r="ALY5" s="325"/>
      <c r="ALZ5" s="325"/>
      <c r="AMA5" s="325"/>
      <c r="AMB5" s="325"/>
      <c r="AMC5" s="325"/>
      <c r="AMD5" s="325"/>
      <c r="AME5" s="325"/>
      <c r="AMF5" s="325"/>
      <c r="AMG5" s="325"/>
      <c r="AMH5" s="325"/>
      <c r="AMI5" s="325"/>
      <c r="AMJ5" s="325"/>
      <c r="AMK5" s="325"/>
      <c r="AML5" s="325"/>
      <c r="AMM5" s="325"/>
      <c r="AMN5" s="325"/>
      <c r="AMO5" s="325"/>
      <c r="AMP5" s="325"/>
      <c r="AMQ5" s="325"/>
      <c r="AMR5" s="325"/>
      <c r="AMS5" s="325"/>
      <c r="AMT5" s="325"/>
      <c r="AMU5" s="325"/>
      <c r="AMV5" s="325"/>
      <c r="AMW5" s="325"/>
      <c r="AMX5" s="325"/>
      <c r="AMY5" s="325"/>
      <c r="AMZ5" s="325"/>
      <c r="ANA5" s="325"/>
      <c r="ANB5" s="325"/>
      <c r="ANC5" s="325"/>
      <c r="AND5" s="325"/>
      <c r="ANE5" s="325"/>
      <c r="ANF5" s="325"/>
      <c r="ANG5" s="325"/>
      <c r="ANH5" s="325"/>
      <c r="ANI5" s="325"/>
      <c r="ANJ5" s="325"/>
      <c r="ANK5" s="325"/>
      <c r="ANL5" s="325"/>
      <c r="ANM5" s="325"/>
      <c r="ANN5" s="325"/>
      <c r="ANO5" s="325"/>
      <c r="ANP5" s="325"/>
      <c r="ANQ5" s="325"/>
      <c r="ANR5" s="325"/>
      <c r="ANS5" s="325"/>
      <c r="ANT5" s="325"/>
      <c r="ANU5" s="325"/>
      <c r="ANV5" s="325"/>
      <c r="ANW5" s="325"/>
      <c r="ANX5" s="325"/>
      <c r="ANY5" s="325"/>
      <c r="ANZ5" s="325"/>
      <c r="AOA5" s="325"/>
      <c r="AOB5" s="325"/>
      <c r="AOC5" s="325"/>
      <c r="AOD5" s="325"/>
      <c r="AOE5" s="325"/>
      <c r="AOF5" s="325"/>
      <c r="AOG5" s="325"/>
      <c r="AOH5" s="325"/>
      <c r="AOI5" s="325"/>
      <c r="AOJ5" s="325"/>
      <c r="AOK5" s="325"/>
      <c r="AOL5" s="325"/>
      <c r="AOM5" s="325"/>
      <c r="AON5" s="325"/>
      <c r="AOO5" s="325"/>
      <c r="AOP5" s="325"/>
      <c r="AOQ5" s="325"/>
      <c r="AOR5" s="325"/>
      <c r="AOS5" s="325"/>
      <c r="AOT5" s="325"/>
      <c r="AOU5" s="325"/>
      <c r="AOV5" s="325"/>
      <c r="AOW5" s="325"/>
      <c r="AOX5" s="325"/>
      <c r="AOY5" s="325"/>
      <c r="AOZ5" s="325"/>
      <c r="APA5" s="325"/>
      <c r="APB5" s="325"/>
      <c r="APC5" s="325"/>
      <c r="APD5" s="325"/>
      <c r="APE5" s="325"/>
      <c r="APF5" s="325"/>
      <c r="APG5" s="325"/>
      <c r="APH5" s="325"/>
      <c r="API5" s="325"/>
      <c r="APJ5" s="325"/>
      <c r="APK5" s="325"/>
      <c r="APL5" s="325"/>
      <c r="APM5" s="325"/>
      <c r="APN5" s="325"/>
      <c r="APO5" s="325"/>
      <c r="APP5" s="325"/>
      <c r="APQ5" s="325"/>
      <c r="APR5" s="325"/>
      <c r="APS5" s="325"/>
      <c r="APT5" s="325"/>
      <c r="APU5" s="325"/>
      <c r="APV5" s="325"/>
      <c r="APW5" s="325"/>
      <c r="APX5" s="325"/>
      <c r="APY5" s="325"/>
      <c r="APZ5" s="325"/>
      <c r="AQA5" s="325"/>
      <c r="AQB5" s="325"/>
      <c r="AQC5" s="325"/>
      <c r="AQD5" s="325"/>
      <c r="AQE5" s="325"/>
      <c r="AQF5" s="325"/>
      <c r="AQG5" s="325"/>
      <c r="AQH5" s="325"/>
      <c r="AQI5" s="325"/>
      <c r="AQJ5" s="325"/>
      <c r="AQK5" s="325"/>
      <c r="AQL5" s="325"/>
      <c r="AQM5" s="325"/>
      <c r="AQN5" s="325"/>
      <c r="AQO5" s="325"/>
      <c r="AQP5" s="325"/>
      <c r="AQQ5" s="325"/>
      <c r="AQR5" s="325"/>
      <c r="AQS5" s="325"/>
      <c r="AQT5" s="325"/>
      <c r="AQU5" s="325"/>
      <c r="AQV5" s="325"/>
      <c r="AQW5" s="325"/>
      <c r="AQX5" s="325"/>
      <c r="AQY5" s="325"/>
      <c r="AQZ5" s="325"/>
      <c r="ARA5" s="325"/>
      <c r="ARB5" s="325"/>
      <c r="ARC5" s="325"/>
      <c r="ARD5" s="325"/>
      <c r="ARE5" s="325"/>
      <c r="ARF5" s="325"/>
      <c r="ARG5" s="325"/>
      <c r="ARH5" s="325"/>
      <c r="ARI5" s="325"/>
      <c r="ARJ5" s="325"/>
      <c r="ARK5" s="325"/>
      <c r="ARL5" s="325"/>
      <c r="ARM5" s="325"/>
      <c r="ARN5" s="325"/>
      <c r="ARO5" s="325"/>
      <c r="ARP5" s="325"/>
      <c r="ARQ5" s="325"/>
      <c r="ARR5" s="325"/>
      <c r="ARS5" s="325"/>
      <c r="ART5" s="325"/>
      <c r="ARU5" s="325"/>
      <c r="ARV5" s="325"/>
      <c r="ARW5" s="325"/>
      <c r="ARX5" s="325"/>
      <c r="ARY5" s="325"/>
      <c r="ARZ5" s="325"/>
      <c r="ASA5" s="325"/>
      <c r="ASB5" s="325"/>
      <c r="ASC5" s="325"/>
      <c r="ASD5" s="325"/>
      <c r="ASE5" s="325"/>
      <c r="ASF5" s="325"/>
      <c r="ASG5" s="325"/>
      <c r="ASH5" s="325"/>
      <c r="ASI5" s="325"/>
      <c r="ASJ5" s="325"/>
      <c r="ASK5" s="325"/>
      <c r="ASL5" s="325"/>
      <c r="ASM5" s="325"/>
      <c r="ASN5" s="325"/>
      <c r="ASO5" s="325"/>
      <c r="ASP5" s="325"/>
      <c r="ASQ5" s="325"/>
      <c r="ASR5" s="325"/>
      <c r="ASS5" s="325"/>
      <c r="AST5" s="325"/>
      <c r="ASU5" s="325"/>
      <c r="ASV5" s="325"/>
      <c r="ASW5" s="325"/>
      <c r="ASX5" s="325"/>
      <c r="ASY5" s="325"/>
      <c r="ASZ5" s="325"/>
      <c r="ATA5" s="325"/>
      <c r="ATB5" s="325"/>
      <c r="ATC5" s="325"/>
      <c r="ATD5" s="325"/>
      <c r="ATE5" s="325"/>
      <c r="ATF5" s="325"/>
      <c r="ATG5" s="325"/>
      <c r="ATH5" s="325"/>
      <c r="ATI5" s="325"/>
      <c r="ATJ5" s="325"/>
      <c r="ATK5" s="325"/>
      <c r="ATL5" s="325"/>
      <c r="ATM5" s="325"/>
      <c r="ATN5" s="325"/>
      <c r="ATO5" s="325"/>
      <c r="ATP5" s="325"/>
      <c r="ATQ5" s="325"/>
      <c r="ATR5" s="325"/>
      <c r="ATS5" s="325"/>
      <c r="ATT5" s="325"/>
      <c r="ATU5" s="325"/>
      <c r="ATV5" s="325"/>
      <c r="ATW5" s="325"/>
      <c r="ATX5" s="325"/>
      <c r="ATY5" s="325"/>
      <c r="ATZ5" s="325"/>
      <c r="AUA5" s="325"/>
      <c r="AUB5" s="325"/>
      <c r="AUC5" s="325"/>
      <c r="AUD5" s="325"/>
      <c r="AUE5" s="325"/>
      <c r="AUF5" s="325"/>
      <c r="AUG5" s="325"/>
      <c r="AUH5" s="325"/>
      <c r="AUI5" s="325"/>
      <c r="AUJ5" s="325"/>
      <c r="AUK5" s="325"/>
      <c r="AUL5" s="325"/>
      <c r="AUM5" s="325"/>
      <c r="AUN5" s="325"/>
      <c r="AUO5" s="325"/>
      <c r="AUP5" s="325"/>
      <c r="AUQ5" s="325"/>
      <c r="AUR5" s="325"/>
      <c r="AUS5" s="325"/>
      <c r="AUT5" s="325"/>
      <c r="AUU5" s="325"/>
      <c r="AUV5" s="325"/>
      <c r="AUW5" s="325"/>
      <c r="AUX5" s="325"/>
      <c r="AUY5" s="325"/>
      <c r="AUZ5" s="325"/>
      <c r="AVA5" s="325"/>
      <c r="AVB5" s="325"/>
      <c r="AVC5" s="325"/>
      <c r="AVD5" s="325"/>
      <c r="AVE5" s="325"/>
      <c r="AVF5" s="325"/>
      <c r="AVG5" s="325"/>
      <c r="AVH5" s="325"/>
      <c r="AVI5" s="325"/>
      <c r="AVJ5" s="325"/>
      <c r="AVK5" s="325"/>
      <c r="AVL5" s="325"/>
      <c r="AVM5" s="325"/>
      <c r="AVN5" s="325"/>
      <c r="AVO5" s="325"/>
      <c r="AVP5" s="325"/>
      <c r="AVQ5" s="325"/>
      <c r="AVR5" s="325"/>
      <c r="AVS5" s="325"/>
      <c r="AVT5" s="325"/>
      <c r="AVU5" s="325"/>
      <c r="AVV5" s="325"/>
      <c r="AVW5" s="325"/>
      <c r="AVX5" s="325"/>
      <c r="AVY5" s="325"/>
      <c r="AVZ5" s="325"/>
      <c r="AWA5" s="325"/>
      <c r="AWB5" s="325"/>
      <c r="AWC5" s="325"/>
      <c r="AWD5" s="325"/>
      <c r="AWE5" s="325"/>
      <c r="AWF5" s="325"/>
      <c r="AWG5" s="325"/>
      <c r="AWH5" s="325"/>
      <c r="AWI5" s="325"/>
      <c r="AWJ5" s="325"/>
      <c r="AWK5" s="325"/>
      <c r="AWL5" s="325"/>
      <c r="AWM5" s="325"/>
      <c r="AWN5" s="325"/>
      <c r="AWO5" s="325"/>
      <c r="AWP5" s="325"/>
      <c r="AWQ5" s="325"/>
      <c r="AWR5" s="325"/>
      <c r="AWS5" s="325"/>
      <c r="AWT5" s="325"/>
      <c r="AWU5" s="325"/>
      <c r="AWV5" s="325"/>
      <c r="AWW5" s="325"/>
      <c r="AWX5" s="325"/>
      <c r="AWY5" s="325"/>
      <c r="AWZ5" s="325"/>
      <c r="AXA5" s="325"/>
      <c r="AXB5" s="325"/>
      <c r="AXC5" s="325"/>
      <c r="AXD5" s="325"/>
      <c r="AXE5" s="325"/>
      <c r="AXF5" s="325"/>
      <c r="AXG5" s="325"/>
      <c r="AXH5" s="325"/>
      <c r="AXI5" s="325"/>
      <c r="AXJ5" s="325"/>
      <c r="AXK5" s="325"/>
      <c r="AXL5" s="325"/>
      <c r="AXM5" s="325"/>
      <c r="AXN5" s="325"/>
      <c r="AXO5" s="325"/>
      <c r="AXP5" s="325"/>
      <c r="AXQ5" s="325"/>
      <c r="AXR5" s="325"/>
      <c r="AXS5" s="325"/>
      <c r="AXT5" s="325"/>
      <c r="AXU5" s="325"/>
      <c r="AXV5" s="325"/>
      <c r="AXW5" s="325"/>
      <c r="AXX5" s="325"/>
      <c r="AXY5" s="325"/>
      <c r="AXZ5" s="325"/>
      <c r="AYA5" s="325"/>
      <c r="AYB5" s="325"/>
      <c r="AYC5" s="325"/>
      <c r="AYD5" s="325"/>
      <c r="AYE5" s="325"/>
      <c r="AYF5" s="325"/>
      <c r="AYG5" s="325"/>
      <c r="AYH5" s="325"/>
      <c r="AYI5" s="325"/>
      <c r="AYJ5" s="325"/>
      <c r="AYK5" s="325"/>
      <c r="AYL5" s="325"/>
      <c r="AYM5" s="325"/>
      <c r="AYN5" s="325"/>
      <c r="AYO5" s="325"/>
      <c r="AYP5" s="325"/>
      <c r="AYQ5" s="325"/>
      <c r="AYR5" s="325"/>
      <c r="AYS5" s="325"/>
      <c r="AYT5" s="325"/>
      <c r="AYU5" s="325"/>
      <c r="AYV5" s="325"/>
      <c r="AYW5" s="325"/>
      <c r="AYX5" s="325"/>
      <c r="AYY5" s="325"/>
      <c r="AYZ5" s="325"/>
      <c r="AZA5" s="325"/>
      <c r="AZB5" s="325"/>
      <c r="AZC5" s="325"/>
      <c r="AZD5" s="325"/>
      <c r="AZE5" s="325"/>
      <c r="AZF5" s="325"/>
      <c r="AZG5" s="325"/>
      <c r="AZH5" s="325"/>
      <c r="AZI5" s="325"/>
      <c r="AZJ5" s="325"/>
      <c r="AZK5" s="325"/>
      <c r="AZL5" s="325"/>
      <c r="AZM5" s="325"/>
      <c r="AZN5" s="325"/>
      <c r="AZO5" s="325"/>
      <c r="AZP5" s="325"/>
      <c r="AZQ5" s="325"/>
      <c r="AZR5" s="325"/>
      <c r="AZS5" s="325"/>
      <c r="AZT5" s="325"/>
      <c r="AZU5" s="325"/>
      <c r="AZV5" s="325"/>
      <c r="AZW5" s="325"/>
      <c r="AZX5" s="325"/>
      <c r="AZY5" s="325"/>
      <c r="AZZ5" s="325"/>
      <c r="BAA5" s="325"/>
      <c r="BAB5" s="325"/>
      <c r="BAC5" s="325"/>
      <c r="BAD5" s="325"/>
      <c r="BAE5" s="325"/>
      <c r="BAF5" s="325"/>
      <c r="BAG5" s="325"/>
      <c r="BAH5" s="325"/>
      <c r="BAI5" s="325"/>
      <c r="BAJ5" s="325"/>
      <c r="BAK5" s="325"/>
      <c r="BAL5" s="325"/>
      <c r="BAM5" s="325"/>
      <c r="BAN5" s="325"/>
      <c r="BAO5" s="325"/>
      <c r="BAP5" s="325"/>
      <c r="BAQ5" s="325"/>
      <c r="BAR5" s="325"/>
      <c r="BAS5" s="325"/>
      <c r="BAT5" s="325"/>
      <c r="BAU5" s="325"/>
      <c r="BAV5" s="325"/>
      <c r="BAW5" s="325"/>
      <c r="BAX5" s="325"/>
      <c r="BAY5" s="325"/>
      <c r="BAZ5" s="325"/>
      <c r="BBA5" s="325"/>
      <c r="BBB5" s="325"/>
      <c r="BBC5" s="325"/>
      <c r="BBD5" s="325"/>
      <c r="BBE5" s="325"/>
      <c r="BBF5" s="325"/>
      <c r="BBG5" s="325"/>
      <c r="BBH5" s="325"/>
      <c r="BBI5" s="325"/>
      <c r="BBJ5" s="325"/>
      <c r="BBK5" s="325"/>
      <c r="BBL5" s="325"/>
      <c r="BBM5" s="325"/>
      <c r="BBN5" s="325"/>
      <c r="BBO5" s="325"/>
      <c r="BBP5" s="325"/>
      <c r="BBQ5" s="325"/>
      <c r="BBR5" s="325"/>
      <c r="BBS5" s="325"/>
      <c r="BBT5" s="325"/>
      <c r="BBU5" s="325"/>
      <c r="BBV5" s="325"/>
      <c r="BBW5" s="325"/>
      <c r="BBX5" s="325"/>
      <c r="BBY5" s="325"/>
      <c r="BBZ5" s="325"/>
      <c r="BCA5" s="325"/>
      <c r="BCB5" s="325"/>
      <c r="BCC5" s="325"/>
      <c r="BCD5" s="325"/>
      <c r="BCE5" s="325"/>
      <c r="BCF5" s="325"/>
      <c r="BCG5" s="325"/>
      <c r="BCH5" s="325"/>
      <c r="BCI5" s="325"/>
      <c r="BCJ5" s="325"/>
      <c r="BCK5" s="325"/>
      <c r="BCL5" s="325"/>
      <c r="BCM5" s="325"/>
      <c r="BCN5" s="325"/>
      <c r="BCO5" s="325"/>
      <c r="BCP5" s="325"/>
      <c r="BCQ5" s="325"/>
      <c r="BCR5" s="325"/>
      <c r="BCS5" s="325"/>
      <c r="BCT5" s="325"/>
      <c r="BCU5" s="325"/>
      <c r="BCV5" s="325"/>
      <c r="BCW5" s="325"/>
      <c r="BCX5" s="325"/>
      <c r="BCY5" s="325"/>
      <c r="BCZ5" s="325"/>
      <c r="BDA5" s="325"/>
      <c r="BDB5" s="325"/>
      <c r="BDC5" s="325"/>
      <c r="BDD5" s="325"/>
      <c r="BDE5" s="325"/>
      <c r="BDF5" s="325"/>
      <c r="BDG5" s="325"/>
      <c r="BDH5" s="325"/>
      <c r="BDI5" s="325"/>
      <c r="BDJ5" s="325"/>
      <c r="BDK5" s="325"/>
      <c r="BDL5" s="325"/>
      <c r="BDM5" s="325"/>
      <c r="BDN5" s="325"/>
      <c r="BDO5" s="325"/>
      <c r="BDP5" s="325"/>
      <c r="BDQ5" s="325"/>
      <c r="BDR5" s="325"/>
      <c r="BDS5" s="325"/>
      <c r="BDT5" s="325"/>
      <c r="BDU5" s="325"/>
      <c r="BDV5" s="325"/>
      <c r="BDW5" s="325"/>
      <c r="BDX5" s="325"/>
      <c r="BDY5" s="325"/>
      <c r="BDZ5" s="325"/>
      <c r="BEA5" s="325"/>
      <c r="BEB5" s="325"/>
      <c r="BEC5" s="325"/>
      <c r="BED5" s="325"/>
      <c r="BEE5" s="325"/>
      <c r="BEF5" s="325"/>
      <c r="BEG5" s="325"/>
      <c r="BEH5" s="325"/>
      <c r="BEI5" s="325"/>
      <c r="BEJ5" s="325"/>
      <c r="BEK5" s="325"/>
      <c r="BEL5" s="325"/>
      <c r="BEM5" s="325"/>
      <c r="BEN5" s="325"/>
      <c r="BEO5" s="325"/>
      <c r="BEP5" s="325"/>
      <c r="BEQ5" s="325"/>
      <c r="BER5" s="325"/>
      <c r="BES5" s="325"/>
      <c r="BET5" s="325"/>
      <c r="BEU5" s="325"/>
      <c r="BEV5" s="325"/>
      <c r="BEW5" s="325"/>
      <c r="BEX5" s="325"/>
      <c r="BEY5" s="325"/>
      <c r="BEZ5" s="325"/>
      <c r="BFA5" s="325"/>
      <c r="BFB5" s="325"/>
      <c r="BFC5" s="325"/>
      <c r="BFD5" s="325"/>
      <c r="BFE5" s="325"/>
      <c r="BFF5" s="325"/>
      <c r="BFG5" s="325"/>
      <c r="BFH5" s="325"/>
      <c r="BFI5" s="325"/>
      <c r="BFJ5" s="325"/>
      <c r="BFK5" s="325"/>
      <c r="BFL5" s="325"/>
      <c r="BFM5" s="325"/>
      <c r="BFN5" s="325"/>
      <c r="BFO5" s="325"/>
      <c r="BFP5" s="325"/>
      <c r="BFQ5" s="325"/>
      <c r="BFR5" s="325"/>
      <c r="BFS5" s="325"/>
      <c r="BFT5" s="325"/>
      <c r="BFU5" s="325"/>
      <c r="BFV5" s="325"/>
      <c r="BFW5" s="325"/>
      <c r="BFX5" s="325"/>
      <c r="BFY5" s="325"/>
      <c r="BFZ5" s="325"/>
      <c r="BGA5" s="325"/>
      <c r="BGB5" s="325"/>
      <c r="BGC5" s="325"/>
      <c r="BGD5" s="325"/>
      <c r="BGE5" s="325"/>
      <c r="BGF5" s="325"/>
      <c r="BGG5" s="325"/>
      <c r="BGH5" s="325"/>
      <c r="BGI5" s="325"/>
      <c r="BGJ5" s="325"/>
      <c r="BGK5" s="325"/>
      <c r="BGL5" s="325"/>
      <c r="BGM5" s="325"/>
      <c r="BGN5" s="325"/>
      <c r="BGO5" s="325"/>
      <c r="BGP5" s="325"/>
      <c r="BGQ5" s="325"/>
      <c r="BGR5" s="325"/>
      <c r="BGS5" s="325"/>
      <c r="BGT5" s="325"/>
      <c r="BGU5" s="325"/>
      <c r="BGV5" s="325"/>
      <c r="BGW5" s="325"/>
      <c r="BGX5" s="325"/>
      <c r="BGY5" s="325"/>
      <c r="BGZ5" s="325"/>
      <c r="BHA5" s="325"/>
      <c r="BHB5" s="325"/>
      <c r="BHC5" s="325"/>
      <c r="BHD5" s="325"/>
      <c r="BHE5" s="325"/>
      <c r="BHF5" s="325"/>
      <c r="BHG5" s="325"/>
      <c r="BHH5" s="325"/>
      <c r="BHI5" s="325"/>
      <c r="BHJ5" s="325"/>
      <c r="BHK5" s="325"/>
      <c r="BHL5" s="325"/>
      <c r="BHM5" s="325"/>
      <c r="BHN5" s="325"/>
      <c r="BHO5" s="325"/>
      <c r="BHP5" s="325"/>
      <c r="BHQ5" s="325"/>
      <c r="BHR5" s="325"/>
      <c r="BHS5" s="325"/>
      <c r="BHT5" s="325"/>
      <c r="BHU5" s="325"/>
      <c r="BHV5" s="325"/>
      <c r="BHW5" s="325"/>
      <c r="BHX5" s="325"/>
      <c r="BHY5" s="325"/>
      <c r="BHZ5" s="325"/>
      <c r="BIA5" s="325"/>
      <c r="BIB5" s="325"/>
      <c r="BIC5" s="325"/>
      <c r="BID5" s="325"/>
      <c r="BIE5" s="325"/>
      <c r="BIF5" s="325"/>
      <c r="BIG5" s="325"/>
      <c r="BIH5" s="325"/>
      <c r="BII5" s="325"/>
      <c r="BIJ5" s="325"/>
      <c r="BIK5" s="325"/>
      <c r="BIL5" s="325"/>
      <c r="BIM5" s="325"/>
      <c r="BIN5" s="325"/>
      <c r="BIO5" s="325"/>
      <c r="BIP5" s="325"/>
      <c r="BIQ5" s="325"/>
      <c r="BIR5" s="325"/>
      <c r="BIS5" s="325"/>
      <c r="BIT5" s="325"/>
      <c r="BIU5" s="325"/>
      <c r="BIV5" s="325"/>
      <c r="BIW5" s="325"/>
      <c r="BIX5" s="325"/>
      <c r="BIY5" s="325"/>
      <c r="BIZ5" s="325"/>
      <c r="BJA5" s="325"/>
      <c r="BJB5" s="325"/>
      <c r="BJC5" s="325"/>
      <c r="BJD5" s="325"/>
      <c r="BJE5" s="325"/>
      <c r="BJF5" s="325"/>
      <c r="BJG5" s="325"/>
      <c r="BJH5" s="325"/>
      <c r="BJI5" s="325"/>
      <c r="BJJ5" s="325"/>
      <c r="BJK5" s="325"/>
      <c r="BJL5" s="325"/>
      <c r="BJM5" s="325"/>
      <c r="BJN5" s="325"/>
      <c r="BJO5" s="325"/>
      <c r="BJP5" s="325"/>
      <c r="BJQ5" s="325"/>
      <c r="BJR5" s="325"/>
      <c r="BJS5" s="325"/>
      <c r="BJT5" s="325"/>
      <c r="BJU5" s="325"/>
      <c r="BJV5" s="325"/>
      <c r="BJW5" s="325"/>
      <c r="BJX5" s="325"/>
      <c r="BJY5" s="325"/>
      <c r="BJZ5" s="325"/>
      <c r="BKA5" s="325"/>
      <c r="BKB5" s="325"/>
      <c r="BKC5" s="325"/>
      <c r="BKD5" s="325"/>
      <c r="BKE5" s="325"/>
      <c r="BKF5" s="325"/>
      <c r="BKG5" s="325"/>
      <c r="BKH5" s="325"/>
      <c r="BKI5" s="325"/>
      <c r="BKJ5" s="325"/>
      <c r="BKK5" s="325"/>
      <c r="BKL5" s="325"/>
      <c r="BKM5" s="325"/>
      <c r="BKN5" s="325"/>
      <c r="BKO5" s="325"/>
      <c r="BKP5" s="325"/>
      <c r="BKQ5" s="325"/>
      <c r="BKR5" s="325"/>
      <c r="BKS5" s="325"/>
      <c r="BKT5" s="325"/>
      <c r="BKU5" s="325"/>
      <c r="BKV5" s="325"/>
      <c r="BKW5" s="325"/>
      <c r="BKX5" s="325"/>
      <c r="BKY5" s="325"/>
      <c r="BKZ5" s="325"/>
      <c r="BLA5" s="325"/>
      <c r="BLB5" s="325"/>
      <c r="BLC5" s="325"/>
      <c r="BLD5" s="325"/>
      <c r="BLE5" s="325"/>
      <c r="BLF5" s="325"/>
      <c r="BLG5" s="325"/>
      <c r="BLH5" s="325"/>
      <c r="BLI5" s="325"/>
      <c r="BLJ5" s="325"/>
      <c r="BLK5" s="325"/>
      <c r="BLL5" s="325"/>
      <c r="BLM5" s="325"/>
      <c r="BLN5" s="325"/>
      <c r="BLO5" s="325"/>
      <c r="BLP5" s="325"/>
      <c r="BLQ5" s="325"/>
      <c r="BLR5" s="325"/>
      <c r="BLS5" s="325"/>
      <c r="BLT5" s="325"/>
      <c r="BLU5" s="325"/>
      <c r="BLV5" s="325"/>
      <c r="BLW5" s="325"/>
      <c r="BLX5" s="325"/>
      <c r="BLY5" s="325"/>
      <c r="BLZ5" s="325"/>
      <c r="BMA5" s="325"/>
      <c r="BMB5" s="325"/>
      <c r="BMC5" s="325"/>
      <c r="BMD5" s="325"/>
      <c r="BME5" s="325"/>
      <c r="BMF5" s="325"/>
      <c r="BMG5" s="325"/>
      <c r="BMH5" s="325"/>
      <c r="BMI5" s="325"/>
      <c r="BMJ5" s="325"/>
      <c r="BMK5" s="325"/>
      <c r="BML5" s="325"/>
      <c r="BMM5" s="325"/>
      <c r="BMN5" s="325"/>
      <c r="BMO5" s="325"/>
      <c r="BMP5" s="325"/>
      <c r="BMQ5" s="325"/>
      <c r="BMR5" s="325"/>
      <c r="BMS5" s="325"/>
      <c r="BMT5" s="325"/>
      <c r="BMU5" s="325"/>
      <c r="BMV5" s="325"/>
      <c r="BMW5" s="325"/>
      <c r="BMX5" s="325"/>
      <c r="BMY5" s="325"/>
      <c r="BMZ5" s="325"/>
      <c r="BNA5" s="325"/>
      <c r="BNB5" s="325"/>
      <c r="BNC5" s="325"/>
      <c r="BND5" s="325"/>
      <c r="BNE5" s="325"/>
      <c r="BNF5" s="325"/>
      <c r="BNG5" s="325"/>
      <c r="BNH5" s="325"/>
      <c r="BNI5" s="325"/>
      <c r="BNJ5" s="325"/>
      <c r="BNK5" s="325"/>
      <c r="BNL5" s="325"/>
      <c r="BNM5" s="325"/>
      <c r="BNN5" s="325"/>
      <c r="BNO5" s="325"/>
      <c r="BNP5" s="325"/>
      <c r="BNQ5" s="325"/>
      <c r="BNR5" s="325"/>
      <c r="BNS5" s="325"/>
      <c r="BNT5" s="325"/>
      <c r="BNU5" s="325"/>
      <c r="BNV5" s="325"/>
      <c r="BNW5" s="325"/>
      <c r="BNX5" s="325"/>
      <c r="BNY5" s="325"/>
      <c r="BNZ5" s="325"/>
      <c r="BOA5" s="325"/>
      <c r="BOB5" s="325"/>
      <c r="BOC5" s="325"/>
      <c r="BOD5" s="325"/>
      <c r="BOE5" s="325"/>
      <c r="BOF5" s="325"/>
      <c r="BOG5" s="325"/>
      <c r="BOH5" s="325"/>
      <c r="BOI5" s="325"/>
      <c r="BOJ5" s="325"/>
      <c r="BOK5" s="325"/>
      <c r="BOL5" s="325"/>
      <c r="BOM5" s="325"/>
      <c r="BON5" s="325"/>
      <c r="BOO5" s="325"/>
      <c r="BOP5" s="325"/>
      <c r="BOQ5" s="325"/>
      <c r="BOR5" s="325"/>
      <c r="BOS5" s="325"/>
      <c r="BOT5" s="325"/>
      <c r="BOU5" s="325"/>
      <c r="BOV5" s="325"/>
      <c r="BOW5" s="325"/>
      <c r="BOX5" s="325"/>
      <c r="BOY5" s="325"/>
      <c r="BOZ5" s="325"/>
      <c r="BPA5" s="325"/>
      <c r="BPB5" s="325"/>
      <c r="BPC5" s="325"/>
      <c r="BPD5" s="325"/>
      <c r="BPE5" s="325"/>
      <c r="BPF5" s="325"/>
      <c r="BPG5" s="325"/>
      <c r="BPH5" s="325"/>
      <c r="BPI5" s="325"/>
      <c r="BPJ5" s="325"/>
      <c r="BPK5" s="325"/>
      <c r="BPL5" s="325"/>
      <c r="BPM5" s="325"/>
      <c r="BPN5" s="325"/>
      <c r="BPO5" s="325"/>
      <c r="BPP5" s="325"/>
      <c r="BPQ5" s="325"/>
      <c r="BPR5" s="325"/>
      <c r="BPS5" s="325"/>
      <c r="BPT5" s="325"/>
      <c r="BPU5" s="325"/>
      <c r="BPV5" s="325"/>
      <c r="BPW5" s="325"/>
      <c r="BPX5" s="325"/>
      <c r="BPY5" s="325"/>
      <c r="BPZ5" s="325"/>
      <c r="BQA5" s="325"/>
      <c r="BQB5" s="325"/>
      <c r="BQC5" s="325"/>
      <c r="BQD5" s="325"/>
      <c r="BQE5" s="325"/>
      <c r="BQF5" s="325"/>
      <c r="BQG5" s="325"/>
      <c r="BQH5" s="325"/>
      <c r="BQI5" s="325"/>
      <c r="BQJ5" s="325"/>
      <c r="BQK5" s="325"/>
      <c r="BQL5" s="325"/>
      <c r="BQM5" s="325"/>
      <c r="BQN5" s="325"/>
      <c r="BQO5" s="325"/>
      <c r="BQP5" s="325"/>
      <c r="BQQ5" s="325"/>
      <c r="BQR5" s="325"/>
      <c r="BQS5" s="325"/>
      <c r="BQT5" s="325"/>
      <c r="BQU5" s="325"/>
      <c r="BQV5" s="325"/>
      <c r="BQW5" s="325"/>
      <c r="BQX5" s="325"/>
      <c r="BQY5" s="325"/>
      <c r="BQZ5" s="325"/>
      <c r="BRA5" s="325"/>
      <c r="BRB5" s="325"/>
      <c r="BRC5" s="325"/>
      <c r="BRD5" s="325"/>
      <c r="BRE5" s="325"/>
      <c r="BRF5" s="325"/>
      <c r="BRG5" s="325"/>
      <c r="BRH5" s="325"/>
      <c r="BRI5" s="325"/>
      <c r="BRJ5" s="325"/>
      <c r="BRK5" s="325"/>
      <c r="BRL5" s="325"/>
      <c r="BRM5" s="325"/>
      <c r="BRN5" s="325"/>
      <c r="BRO5" s="325"/>
      <c r="BRP5" s="325"/>
      <c r="BRQ5" s="325"/>
      <c r="BRR5" s="325"/>
      <c r="BRS5" s="325"/>
      <c r="BRT5" s="325"/>
      <c r="BRU5" s="325"/>
      <c r="BRV5" s="325"/>
      <c r="BRW5" s="325"/>
      <c r="BRX5" s="325"/>
      <c r="BRY5" s="325"/>
      <c r="BRZ5" s="325"/>
      <c r="BSA5" s="325"/>
      <c r="BSB5" s="325"/>
      <c r="BSC5" s="325"/>
      <c r="BSD5" s="325"/>
      <c r="BSE5" s="325"/>
      <c r="BSF5" s="325"/>
      <c r="BSG5" s="325"/>
      <c r="BSH5" s="325"/>
      <c r="BSI5" s="325"/>
      <c r="BSJ5" s="325"/>
      <c r="BSK5" s="325"/>
      <c r="BSL5" s="325"/>
      <c r="BSM5" s="325"/>
      <c r="BSN5" s="325"/>
      <c r="BSO5" s="325"/>
      <c r="BSP5" s="325"/>
      <c r="BSQ5" s="325"/>
      <c r="BSR5" s="325"/>
      <c r="BSS5" s="325"/>
      <c r="BST5" s="325"/>
      <c r="BSU5" s="325"/>
      <c r="BSV5" s="325"/>
      <c r="BSW5" s="325"/>
      <c r="BSX5" s="325"/>
      <c r="BSY5" s="325"/>
      <c r="BSZ5" s="325"/>
      <c r="BTA5" s="325"/>
      <c r="BTB5" s="325"/>
      <c r="BTC5" s="325"/>
      <c r="BTD5" s="325"/>
      <c r="BTE5" s="325"/>
      <c r="BTF5" s="325"/>
      <c r="BTG5" s="325"/>
      <c r="BTH5" s="325"/>
      <c r="BTI5" s="325"/>
      <c r="BTJ5" s="325"/>
      <c r="BTK5" s="325"/>
      <c r="BTL5" s="325"/>
      <c r="BTM5" s="325"/>
      <c r="BTN5" s="325"/>
      <c r="BTO5" s="325"/>
      <c r="BTP5" s="325"/>
      <c r="BTQ5" s="325"/>
      <c r="BTR5" s="325"/>
      <c r="BTS5" s="325"/>
      <c r="BTT5" s="325"/>
      <c r="BTU5" s="325"/>
      <c r="BTV5" s="325"/>
      <c r="BTW5" s="325"/>
      <c r="BTX5" s="325"/>
      <c r="BTY5" s="325"/>
      <c r="BTZ5" s="325"/>
      <c r="BUA5" s="325"/>
      <c r="BUB5" s="325"/>
      <c r="BUC5" s="325"/>
      <c r="BUD5" s="325"/>
      <c r="BUE5" s="325"/>
      <c r="BUF5" s="325"/>
      <c r="BUG5" s="325"/>
      <c r="BUH5" s="325"/>
      <c r="BUI5" s="325"/>
      <c r="BUJ5" s="325"/>
      <c r="BUK5" s="325"/>
      <c r="BUL5" s="325"/>
      <c r="BUM5" s="325"/>
      <c r="BUN5" s="325"/>
      <c r="BUO5" s="325"/>
      <c r="BUP5" s="325"/>
      <c r="BUQ5" s="325"/>
      <c r="BUR5" s="325"/>
      <c r="BUS5" s="325"/>
      <c r="BUT5" s="325"/>
      <c r="BUU5" s="325"/>
      <c r="BUV5" s="325"/>
      <c r="BUW5" s="325"/>
      <c r="BUX5" s="325"/>
      <c r="BUY5" s="325"/>
      <c r="BUZ5" s="325"/>
      <c r="BVA5" s="325"/>
      <c r="BVB5" s="325"/>
      <c r="BVC5" s="325"/>
      <c r="BVD5" s="325"/>
      <c r="BVE5" s="325"/>
      <c r="BVF5" s="325"/>
      <c r="BVG5" s="325"/>
      <c r="BVH5" s="325"/>
      <c r="BVI5" s="325"/>
      <c r="BVJ5" s="325"/>
      <c r="BVK5" s="325"/>
      <c r="BVL5" s="325"/>
      <c r="BVM5" s="325"/>
      <c r="BVN5" s="325"/>
      <c r="BVO5" s="325"/>
      <c r="BVP5" s="325"/>
      <c r="BVQ5" s="325"/>
      <c r="BVR5" s="325"/>
      <c r="BVS5" s="325"/>
      <c r="BVT5" s="325"/>
      <c r="BVU5" s="325"/>
      <c r="BVV5" s="325"/>
      <c r="BVW5" s="325"/>
      <c r="BVX5" s="325"/>
      <c r="BVY5" s="325"/>
      <c r="BVZ5" s="325"/>
      <c r="BWA5" s="325"/>
      <c r="BWB5" s="325"/>
      <c r="BWC5" s="325"/>
      <c r="BWD5" s="325"/>
      <c r="BWE5" s="325"/>
      <c r="BWF5" s="325"/>
      <c r="BWG5" s="325"/>
      <c r="BWH5" s="325"/>
      <c r="BWI5" s="325"/>
      <c r="BWJ5" s="325"/>
      <c r="BWK5" s="325"/>
      <c r="BWL5" s="325"/>
      <c r="BWM5" s="325"/>
      <c r="BWN5" s="325"/>
      <c r="BWO5" s="325"/>
      <c r="BWP5" s="325"/>
      <c r="BWQ5" s="325"/>
      <c r="BWR5" s="325"/>
      <c r="BWS5" s="325"/>
      <c r="BWT5" s="325"/>
      <c r="BWU5" s="325"/>
      <c r="BWV5" s="325"/>
      <c r="BWW5" s="325"/>
      <c r="BWX5" s="325"/>
      <c r="BWY5" s="325"/>
      <c r="BWZ5" s="325"/>
      <c r="BXA5" s="325"/>
      <c r="BXB5" s="325"/>
      <c r="BXC5" s="325"/>
      <c r="BXD5" s="325"/>
      <c r="BXE5" s="325"/>
      <c r="BXF5" s="325"/>
      <c r="BXG5" s="325"/>
      <c r="BXH5" s="325"/>
      <c r="BXI5" s="325"/>
      <c r="BXJ5" s="325"/>
      <c r="BXK5" s="325"/>
      <c r="BXL5" s="325"/>
      <c r="BXM5" s="325"/>
      <c r="BXN5" s="325"/>
      <c r="BXO5" s="325"/>
      <c r="BXP5" s="325"/>
      <c r="BXQ5" s="325"/>
      <c r="BXR5" s="325"/>
      <c r="BXS5" s="325"/>
      <c r="BXT5" s="325"/>
      <c r="BXU5" s="325"/>
      <c r="BXV5" s="325"/>
      <c r="BXW5" s="325"/>
      <c r="BXX5" s="325"/>
      <c r="BXY5" s="325"/>
      <c r="BXZ5" s="325"/>
      <c r="BYA5" s="325"/>
      <c r="BYB5" s="325"/>
      <c r="BYC5" s="325"/>
      <c r="BYD5" s="325"/>
      <c r="BYE5" s="325"/>
      <c r="BYF5" s="325"/>
      <c r="BYG5" s="325"/>
      <c r="BYH5" s="325"/>
      <c r="BYI5" s="325"/>
      <c r="BYJ5" s="325"/>
      <c r="BYK5" s="325"/>
      <c r="BYL5" s="325"/>
      <c r="BYM5" s="325"/>
      <c r="BYN5" s="325"/>
      <c r="BYO5" s="325"/>
      <c r="BYP5" s="325"/>
      <c r="BYQ5" s="325"/>
      <c r="BYR5" s="325"/>
      <c r="BYS5" s="325"/>
      <c r="BYT5" s="325"/>
      <c r="BYU5" s="325"/>
      <c r="BYV5" s="325"/>
      <c r="BYW5" s="325"/>
      <c r="BYX5" s="325"/>
      <c r="BYY5" s="325"/>
      <c r="BYZ5" s="325"/>
      <c r="BZA5" s="325"/>
      <c r="BZB5" s="325"/>
      <c r="BZC5" s="325"/>
      <c r="BZD5" s="325"/>
      <c r="BZE5" s="325"/>
      <c r="BZF5" s="325"/>
      <c r="BZG5" s="325"/>
      <c r="BZH5" s="325"/>
      <c r="BZI5" s="325"/>
      <c r="BZJ5" s="325"/>
      <c r="BZK5" s="325"/>
      <c r="BZL5" s="325"/>
      <c r="BZM5" s="325"/>
      <c r="BZN5" s="325"/>
      <c r="BZO5" s="325"/>
      <c r="BZP5" s="325"/>
      <c r="BZQ5" s="325"/>
      <c r="BZR5" s="325"/>
      <c r="BZS5" s="325"/>
      <c r="BZT5" s="325"/>
      <c r="BZU5" s="325"/>
      <c r="BZV5" s="325"/>
      <c r="BZW5" s="325"/>
      <c r="BZX5" s="325"/>
      <c r="BZY5" s="325"/>
      <c r="BZZ5" s="325"/>
      <c r="CAA5" s="325"/>
      <c r="CAB5" s="325"/>
      <c r="CAC5" s="325"/>
      <c r="CAD5" s="325"/>
      <c r="CAE5" s="325"/>
      <c r="CAF5" s="325"/>
      <c r="CAG5" s="325"/>
      <c r="CAH5" s="325"/>
      <c r="CAI5" s="325"/>
      <c r="CAJ5" s="325"/>
      <c r="CAK5" s="325"/>
      <c r="CAL5" s="325"/>
      <c r="CAM5" s="325"/>
      <c r="CAN5" s="325"/>
      <c r="CAO5" s="325"/>
      <c r="CAP5" s="325"/>
      <c r="CAQ5" s="325"/>
      <c r="CAR5" s="325"/>
      <c r="CAS5" s="325"/>
      <c r="CAT5" s="325"/>
      <c r="CAU5" s="325"/>
      <c r="CAV5" s="325"/>
      <c r="CAW5" s="325"/>
      <c r="CAX5" s="325"/>
      <c r="CAY5" s="325"/>
      <c r="CAZ5" s="325"/>
      <c r="CBA5" s="325"/>
      <c r="CBB5" s="325"/>
      <c r="CBC5" s="325"/>
      <c r="CBD5" s="325"/>
      <c r="CBE5" s="325"/>
      <c r="CBF5" s="325"/>
      <c r="CBG5" s="325"/>
      <c r="CBH5" s="325"/>
      <c r="CBI5" s="325"/>
      <c r="CBJ5" s="325"/>
      <c r="CBK5" s="325"/>
      <c r="CBL5" s="325"/>
      <c r="CBM5" s="325"/>
      <c r="CBN5" s="325"/>
      <c r="CBO5" s="325"/>
      <c r="CBP5" s="325"/>
      <c r="CBQ5" s="325"/>
      <c r="CBR5" s="325"/>
      <c r="CBS5" s="325"/>
      <c r="CBT5" s="325"/>
      <c r="CBU5" s="325"/>
      <c r="CBV5" s="325"/>
      <c r="CBW5" s="325"/>
      <c r="CBX5" s="325"/>
      <c r="CBY5" s="325"/>
      <c r="CBZ5" s="325"/>
      <c r="CCA5" s="325"/>
      <c r="CCB5" s="325"/>
      <c r="CCC5" s="325"/>
      <c r="CCD5" s="325"/>
      <c r="CCE5" s="325"/>
      <c r="CCF5" s="325"/>
      <c r="CCG5" s="325"/>
      <c r="CCH5" s="325"/>
      <c r="CCI5" s="325"/>
      <c r="CCJ5" s="325"/>
      <c r="CCK5" s="325"/>
      <c r="CCL5" s="325"/>
      <c r="CCM5" s="325"/>
      <c r="CCN5" s="325"/>
      <c r="CCO5" s="325"/>
      <c r="CCP5" s="325"/>
      <c r="CCQ5" s="325"/>
      <c r="CCR5" s="325"/>
      <c r="CCS5" s="325"/>
      <c r="CCT5" s="325"/>
      <c r="CCU5" s="325"/>
      <c r="CCV5" s="325"/>
      <c r="CCW5" s="325"/>
      <c r="CCX5" s="325"/>
      <c r="CCY5" s="325"/>
      <c r="CCZ5" s="325"/>
      <c r="CDA5" s="325"/>
      <c r="CDB5" s="325"/>
      <c r="CDC5" s="325"/>
      <c r="CDD5" s="325"/>
      <c r="CDE5" s="325"/>
      <c r="CDF5" s="325"/>
      <c r="CDG5" s="325"/>
      <c r="CDH5" s="325"/>
      <c r="CDI5" s="325"/>
      <c r="CDJ5" s="325"/>
      <c r="CDK5" s="325"/>
      <c r="CDL5" s="325"/>
      <c r="CDM5" s="325"/>
      <c r="CDN5" s="325"/>
      <c r="CDO5" s="325"/>
      <c r="CDP5" s="325"/>
      <c r="CDQ5" s="325"/>
      <c r="CDR5" s="325"/>
      <c r="CDS5" s="325"/>
      <c r="CDT5" s="325"/>
      <c r="CDU5" s="325"/>
      <c r="CDV5" s="325"/>
      <c r="CDW5" s="325"/>
      <c r="CDX5" s="325"/>
      <c r="CDY5" s="325"/>
      <c r="CDZ5" s="325"/>
      <c r="CEA5" s="325"/>
      <c r="CEB5" s="325"/>
      <c r="CEC5" s="325"/>
      <c r="CED5" s="325"/>
      <c r="CEE5" s="325"/>
      <c r="CEF5" s="325"/>
      <c r="CEG5" s="325"/>
      <c r="CEH5" s="325"/>
      <c r="CEI5" s="325"/>
      <c r="CEJ5" s="325"/>
      <c r="CEK5" s="325"/>
      <c r="CEL5" s="325"/>
      <c r="CEM5" s="325"/>
      <c r="CEN5" s="325"/>
      <c r="CEO5" s="325"/>
      <c r="CEP5" s="325"/>
      <c r="CEQ5" s="325"/>
      <c r="CER5" s="325"/>
      <c r="CES5" s="325"/>
      <c r="CET5" s="325"/>
      <c r="CEU5" s="325"/>
      <c r="CEV5" s="325"/>
      <c r="CEW5" s="325"/>
      <c r="CEX5" s="325"/>
      <c r="CEY5" s="325"/>
      <c r="CEZ5" s="325"/>
      <c r="CFA5" s="325"/>
      <c r="CFB5" s="325"/>
      <c r="CFC5" s="325"/>
      <c r="CFD5" s="325"/>
      <c r="CFE5" s="325"/>
      <c r="CFF5" s="325"/>
      <c r="CFG5" s="325"/>
      <c r="CFH5" s="325"/>
      <c r="CFI5" s="325"/>
      <c r="CFJ5" s="325"/>
      <c r="CFK5" s="325"/>
      <c r="CFL5" s="325"/>
      <c r="CFM5" s="325"/>
      <c r="CFN5" s="325"/>
      <c r="CFO5" s="325"/>
      <c r="CFP5" s="325"/>
      <c r="CFQ5" s="325"/>
      <c r="CFR5" s="325"/>
      <c r="CFS5" s="325"/>
      <c r="CFT5" s="325"/>
      <c r="CFU5" s="325"/>
      <c r="CFV5" s="325"/>
      <c r="CFW5" s="325"/>
      <c r="CFX5" s="325"/>
      <c r="CFY5" s="325"/>
      <c r="CFZ5" s="325"/>
      <c r="CGA5" s="325"/>
      <c r="CGB5" s="325"/>
      <c r="CGC5" s="325"/>
      <c r="CGD5" s="325"/>
      <c r="CGE5" s="325"/>
      <c r="CGF5" s="325"/>
      <c r="CGG5" s="325"/>
      <c r="CGH5" s="325"/>
      <c r="CGI5" s="325"/>
      <c r="CGJ5" s="325"/>
      <c r="CGK5" s="325"/>
      <c r="CGL5" s="325"/>
      <c r="CGM5" s="325"/>
      <c r="CGN5" s="325"/>
      <c r="CGO5" s="325"/>
      <c r="CGP5" s="325"/>
      <c r="CGQ5" s="325"/>
      <c r="CGR5" s="325"/>
      <c r="CGS5" s="325"/>
      <c r="CGT5" s="325"/>
      <c r="CGU5" s="325"/>
      <c r="CGV5" s="325"/>
      <c r="CGW5" s="325"/>
      <c r="CGX5" s="325"/>
      <c r="CGY5" s="325"/>
      <c r="CGZ5" s="325"/>
      <c r="CHA5" s="325"/>
      <c r="CHB5" s="325"/>
      <c r="CHC5" s="325"/>
      <c r="CHD5" s="325"/>
      <c r="CHE5" s="325"/>
      <c r="CHF5" s="325"/>
      <c r="CHG5" s="325"/>
      <c r="CHH5" s="325"/>
      <c r="CHI5" s="325"/>
      <c r="CHJ5" s="325"/>
      <c r="CHK5" s="325"/>
      <c r="CHL5" s="325"/>
      <c r="CHM5" s="325"/>
      <c r="CHN5" s="325"/>
      <c r="CHO5" s="325"/>
      <c r="CHP5" s="325"/>
      <c r="CHQ5" s="325"/>
      <c r="CHR5" s="325"/>
      <c r="CHS5" s="325"/>
      <c r="CHT5" s="325"/>
      <c r="CHU5" s="325"/>
      <c r="CHV5" s="325"/>
      <c r="CHW5" s="325"/>
      <c r="CHX5" s="325"/>
      <c r="CHY5" s="325"/>
      <c r="CHZ5" s="325"/>
      <c r="CIA5" s="325"/>
      <c r="CIB5" s="325"/>
      <c r="CIC5" s="325"/>
      <c r="CID5" s="325"/>
      <c r="CIE5" s="325"/>
      <c r="CIF5" s="325"/>
      <c r="CIG5" s="325"/>
      <c r="CIH5" s="325"/>
      <c r="CII5" s="325"/>
      <c r="CIJ5" s="325"/>
      <c r="CIK5" s="325"/>
      <c r="CIL5" s="325"/>
      <c r="CIM5" s="325"/>
      <c r="CIN5" s="325"/>
      <c r="CIO5" s="325"/>
      <c r="CIP5" s="325"/>
      <c r="CIQ5" s="325"/>
      <c r="CIR5" s="325"/>
      <c r="CIS5" s="325"/>
      <c r="CIT5" s="325"/>
      <c r="CIU5" s="325"/>
      <c r="CIV5" s="325"/>
      <c r="CIW5" s="325"/>
      <c r="CIX5" s="325"/>
      <c r="CIY5" s="325"/>
      <c r="CIZ5" s="325"/>
      <c r="CJA5" s="325"/>
      <c r="CJB5" s="325"/>
      <c r="CJC5" s="325"/>
      <c r="CJD5" s="325"/>
      <c r="CJE5" s="325"/>
      <c r="CJF5" s="325"/>
      <c r="CJG5" s="325"/>
      <c r="CJH5" s="325"/>
      <c r="CJI5" s="325"/>
      <c r="CJJ5" s="325"/>
      <c r="CJK5" s="325"/>
      <c r="CJL5" s="325"/>
      <c r="CJM5" s="325"/>
      <c r="CJN5" s="325"/>
      <c r="CJO5" s="325"/>
      <c r="CJP5" s="325"/>
      <c r="CJQ5" s="325"/>
      <c r="CJR5" s="325"/>
      <c r="CJS5" s="325"/>
      <c r="CJT5" s="325"/>
      <c r="CJU5" s="325"/>
      <c r="CJV5" s="325"/>
      <c r="CJW5" s="325"/>
      <c r="CJX5" s="325"/>
      <c r="CJY5" s="325"/>
      <c r="CJZ5" s="325"/>
      <c r="CKA5" s="325"/>
      <c r="CKB5" s="325"/>
      <c r="CKC5" s="325"/>
      <c r="CKD5" s="325"/>
      <c r="CKE5" s="325"/>
      <c r="CKF5" s="325"/>
      <c r="CKG5" s="325"/>
      <c r="CKH5" s="325"/>
      <c r="CKI5" s="325"/>
      <c r="CKJ5" s="325"/>
      <c r="CKK5" s="325"/>
      <c r="CKL5" s="325"/>
      <c r="CKM5" s="325"/>
      <c r="CKN5" s="325"/>
      <c r="CKO5" s="325"/>
      <c r="CKP5" s="325"/>
      <c r="CKQ5" s="325"/>
      <c r="CKR5" s="325"/>
      <c r="CKS5" s="325"/>
      <c r="CKT5" s="325"/>
      <c r="CKU5" s="325"/>
      <c r="CKV5" s="325"/>
      <c r="CKW5" s="325"/>
      <c r="CKX5" s="325"/>
      <c r="CKY5" s="325"/>
      <c r="CKZ5" s="325"/>
      <c r="CLA5" s="325"/>
      <c r="CLB5" s="325"/>
      <c r="CLC5" s="325"/>
      <c r="CLD5" s="325"/>
      <c r="CLE5" s="325"/>
      <c r="CLF5" s="325"/>
      <c r="CLG5" s="325"/>
      <c r="CLH5" s="325"/>
      <c r="CLI5" s="325"/>
      <c r="CLJ5" s="325"/>
      <c r="CLK5" s="325"/>
      <c r="CLL5" s="325"/>
      <c r="CLM5" s="325"/>
      <c r="CLN5" s="325"/>
      <c r="CLO5" s="325"/>
      <c r="CLP5" s="325"/>
      <c r="CLQ5" s="325"/>
      <c r="CLR5" s="325"/>
      <c r="CLS5" s="325"/>
      <c r="CLT5" s="325"/>
      <c r="CLU5" s="325"/>
      <c r="CLV5" s="325"/>
      <c r="CLW5" s="325"/>
      <c r="CLX5" s="325"/>
      <c r="CLY5" s="325"/>
      <c r="CLZ5" s="325"/>
      <c r="CMA5" s="325"/>
      <c r="CMB5" s="325"/>
      <c r="CMC5" s="325"/>
      <c r="CMD5" s="325"/>
      <c r="CME5" s="325"/>
      <c r="CMF5" s="325"/>
      <c r="CMG5" s="325"/>
      <c r="CMH5" s="325"/>
      <c r="CMI5" s="325"/>
      <c r="CMJ5" s="325"/>
      <c r="CMK5" s="325"/>
      <c r="CML5" s="325"/>
      <c r="CMM5" s="325"/>
      <c r="CMN5" s="325"/>
      <c r="CMO5" s="325"/>
      <c r="CMP5" s="325"/>
      <c r="CMQ5" s="325"/>
      <c r="CMR5" s="325"/>
      <c r="CMS5" s="325"/>
      <c r="CMT5" s="325"/>
      <c r="CMU5" s="325"/>
      <c r="CMV5" s="325"/>
      <c r="CMW5" s="325"/>
      <c r="CMX5" s="325"/>
      <c r="CMY5" s="325"/>
      <c r="CMZ5" s="325"/>
      <c r="CNA5" s="325"/>
      <c r="CNB5" s="325"/>
      <c r="CNC5" s="325"/>
      <c r="CND5" s="325"/>
      <c r="CNE5" s="325"/>
      <c r="CNF5" s="325"/>
      <c r="CNG5" s="325"/>
      <c r="CNH5" s="325"/>
      <c r="CNI5" s="325"/>
      <c r="CNJ5" s="325"/>
      <c r="CNK5" s="325"/>
      <c r="CNL5" s="325"/>
      <c r="CNM5" s="325"/>
      <c r="CNN5" s="325"/>
      <c r="CNO5" s="325"/>
      <c r="CNP5" s="325"/>
      <c r="CNQ5" s="325"/>
      <c r="CNR5" s="325"/>
      <c r="CNS5" s="325"/>
      <c r="CNT5" s="325"/>
      <c r="CNU5" s="325"/>
      <c r="CNV5" s="325"/>
      <c r="CNW5" s="325"/>
      <c r="CNX5" s="325"/>
      <c r="CNY5" s="325"/>
      <c r="CNZ5" s="325"/>
      <c r="COA5" s="325"/>
      <c r="COB5" s="325"/>
      <c r="COC5" s="325"/>
      <c r="COD5" s="325"/>
      <c r="COE5" s="325"/>
      <c r="COF5" s="325"/>
      <c r="COG5" s="325"/>
      <c r="COH5" s="325"/>
      <c r="COI5" s="325"/>
      <c r="COJ5" s="325"/>
      <c r="COK5" s="325"/>
      <c r="COL5" s="325"/>
      <c r="COM5" s="325"/>
      <c r="CON5" s="325"/>
      <c r="COO5" s="325"/>
      <c r="COP5" s="325"/>
      <c r="COQ5" s="325"/>
      <c r="COR5" s="325"/>
      <c r="COS5" s="325"/>
      <c r="COT5" s="325"/>
      <c r="COU5" s="325"/>
      <c r="COV5" s="325"/>
      <c r="COW5" s="325"/>
      <c r="COX5" s="325"/>
      <c r="COY5" s="325"/>
      <c r="COZ5" s="325"/>
      <c r="CPA5" s="325"/>
      <c r="CPB5" s="325"/>
      <c r="CPC5" s="325"/>
      <c r="CPD5" s="325"/>
      <c r="CPE5" s="325"/>
      <c r="CPF5" s="325"/>
      <c r="CPG5" s="325"/>
      <c r="CPH5" s="325"/>
      <c r="CPI5" s="325"/>
      <c r="CPJ5" s="325"/>
      <c r="CPK5" s="325"/>
      <c r="CPL5" s="325"/>
      <c r="CPM5" s="325"/>
      <c r="CPN5" s="325"/>
      <c r="CPO5" s="325"/>
      <c r="CPP5" s="325"/>
      <c r="CPQ5" s="325"/>
      <c r="CPR5" s="325"/>
      <c r="CPS5" s="325"/>
      <c r="CPT5" s="325"/>
      <c r="CPU5" s="325"/>
      <c r="CPV5" s="325"/>
      <c r="CPW5" s="325"/>
      <c r="CPX5" s="325"/>
      <c r="CPY5" s="325"/>
      <c r="CPZ5" s="325"/>
      <c r="CQA5" s="325"/>
      <c r="CQB5" s="325"/>
      <c r="CQC5" s="325"/>
      <c r="CQD5" s="325"/>
      <c r="CQE5" s="325"/>
      <c r="CQF5" s="325"/>
      <c r="CQG5" s="325"/>
      <c r="CQH5" s="325"/>
      <c r="CQI5" s="325"/>
      <c r="CQJ5" s="325"/>
      <c r="CQK5" s="325"/>
      <c r="CQL5" s="325"/>
      <c r="CQM5" s="325"/>
      <c r="CQN5" s="325"/>
      <c r="CQO5" s="325"/>
      <c r="CQP5" s="325"/>
      <c r="CQQ5" s="325"/>
      <c r="CQR5" s="325"/>
      <c r="CQS5" s="325"/>
      <c r="CQT5" s="325"/>
      <c r="CQU5" s="325"/>
      <c r="CQV5" s="325"/>
      <c r="CQW5" s="325"/>
      <c r="CQX5" s="325"/>
      <c r="CQY5" s="325"/>
      <c r="CQZ5" s="325"/>
      <c r="CRA5" s="325"/>
      <c r="CRB5" s="325"/>
      <c r="CRC5" s="325"/>
      <c r="CRD5" s="325"/>
      <c r="CRE5" s="325"/>
      <c r="CRF5" s="325"/>
      <c r="CRG5" s="325"/>
      <c r="CRH5" s="325"/>
      <c r="CRI5" s="325"/>
      <c r="CRJ5" s="325"/>
      <c r="CRK5" s="325"/>
      <c r="CRL5" s="325"/>
      <c r="CRM5" s="325"/>
      <c r="CRN5" s="325"/>
      <c r="CRO5" s="325"/>
      <c r="CRP5" s="325"/>
      <c r="CRQ5" s="325"/>
      <c r="CRR5" s="325"/>
      <c r="CRS5" s="325"/>
      <c r="CRT5" s="325"/>
      <c r="CRU5" s="325"/>
      <c r="CRV5" s="325"/>
      <c r="CRW5" s="325"/>
      <c r="CRX5" s="325"/>
      <c r="CRY5" s="325"/>
      <c r="CRZ5" s="325"/>
      <c r="CSA5" s="325"/>
      <c r="CSB5" s="325"/>
      <c r="CSC5" s="325"/>
      <c r="CSD5" s="325"/>
      <c r="CSE5" s="325"/>
      <c r="CSF5" s="325"/>
      <c r="CSG5" s="325"/>
      <c r="CSH5" s="325"/>
      <c r="CSI5" s="325"/>
      <c r="CSJ5" s="325"/>
      <c r="CSK5" s="325"/>
      <c r="CSL5" s="325"/>
      <c r="CSM5" s="325"/>
      <c r="CSN5" s="325"/>
      <c r="CSO5" s="325"/>
      <c r="CSP5" s="325"/>
      <c r="CSQ5" s="325"/>
      <c r="CSR5" s="325"/>
      <c r="CSS5" s="325"/>
      <c r="CST5" s="325"/>
      <c r="CSU5" s="325"/>
      <c r="CSV5" s="325"/>
      <c r="CSW5" s="325"/>
      <c r="CSX5" s="325"/>
      <c r="CSY5" s="325"/>
      <c r="CSZ5" s="325"/>
      <c r="CTA5" s="325"/>
      <c r="CTB5" s="325"/>
      <c r="CTC5" s="325"/>
      <c r="CTD5" s="325"/>
      <c r="CTE5" s="325"/>
      <c r="CTF5" s="325"/>
      <c r="CTG5" s="325"/>
      <c r="CTH5" s="325"/>
      <c r="CTI5" s="325"/>
      <c r="CTJ5" s="325"/>
      <c r="CTK5" s="325"/>
      <c r="CTL5" s="325"/>
      <c r="CTM5" s="325"/>
      <c r="CTN5" s="325"/>
      <c r="CTO5" s="325"/>
      <c r="CTP5" s="325"/>
      <c r="CTQ5" s="325"/>
      <c r="CTR5" s="325"/>
      <c r="CTS5" s="325"/>
      <c r="CTT5" s="325"/>
      <c r="CTU5" s="325"/>
      <c r="CTV5" s="325"/>
      <c r="CTW5" s="325"/>
      <c r="CTX5" s="325"/>
      <c r="CTY5" s="325"/>
      <c r="CTZ5" s="325"/>
      <c r="CUA5" s="325"/>
      <c r="CUB5" s="325"/>
      <c r="CUC5" s="325"/>
      <c r="CUD5" s="325"/>
      <c r="CUE5" s="325"/>
      <c r="CUF5" s="325"/>
      <c r="CUG5" s="325"/>
      <c r="CUH5" s="325"/>
      <c r="CUI5" s="325"/>
      <c r="CUJ5" s="325"/>
      <c r="CUK5" s="325"/>
      <c r="CUL5" s="325"/>
      <c r="CUM5" s="325"/>
      <c r="CUN5" s="325"/>
      <c r="CUO5" s="325"/>
      <c r="CUP5" s="325"/>
      <c r="CUQ5" s="325"/>
      <c r="CUR5" s="325"/>
      <c r="CUS5" s="325"/>
      <c r="CUT5" s="325"/>
      <c r="CUU5" s="325"/>
      <c r="CUV5" s="325"/>
      <c r="CUW5" s="325"/>
      <c r="CUX5" s="325"/>
      <c r="CUY5" s="325"/>
      <c r="CUZ5" s="325"/>
      <c r="CVA5" s="325"/>
      <c r="CVB5" s="325"/>
      <c r="CVC5" s="325"/>
      <c r="CVD5" s="325"/>
      <c r="CVE5" s="325"/>
      <c r="CVF5" s="325"/>
      <c r="CVG5" s="325"/>
      <c r="CVH5" s="325"/>
      <c r="CVI5" s="325"/>
      <c r="CVJ5" s="325"/>
      <c r="CVK5" s="325"/>
      <c r="CVL5" s="325"/>
      <c r="CVM5" s="325"/>
      <c r="CVN5" s="325"/>
      <c r="CVO5" s="325"/>
      <c r="CVP5" s="325"/>
      <c r="CVQ5" s="325"/>
      <c r="CVR5" s="325"/>
      <c r="CVS5" s="325"/>
      <c r="CVT5" s="325"/>
      <c r="CVU5" s="325"/>
      <c r="CVV5" s="325"/>
      <c r="CVW5" s="325"/>
      <c r="CVX5" s="325"/>
      <c r="CVY5" s="325"/>
      <c r="CVZ5" s="325"/>
      <c r="CWA5" s="325"/>
      <c r="CWB5" s="325"/>
      <c r="CWC5" s="325"/>
      <c r="CWD5" s="325"/>
      <c r="CWE5" s="325"/>
      <c r="CWF5" s="325"/>
      <c r="CWG5" s="325"/>
      <c r="CWH5" s="325"/>
      <c r="CWI5" s="325"/>
      <c r="CWJ5" s="325"/>
      <c r="CWK5" s="325"/>
      <c r="CWL5" s="325"/>
      <c r="CWM5" s="325"/>
      <c r="CWN5" s="325"/>
      <c r="CWO5" s="325"/>
      <c r="CWP5" s="325"/>
      <c r="CWQ5" s="325"/>
      <c r="CWR5" s="325"/>
      <c r="CWS5" s="325"/>
      <c r="CWT5" s="325"/>
      <c r="CWU5" s="325"/>
      <c r="CWV5" s="325"/>
      <c r="CWW5" s="325"/>
      <c r="CWX5" s="325"/>
      <c r="CWY5" s="325"/>
      <c r="CWZ5" s="325"/>
      <c r="CXA5" s="325"/>
      <c r="CXB5" s="325"/>
      <c r="CXC5" s="325"/>
      <c r="CXD5" s="325"/>
      <c r="CXE5" s="325"/>
      <c r="CXF5" s="325"/>
      <c r="CXG5" s="325"/>
      <c r="CXH5" s="325"/>
      <c r="CXI5" s="325"/>
      <c r="CXJ5" s="325"/>
      <c r="CXK5" s="325"/>
      <c r="CXL5" s="325"/>
      <c r="CXM5" s="325"/>
      <c r="CXN5" s="325"/>
      <c r="CXO5" s="325"/>
      <c r="CXP5" s="325"/>
      <c r="CXQ5" s="325"/>
      <c r="CXR5" s="325"/>
      <c r="CXS5" s="325"/>
      <c r="CXT5" s="325"/>
      <c r="CXU5" s="325"/>
      <c r="CXV5" s="325"/>
      <c r="CXW5" s="325"/>
      <c r="CXX5" s="325"/>
      <c r="CXY5" s="325"/>
      <c r="CXZ5" s="325"/>
      <c r="CYA5" s="325"/>
      <c r="CYB5" s="325"/>
      <c r="CYC5" s="325"/>
      <c r="CYD5" s="325"/>
      <c r="CYE5" s="325"/>
      <c r="CYF5" s="325"/>
      <c r="CYG5" s="325"/>
      <c r="CYH5" s="325"/>
      <c r="CYI5" s="325"/>
      <c r="CYJ5" s="325"/>
      <c r="CYK5" s="325"/>
      <c r="CYL5" s="325"/>
      <c r="CYM5" s="325"/>
      <c r="CYN5" s="325"/>
      <c r="CYO5" s="325"/>
      <c r="CYP5" s="325"/>
      <c r="CYQ5" s="325"/>
      <c r="CYR5" s="325"/>
      <c r="CYS5" s="325"/>
      <c r="CYT5" s="325"/>
      <c r="CYU5" s="325"/>
      <c r="CYV5" s="325"/>
      <c r="CYW5" s="325"/>
      <c r="CYX5" s="325"/>
      <c r="CYY5" s="325"/>
      <c r="CYZ5" s="325"/>
      <c r="CZA5" s="325"/>
      <c r="CZB5" s="325"/>
      <c r="CZC5" s="325"/>
      <c r="CZD5" s="325"/>
      <c r="CZE5" s="325"/>
      <c r="CZF5" s="325"/>
      <c r="CZG5" s="325"/>
      <c r="CZH5" s="325"/>
      <c r="CZI5" s="325"/>
      <c r="CZJ5" s="325"/>
      <c r="CZK5" s="325"/>
      <c r="CZL5" s="325"/>
      <c r="CZM5" s="325"/>
      <c r="CZN5" s="325"/>
      <c r="CZO5" s="325"/>
      <c r="CZP5" s="325"/>
      <c r="CZQ5" s="325"/>
      <c r="CZR5" s="325"/>
      <c r="CZS5" s="325"/>
      <c r="CZT5" s="325"/>
      <c r="CZU5" s="325"/>
      <c r="CZV5" s="325"/>
      <c r="CZW5" s="325"/>
      <c r="CZX5" s="325"/>
      <c r="CZY5" s="325"/>
      <c r="CZZ5" s="325"/>
      <c r="DAA5" s="325"/>
      <c r="DAB5" s="325"/>
      <c r="DAC5" s="325"/>
      <c r="DAD5" s="325"/>
      <c r="DAE5" s="325"/>
      <c r="DAF5" s="325"/>
      <c r="DAG5" s="325"/>
      <c r="DAH5" s="325"/>
      <c r="DAI5" s="325"/>
      <c r="DAJ5" s="325"/>
      <c r="DAK5" s="325"/>
      <c r="DAL5" s="325"/>
      <c r="DAM5" s="325"/>
      <c r="DAN5" s="325"/>
      <c r="DAO5" s="325"/>
      <c r="DAP5" s="325"/>
      <c r="DAQ5" s="325"/>
      <c r="DAR5" s="325"/>
      <c r="DAS5" s="325"/>
      <c r="DAT5" s="325"/>
      <c r="DAU5" s="325"/>
      <c r="DAV5" s="325"/>
      <c r="DAW5" s="325"/>
      <c r="DAX5" s="325"/>
      <c r="DAY5" s="325"/>
      <c r="DAZ5" s="325"/>
      <c r="DBA5" s="325"/>
      <c r="DBB5" s="325"/>
      <c r="DBC5" s="325"/>
      <c r="DBD5" s="325"/>
      <c r="DBE5" s="325"/>
      <c r="DBF5" s="325"/>
      <c r="DBG5" s="325"/>
      <c r="DBH5" s="325"/>
      <c r="DBI5" s="325"/>
      <c r="DBJ5" s="325"/>
      <c r="DBK5" s="325"/>
      <c r="DBL5" s="325"/>
      <c r="DBM5" s="325"/>
      <c r="DBN5" s="325"/>
      <c r="DBO5" s="325"/>
      <c r="DBP5" s="325"/>
      <c r="DBQ5" s="325"/>
      <c r="DBR5" s="325"/>
      <c r="DBS5" s="325"/>
      <c r="DBT5" s="325"/>
      <c r="DBU5" s="325"/>
      <c r="DBV5" s="325"/>
      <c r="DBW5" s="325"/>
      <c r="DBX5" s="325"/>
      <c r="DBY5" s="325"/>
      <c r="DBZ5" s="325"/>
      <c r="DCA5" s="325"/>
      <c r="DCB5" s="325"/>
      <c r="DCC5" s="325"/>
      <c r="DCD5" s="325"/>
      <c r="DCE5" s="325"/>
      <c r="DCF5" s="325"/>
      <c r="DCG5" s="325"/>
      <c r="DCH5" s="325"/>
      <c r="DCI5" s="325"/>
      <c r="DCJ5" s="325"/>
      <c r="DCK5" s="325"/>
      <c r="DCL5" s="325"/>
      <c r="DCM5" s="325"/>
      <c r="DCN5" s="325"/>
      <c r="DCO5" s="325"/>
      <c r="DCP5" s="325"/>
      <c r="DCQ5" s="325"/>
      <c r="DCR5" s="325"/>
      <c r="DCS5" s="325"/>
      <c r="DCT5" s="325"/>
      <c r="DCU5" s="325"/>
      <c r="DCV5" s="325"/>
      <c r="DCW5" s="325"/>
      <c r="DCX5" s="325"/>
      <c r="DCY5" s="325"/>
      <c r="DCZ5" s="325"/>
      <c r="DDA5" s="325"/>
      <c r="DDB5" s="325"/>
      <c r="DDC5" s="325"/>
      <c r="DDD5" s="325"/>
      <c r="DDE5" s="325"/>
      <c r="DDF5" s="325"/>
      <c r="DDG5" s="325"/>
      <c r="DDH5" s="325"/>
      <c r="DDI5" s="325"/>
      <c r="DDJ5" s="325"/>
      <c r="DDK5" s="325"/>
      <c r="DDL5" s="325"/>
      <c r="DDM5" s="325"/>
      <c r="DDN5" s="325"/>
      <c r="DDO5" s="325"/>
      <c r="DDP5" s="325"/>
      <c r="DDQ5" s="325"/>
      <c r="DDR5" s="325"/>
      <c r="DDS5" s="325"/>
      <c r="DDT5" s="325"/>
      <c r="DDU5" s="325"/>
      <c r="DDV5" s="325"/>
      <c r="DDW5" s="325"/>
      <c r="DDX5" s="325"/>
      <c r="DDY5" s="325"/>
      <c r="DDZ5" s="325"/>
      <c r="DEA5" s="325"/>
      <c r="DEB5" s="325"/>
      <c r="DEC5" s="325"/>
      <c r="DED5" s="325"/>
      <c r="DEE5" s="325"/>
      <c r="DEF5" s="325"/>
      <c r="DEG5" s="325"/>
      <c r="DEH5" s="325"/>
      <c r="DEI5" s="325"/>
      <c r="DEJ5" s="325"/>
      <c r="DEK5" s="325"/>
      <c r="DEL5" s="325"/>
      <c r="DEM5" s="325"/>
      <c r="DEN5" s="325"/>
      <c r="DEO5" s="325"/>
      <c r="DEP5" s="325"/>
      <c r="DEQ5" s="325"/>
      <c r="DER5" s="325"/>
      <c r="DES5" s="325"/>
      <c r="DET5" s="325"/>
      <c r="DEU5" s="325"/>
      <c r="DEV5" s="325"/>
      <c r="DEW5" s="325"/>
      <c r="DEX5" s="325"/>
      <c r="DEY5" s="325"/>
      <c r="DEZ5" s="325"/>
      <c r="DFA5" s="325"/>
      <c r="DFB5" s="325"/>
      <c r="DFC5" s="325"/>
      <c r="DFD5" s="325"/>
      <c r="DFE5" s="325"/>
      <c r="DFF5" s="325"/>
      <c r="DFG5" s="325"/>
      <c r="DFH5" s="325"/>
      <c r="DFI5" s="325"/>
      <c r="DFJ5" s="325"/>
      <c r="DFK5" s="325"/>
      <c r="DFL5" s="325"/>
      <c r="DFM5" s="325"/>
      <c r="DFN5" s="325"/>
      <c r="DFO5" s="325"/>
      <c r="DFP5" s="325"/>
      <c r="DFQ5" s="325"/>
      <c r="DFR5" s="325"/>
      <c r="DFS5" s="325"/>
      <c r="DFT5" s="325"/>
      <c r="DFU5" s="325"/>
      <c r="DFV5" s="325"/>
      <c r="DFW5" s="325"/>
      <c r="DFX5" s="325"/>
      <c r="DFY5" s="325"/>
      <c r="DFZ5" s="325"/>
      <c r="DGA5" s="325"/>
      <c r="DGB5" s="325"/>
      <c r="DGC5" s="325"/>
      <c r="DGD5" s="325"/>
      <c r="DGE5" s="325"/>
      <c r="DGF5" s="325"/>
      <c r="DGG5" s="325"/>
      <c r="DGH5" s="325"/>
      <c r="DGI5" s="325"/>
      <c r="DGJ5" s="325"/>
      <c r="DGK5" s="325"/>
      <c r="DGL5" s="325"/>
      <c r="DGM5" s="325"/>
      <c r="DGN5" s="325"/>
      <c r="DGO5" s="325"/>
      <c r="DGP5" s="325"/>
      <c r="DGQ5" s="325"/>
      <c r="DGR5" s="325"/>
      <c r="DGS5" s="325"/>
      <c r="DGT5" s="325"/>
      <c r="DGU5" s="325"/>
      <c r="DGV5" s="325"/>
      <c r="DGW5" s="325"/>
      <c r="DGX5" s="325"/>
      <c r="DGY5" s="325"/>
      <c r="DGZ5" s="325"/>
      <c r="DHA5" s="325"/>
      <c r="DHB5" s="325"/>
      <c r="DHC5" s="325"/>
      <c r="DHD5" s="325"/>
      <c r="DHE5" s="325"/>
      <c r="DHF5" s="325"/>
      <c r="DHG5" s="325"/>
      <c r="DHH5" s="325"/>
      <c r="DHI5" s="325"/>
      <c r="DHJ5" s="325"/>
      <c r="DHK5" s="325"/>
      <c r="DHL5" s="325"/>
      <c r="DHM5" s="325"/>
      <c r="DHN5" s="325"/>
      <c r="DHO5" s="325"/>
      <c r="DHP5" s="325"/>
      <c r="DHQ5" s="325"/>
      <c r="DHR5" s="325"/>
      <c r="DHS5" s="325"/>
      <c r="DHT5" s="325"/>
      <c r="DHU5" s="325"/>
      <c r="DHV5" s="325"/>
      <c r="DHW5" s="325"/>
      <c r="DHX5" s="325"/>
      <c r="DHY5" s="325"/>
      <c r="DHZ5" s="325"/>
      <c r="DIA5" s="325"/>
      <c r="DIB5" s="325"/>
      <c r="DIC5" s="325"/>
      <c r="DID5" s="325"/>
      <c r="DIE5" s="325"/>
      <c r="DIF5" s="325"/>
      <c r="DIG5" s="325"/>
      <c r="DIH5" s="325"/>
      <c r="DII5" s="325"/>
      <c r="DIJ5" s="325"/>
      <c r="DIK5" s="325"/>
      <c r="DIL5" s="325"/>
      <c r="DIM5" s="325"/>
      <c r="DIN5" s="325"/>
      <c r="DIO5" s="325"/>
      <c r="DIP5" s="325"/>
      <c r="DIQ5" s="325"/>
      <c r="DIR5" s="325"/>
      <c r="DIS5" s="325"/>
      <c r="DIT5" s="325"/>
      <c r="DIU5" s="325"/>
      <c r="DIV5" s="325"/>
      <c r="DIW5" s="325"/>
      <c r="DIX5" s="325"/>
      <c r="DIY5" s="325"/>
      <c r="DIZ5" s="325"/>
      <c r="DJA5" s="325"/>
      <c r="DJB5" s="325"/>
      <c r="DJC5" s="325"/>
      <c r="DJD5" s="325"/>
      <c r="DJE5" s="325"/>
      <c r="DJF5" s="325"/>
      <c r="DJG5" s="325"/>
      <c r="DJH5" s="325"/>
      <c r="DJI5" s="325"/>
      <c r="DJJ5" s="325"/>
      <c r="DJK5" s="325"/>
      <c r="DJL5" s="325"/>
      <c r="DJM5" s="325"/>
      <c r="DJN5" s="325"/>
      <c r="DJO5" s="325"/>
      <c r="DJP5" s="325"/>
      <c r="DJQ5" s="325"/>
      <c r="DJR5" s="325"/>
      <c r="DJS5" s="325"/>
      <c r="DJT5" s="325"/>
      <c r="DJU5" s="325"/>
      <c r="DJV5" s="325"/>
      <c r="DJW5" s="325"/>
      <c r="DJX5" s="325"/>
      <c r="DJY5" s="325"/>
      <c r="DJZ5" s="325"/>
      <c r="DKA5" s="325"/>
      <c r="DKB5" s="325"/>
      <c r="DKC5" s="325"/>
      <c r="DKD5" s="325"/>
      <c r="DKE5" s="325"/>
      <c r="DKF5" s="325"/>
      <c r="DKG5" s="325"/>
      <c r="DKH5" s="325"/>
      <c r="DKI5" s="325"/>
      <c r="DKJ5" s="325"/>
      <c r="DKK5" s="325"/>
      <c r="DKL5" s="325"/>
      <c r="DKM5" s="325"/>
      <c r="DKN5" s="325"/>
      <c r="DKO5" s="325"/>
      <c r="DKP5" s="325"/>
      <c r="DKQ5" s="325"/>
      <c r="DKR5" s="325"/>
      <c r="DKS5" s="325"/>
      <c r="DKT5" s="325"/>
      <c r="DKU5" s="325"/>
      <c r="DKV5" s="325"/>
      <c r="DKW5" s="325"/>
      <c r="DKX5" s="325"/>
      <c r="DKY5" s="325"/>
      <c r="DKZ5" s="325"/>
      <c r="DLA5" s="325"/>
      <c r="DLB5" s="325"/>
      <c r="DLC5" s="325"/>
      <c r="DLD5" s="325"/>
      <c r="DLE5" s="325"/>
      <c r="DLF5" s="325"/>
      <c r="DLG5" s="325"/>
      <c r="DLH5" s="325"/>
      <c r="DLI5" s="325"/>
      <c r="DLJ5" s="325"/>
      <c r="DLK5" s="325"/>
      <c r="DLL5" s="325"/>
      <c r="DLM5" s="325"/>
      <c r="DLN5" s="325"/>
      <c r="DLO5" s="325"/>
      <c r="DLP5" s="325"/>
      <c r="DLQ5" s="325"/>
      <c r="DLR5" s="325"/>
      <c r="DLS5" s="325"/>
      <c r="DLT5" s="325"/>
      <c r="DLU5" s="325"/>
      <c r="DLV5" s="325"/>
      <c r="DLW5" s="325"/>
      <c r="DLX5" s="325"/>
      <c r="DLY5" s="325"/>
      <c r="DLZ5" s="325"/>
      <c r="DMA5" s="325"/>
      <c r="DMB5" s="325"/>
      <c r="DMC5" s="325"/>
      <c r="DMD5" s="325"/>
      <c r="DME5" s="325"/>
      <c r="DMF5" s="325"/>
      <c r="DMG5" s="325"/>
      <c r="DMH5" s="325"/>
      <c r="DMI5" s="325"/>
      <c r="DMJ5" s="325"/>
      <c r="DMK5" s="325"/>
      <c r="DML5" s="325"/>
      <c r="DMM5" s="325"/>
      <c r="DMN5" s="325"/>
      <c r="DMO5" s="325"/>
      <c r="DMP5" s="325"/>
      <c r="DMQ5" s="325"/>
      <c r="DMR5" s="325"/>
      <c r="DMS5" s="325"/>
      <c r="DMT5" s="325"/>
      <c r="DMU5" s="325"/>
      <c r="DMV5" s="325"/>
      <c r="DMW5" s="325"/>
      <c r="DMX5" s="325"/>
      <c r="DMY5" s="325"/>
      <c r="DMZ5" s="325"/>
      <c r="DNA5" s="325"/>
      <c r="DNB5" s="325"/>
      <c r="DNC5" s="325"/>
      <c r="DND5" s="325"/>
      <c r="DNE5" s="325"/>
      <c r="DNF5" s="325"/>
      <c r="DNG5" s="325"/>
      <c r="DNH5" s="325"/>
      <c r="DNI5" s="325"/>
      <c r="DNJ5" s="325"/>
      <c r="DNK5" s="325"/>
      <c r="DNL5" s="325"/>
      <c r="DNM5" s="325"/>
      <c r="DNN5" s="325"/>
      <c r="DNO5" s="325"/>
      <c r="DNP5" s="325"/>
      <c r="DNQ5" s="325"/>
      <c r="DNR5" s="325"/>
      <c r="DNS5" s="325"/>
      <c r="DNT5" s="325"/>
      <c r="DNU5" s="325"/>
      <c r="DNV5" s="325"/>
      <c r="DNW5" s="325"/>
      <c r="DNX5" s="325"/>
      <c r="DNY5" s="325"/>
      <c r="DNZ5" s="325"/>
      <c r="DOA5" s="325"/>
      <c r="DOB5" s="325"/>
      <c r="DOC5" s="325"/>
      <c r="DOD5" s="325"/>
      <c r="DOE5" s="325"/>
      <c r="DOF5" s="325"/>
      <c r="DOG5" s="325"/>
      <c r="DOH5" s="325"/>
      <c r="DOI5" s="325"/>
      <c r="DOJ5" s="325"/>
      <c r="DOK5" s="325"/>
      <c r="DOL5" s="325"/>
      <c r="DOM5" s="325"/>
      <c r="DON5" s="325"/>
      <c r="DOO5" s="325"/>
      <c r="DOP5" s="325"/>
      <c r="DOQ5" s="325"/>
      <c r="DOR5" s="325"/>
      <c r="DOS5" s="325"/>
      <c r="DOT5" s="325"/>
      <c r="DOU5" s="325"/>
      <c r="DOV5" s="325"/>
      <c r="DOW5" s="325"/>
      <c r="DOX5" s="325"/>
      <c r="DOY5" s="325"/>
      <c r="DOZ5" s="325"/>
      <c r="DPA5" s="325"/>
      <c r="DPB5" s="325"/>
      <c r="DPC5" s="325"/>
      <c r="DPD5" s="325"/>
      <c r="DPE5" s="325"/>
      <c r="DPF5" s="325"/>
      <c r="DPG5" s="325"/>
      <c r="DPH5" s="325"/>
      <c r="DPI5" s="325"/>
      <c r="DPJ5" s="325"/>
      <c r="DPK5" s="325"/>
      <c r="DPL5" s="325"/>
      <c r="DPM5" s="325"/>
      <c r="DPN5" s="325"/>
      <c r="DPO5" s="325"/>
      <c r="DPP5" s="325"/>
      <c r="DPQ5" s="325"/>
      <c r="DPR5" s="325"/>
      <c r="DPS5" s="325"/>
      <c r="DPT5" s="325"/>
      <c r="DPU5" s="325"/>
      <c r="DPV5" s="325"/>
      <c r="DPW5" s="325"/>
      <c r="DPX5" s="325"/>
      <c r="DPY5" s="325"/>
      <c r="DPZ5" s="325"/>
      <c r="DQA5" s="325"/>
      <c r="DQB5" s="325"/>
      <c r="DQC5" s="325"/>
      <c r="DQD5" s="325"/>
      <c r="DQE5" s="325"/>
      <c r="DQF5" s="325"/>
      <c r="DQG5" s="325"/>
      <c r="DQH5" s="325"/>
      <c r="DQI5" s="325"/>
      <c r="DQJ5" s="325"/>
      <c r="DQK5" s="325"/>
      <c r="DQL5" s="325"/>
      <c r="DQM5" s="325"/>
      <c r="DQN5" s="325"/>
      <c r="DQO5" s="325"/>
      <c r="DQP5" s="325"/>
      <c r="DQQ5" s="325"/>
      <c r="DQR5" s="325"/>
      <c r="DQS5" s="325"/>
      <c r="DQT5" s="325"/>
      <c r="DQU5" s="325"/>
      <c r="DQV5" s="325"/>
      <c r="DQW5" s="325"/>
      <c r="DQX5" s="325"/>
      <c r="DQY5" s="325"/>
      <c r="DQZ5" s="325"/>
      <c r="DRA5" s="325"/>
      <c r="DRB5" s="325"/>
      <c r="DRC5" s="325"/>
      <c r="DRD5" s="325"/>
      <c r="DRE5" s="325"/>
      <c r="DRF5" s="325"/>
      <c r="DRG5" s="325"/>
      <c r="DRH5" s="325"/>
      <c r="DRI5" s="325"/>
      <c r="DRJ5" s="325"/>
      <c r="DRK5" s="325"/>
      <c r="DRL5" s="325"/>
      <c r="DRM5" s="325"/>
      <c r="DRN5" s="325"/>
      <c r="DRO5" s="325"/>
      <c r="DRP5" s="325"/>
      <c r="DRQ5" s="325"/>
      <c r="DRR5" s="325"/>
      <c r="DRS5" s="325"/>
      <c r="DRT5" s="325"/>
      <c r="DRU5" s="325"/>
      <c r="DRV5" s="325"/>
      <c r="DRW5" s="325"/>
      <c r="DRX5" s="325"/>
      <c r="DRY5" s="325"/>
      <c r="DRZ5" s="325"/>
      <c r="DSA5" s="325"/>
      <c r="DSB5" s="325"/>
      <c r="DSC5" s="325"/>
      <c r="DSD5" s="325"/>
      <c r="DSE5" s="325"/>
      <c r="DSF5" s="325"/>
      <c r="DSG5" s="325"/>
      <c r="DSH5" s="325"/>
      <c r="DSI5" s="325"/>
      <c r="DSJ5" s="325"/>
      <c r="DSK5" s="325"/>
      <c r="DSL5" s="325"/>
      <c r="DSM5" s="325"/>
      <c r="DSN5" s="325"/>
      <c r="DSO5" s="325"/>
      <c r="DSP5" s="325"/>
      <c r="DSQ5" s="325"/>
      <c r="DSR5" s="325"/>
      <c r="DSS5" s="325"/>
      <c r="DST5" s="325"/>
      <c r="DSU5" s="325"/>
      <c r="DSV5" s="325"/>
      <c r="DSW5" s="325"/>
      <c r="DSX5" s="325"/>
      <c r="DSY5" s="325"/>
      <c r="DSZ5" s="325"/>
      <c r="DTA5" s="325"/>
      <c r="DTB5" s="325"/>
      <c r="DTC5" s="325"/>
      <c r="DTD5" s="325"/>
      <c r="DTE5" s="325"/>
      <c r="DTF5" s="325"/>
      <c r="DTG5" s="325"/>
      <c r="DTH5" s="325"/>
      <c r="DTI5" s="325"/>
      <c r="DTJ5" s="325"/>
      <c r="DTK5" s="325"/>
      <c r="DTL5" s="325"/>
      <c r="DTM5" s="325"/>
      <c r="DTN5" s="325"/>
      <c r="DTO5" s="325"/>
      <c r="DTP5" s="325"/>
      <c r="DTQ5" s="325"/>
      <c r="DTR5" s="325"/>
      <c r="DTS5" s="325"/>
      <c r="DTT5" s="325"/>
      <c r="DTU5" s="325"/>
      <c r="DTV5" s="325"/>
      <c r="DTW5" s="325"/>
      <c r="DTX5" s="325"/>
      <c r="DTY5" s="325"/>
      <c r="DTZ5" s="325"/>
      <c r="DUA5" s="325"/>
      <c r="DUB5" s="325"/>
      <c r="DUC5" s="325"/>
      <c r="DUD5" s="325"/>
      <c r="DUE5" s="325"/>
      <c r="DUF5" s="325"/>
      <c r="DUG5" s="325"/>
      <c r="DUH5" s="325"/>
      <c r="DUI5" s="325"/>
      <c r="DUJ5" s="325"/>
      <c r="DUK5" s="325"/>
      <c r="DUL5" s="325"/>
      <c r="DUM5" s="325"/>
      <c r="DUN5" s="325"/>
      <c r="DUO5" s="325"/>
      <c r="DUP5" s="325"/>
      <c r="DUQ5" s="325"/>
      <c r="DUR5" s="325"/>
      <c r="DUS5" s="325"/>
      <c r="DUT5" s="325"/>
      <c r="DUU5" s="325"/>
      <c r="DUV5" s="325"/>
      <c r="DUW5" s="325"/>
      <c r="DUX5" s="325"/>
      <c r="DUY5" s="325"/>
      <c r="DUZ5" s="325"/>
      <c r="DVA5" s="325"/>
      <c r="DVB5" s="325"/>
      <c r="DVC5" s="325"/>
      <c r="DVD5" s="325"/>
      <c r="DVE5" s="325"/>
      <c r="DVF5" s="325"/>
      <c r="DVG5" s="325"/>
      <c r="DVH5" s="325"/>
      <c r="DVI5" s="325"/>
      <c r="DVJ5" s="325"/>
      <c r="DVK5" s="325"/>
      <c r="DVL5" s="325"/>
      <c r="DVM5" s="325"/>
      <c r="DVN5" s="325"/>
      <c r="DVO5" s="325"/>
      <c r="DVP5" s="325"/>
      <c r="DVQ5" s="325"/>
      <c r="DVR5" s="325"/>
      <c r="DVS5" s="325"/>
      <c r="DVT5" s="325"/>
      <c r="DVU5" s="325"/>
      <c r="DVV5" s="325"/>
      <c r="DVW5" s="325"/>
      <c r="DVX5" s="325"/>
      <c r="DVY5" s="325"/>
      <c r="DVZ5" s="325"/>
      <c r="DWA5" s="325"/>
      <c r="DWB5" s="325"/>
      <c r="DWC5" s="325"/>
      <c r="DWD5" s="325"/>
      <c r="DWE5" s="325"/>
      <c r="DWF5" s="325"/>
      <c r="DWG5" s="325"/>
      <c r="DWH5" s="325"/>
      <c r="DWI5" s="325"/>
      <c r="DWJ5" s="325"/>
      <c r="DWK5" s="325"/>
      <c r="DWL5" s="325"/>
      <c r="DWM5" s="325"/>
      <c r="DWN5" s="325"/>
      <c r="DWO5" s="325"/>
      <c r="DWP5" s="325"/>
      <c r="DWQ5" s="325"/>
      <c r="DWR5" s="325"/>
      <c r="DWS5" s="325"/>
      <c r="DWT5" s="325"/>
      <c r="DWU5" s="325"/>
      <c r="DWV5" s="325"/>
      <c r="DWW5" s="325"/>
      <c r="DWX5" s="325"/>
      <c r="DWY5" s="325"/>
      <c r="DWZ5" s="325"/>
      <c r="DXA5" s="325"/>
      <c r="DXB5" s="325"/>
      <c r="DXC5" s="325"/>
      <c r="DXD5" s="325"/>
      <c r="DXE5" s="325"/>
      <c r="DXF5" s="325"/>
      <c r="DXG5" s="325"/>
      <c r="DXH5" s="325"/>
      <c r="DXI5" s="325"/>
      <c r="DXJ5" s="325"/>
      <c r="DXK5" s="325"/>
      <c r="DXL5" s="325"/>
      <c r="DXM5" s="325"/>
      <c r="DXN5" s="325"/>
      <c r="DXO5" s="325"/>
      <c r="DXP5" s="325"/>
      <c r="DXQ5" s="325"/>
      <c r="DXR5" s="325"/>
      <c r="DXS5" s="325"/>
      <c r="DXT5" s="325"/>
      <c r="DXU5" s="325"/>
      <c r="DXV5" s="325"/>
      <c r="DXW5" s="325"/>
      <c r="DXX5" s="325"/>
      <c r="DXY5" s="325"/>
      <c r="DXZ5" s="325"/>
      <c r="DYA5" s="325"/>
      <c r="DYB5" s="325"/>
      <c r="DYC5" s="325"/>
      <c r="DYD5" s="325"/>
      <c r="DYE5" s="325"/>
      <c r="DYF5" s="325"/>
      <c r="DYG5" s="325"/>
      <c r="DYH5" s="325"/>
      <c r="DYI5" s="325"/>
      <c r="DYJ5" s="325"/>
      <c r="DYK5" s="325"/>
      <c r="DYL5" s="325"/>
      <c r="DYM5" s="325"/>
      <c r="DYN5" s="325"/>
      <c r="DYO5" s="325"/>
      <c r="DYP5" s="325"/>
      <c r="DYQ5" s="325"/>
      <c r="DYR5" s="325"/>
      <c r="DYS5" s="325"/>
      <c r="DYT5" s="325"/>
      <c r="DYU5" s="325"/>
      <c r="DYV5" s="325"/>
      <c r="DYW5" s="325"/>
      <c r="DYX5" s="325"/>
      <c r="DYY5" s="325"/>
      <c r="DYZ5" s="325"/>
      <c r="DZA5" s="325"/>
      <c r="DZB5" s="325"/>
      <c r="DZC5" s="325"/>
      <c r="DZD5" s="325"/>
      <c r="DZE5" s="325"/>
      <c r="DZF5" s="325"/>
      <c r="DZG5" s="325"/>
      <c r="DZH5" s="325"/>
      <c r="DZI5" s="325"/>
      <c r="DZJ5" s="325"/>
      <c r="DZK5" s="325"/>
      <c r="DZL5" s="325"/>
      <c r="DZM5" s="325"/>
      <c r="DZN5" s="325"/>
      <c r="DZO5" s="325"/>
      <c r="DZP5" s="325"/>
      <c r="DZQ5" s="325"/>
      <c r="DZR5" s="325"/>
      <c r="DZS5" s="325"/>
      <c r="DZT5" s="325"/>
      <c r="DZU5" s="325"/>
      <c r="DZV5" s="325"/>
      <c r="DZW5" s="325"/>
      <c r="DZX5" s="325"/>
      <c r="DZY5" s="325"/>
      <c r="DZZ5" s="325"/>
      <c r="EAA5" s="325"/>
      <c r="EAB5" s="325"/>
      <c r="EAC5" s="325"/>
      <c r="EAD5" s="325"/>
      <c r="EAE5" s="325"/>
      <c r="EAF5" s="325"/>
      <c r="EAG5" s="325"/>
      <c r="EAH5" s="325"/>
      <c r="EAI5" s="325"/>
      <c r="EAJ5" s="325"/>
      <c r="EAK5" s="325"/>
      <c r="EAL5" s="325"/>
      <c r="EAM5" s="325"/>
      <c r="EAN5" s="325"/>
      <c r="EAO5" s="325"/>
      <c r="EAP5" s="325"/>
      <c r="EAQ5" s="325"/>
      <c r="EAR5" s="325"/>
      <c r="EAS5" s="325"/>
      <c r="EAT5" s="325"/>
      <c r="EAU5" s="325"/>
      <c r="EAV5" s="325"/>
      <c r="EAW5" s="325"/>
      <c r="EAX5" s="325"/>
      <c r="EAY5" s="325"/>
      <c r="EAZ5" s="325"/>
      <c r="EBA5" s="325"/>
      <c r="EBB5" s="325"/>
      <c r="EBC5" s="325"/>
      <c r="EBD5" s="325"/>
      <c r="EBE5" s="325"/>
      <c r="EBF5" s="325"/>
      <c r="EBG5" s="325"/>
      <c r="EBH5" s="325"/>
      <c r="EBI5" s="325"/>
      <c r="EBJ5" s="325"/>
      <c r="EBK5" s="325"/>
      <c r="EBL5" s="325"/>
      <c r="EBM5" s="325"/>
      <c r="EBN5" s="325"/>
      <c r="EBO5" s="325"/>
      <c r="EBP5" s="325"/>
      <c r="EBQ5" s="325"/>
      <c r="EBR5" s="325"/>
      <c r="EBS5" s="325"/>
      <c r="EBT5" s="325"/>
      <c r="EBU5" s="325"/>
      <c r="EBV5" s="325"/>
      <c r="EBW5" s="325"/>
      <c r="EBX5" s="325"/>
      <c r="EBY5" s="325"/>
      <c r="EBZ5" s="325"/>
      <c r="ECA5" s="325"/>
      <c r="ECB5" s="325"/>
      <c r="ECC5" s="325"/>
      <c r="ECD5" s="325"/>
      <c r="ECE5" s="325"/>
      <c r="ECF5" s="325"/>
      <c r="ECG5" s="325"/>
      <c r="ECH5" s="325"/>
      <c r="ECI5" s="325"/>
      <c r="ECJ5" s="325"/>
      <c r="ECK5" s="325"/>
      <c r="ECL5" s="325"/>
      <c r="ECM5" s="325"/>
      <c r="ECN5" s="325"/>
      <c r="ECO5" s="325"/>
      <c r="ECP5" s="325"/>
      <c r="ECQ5" s="325"/>
      <c r="ECR5" s="325"/>
      <c r="ECS5" s="325"/>
      <c r="ECT5" s="325"/>
      <c r="ECU5" s="325"/>
      <c r="ECV5" s="325"/>
      <c r="ECW5" s="325"/>
      <c r="ECX5" s="325"/>
      <c r="ECY5" s="325"/>
      <c r="ECZ5" s="325"/>
      <c r="EDA5" s="325"/>
      <c r="EDB5" s="325"/>
      <c r="EDC5" s="325"/>
      <c r="EDD5" s="325"/>
      <c r="EDE5" s="325"/>
      <c r="EDF5" s="325"/>
      <c r="EDG5" s="325"/>
      <c r="EDH5" s="325"/>
      <c r="EDI5" s="325"/>
      <c r="EDJ5" s="325"/>
      <c r="EDK5" s="325"/>
      <c r="EDL5" s="325"/>
      <c r="EDM5" s="325"/>
      <c r="EDN5" s="325"/>
      <c r="EDO5" s="325"/>
      <c r="EDP5" s="325"/>
      <c r="EDQ5" s="325"/>
      <c r="EDR5" s="325"/>
      <c r="EDS5" s="325"/>
      <c r="EDT5" s="325"/>
      <c r="EDU5" s="325"/>
      <c r="EDV5" s="325"/>
      <c r="EDW5" s="325"/>
      <c r="EDX5" s="325"/>
      <c r="EDY5" s="325"/>
      <c r="EDZ5" s="325"/>
      <c r="EEA5" s="325"/>
      <c r="EEB5" s="325"/>
      <c r="EEC5" s="325"/>
      <c r="EED5" s="325"/>
      <c r="EEE5" s="325"/>
      <c r="EEF5" s="325"/>
      <c r="EEG5" s="325"/>
      <c r="EEH5" s="325"/>
      <c r="EEI5" s="325"/>
      <c r="EEJ5" s="325"/>
      <c r="EEK5" s="325"/>
      <c r="EEL5" s="325"/>
      <c r="EEM5" s="325"/>
      <c r="EEN5" s="325"/>
      <c r="EEO5" s="325"/>
      <c r="EEP5" s="325"/>
      <c r="EEQ5" s="325"/>
      <c r="EER5" s="325"/>
      <c r="EES5" s="325"/>
      <c r="EET5" s="325"/>
      <c r="EEU5" s="325"/>
      <c r="EEV5" s="325"/>
      <c r="EEW5" s="325"/>
      <c r="EEX5" s="325"/>
      <c r="EEY5" s="325"/>
      <c r="EEZ5" s="325"/>
      <c r="EFA5" s="325"/>
      <c r="EFB5" s="325"/>
      <c r="EFC5" s="325"/>
      <c r="EFD5" s="325"/>
      <c r="EFE5" s="325"/>
      <c r="EFF5" s="325"/>
      <c r="EFG5" s="325"/>
      <c r="EFH5" s="325"/>
      <c r="EFI5" s="325"/>
      <c r="EFJ5" s="325"/>
      <c r="EFK5" s="325"/>
      <c r="EFL5" s="325"/>
      <c r="EFM5" s="325"/>
      <c r="EFN5" s="325"/>
      <c r="EFO5" s="325"/>
      <c r="EFP5" s="325"/>
      <c r="EFQ5" s="325"/>
      <c r="EFR5" s="325"/>
      <c r="EFS5" s="325"/>
      <c r="EFT5" s="325"/>
      <c r="EFU5" s="325"/>
      <c r="EFV5" s="325"/>
      <c r="EFW5" s="325"/>
      <c r="EFX5" s="325"/>
      <c r="EFY5" s="325"/>
      <c r="EFZ5" s="325"/>
      <c r="EGA5" s="325"/>
      <c r="EGB5" s="325"/>
      <c r="EGC5" s="325"/>
      <c r="EGD5" s="325"/>
      <c r="EGE5" s="325"/>
      <c r="EGF5" s="325"/>
      <c r="EGG5" s="325"/>
      <c r="EGH5" s="325"/>
      <c r="EGI5" s="325"/>
      <c r="EGJ5" s="325"/>
      <c r="EGK5" s="325"/>
      <c r="EGL5" s="325"/>
      <c r="EGM5" s="325"/>
      <c r="EGN5" s="325"/>
      <c r="EGO5" s="325"/>
      <c r="EGP5" s="325"/>
      <c r="EGQ5" s="325"/>
      <c r="EGR5" s="325"/>
      <c r="EGS5" s="325"/>
      <c r="EGT5" s="325"/>
      <c r="EGU5" s="325"/>
      <c r="EGV5" s="325"/>
      <c r="EGW5" s="325"/>
      <c r="EGX5" s="325"/>
      <c r="EGY5" s="325"/>
      <c r="EGZ5" s="325"/>
      <c r="EHA5" s="325"/>
      <c r="EHB5" s="325"/>
      <c r="EHC5" s="325"/>
      <c r="EHD5" s="325"/>
      <c r="EHE5" s="325"/>
      <c r="EHF5" s="325"/>
      <c r="EHG5" s="325"/>
      <c r="EHH5" s="325"/>
      <c r="EHI5" s="325"/>
      <c r="EHJ5" s="325"/>
      <c r="EHK5" s="325"/>
      <c r="EHL5" s="325"/>
      <c r="EHM5" s="325"/>
      <c r="EHN5" s="325"/>
      <c r="EHO5" s="325"/>
      <c r="EHP5" s="325"/>
      <c r="EHQ5" s="325"/>
      <c r="EHR5" s="325"/>
      <c r="EHS5" s="325"/>
      <c r="EHT5" s="325"/>
      <c r="EHU5" s="325"/>
      <c r="EHV5" s="325"/>
      <c r="EHW5" s="325"/>
      <c r="EHX5" s="325"/>
      <c r="EHY5" s="325"/>
      <c r="EHZ5" s="325"/>
      <c r="EIA5" s="325"/>
      <c r="EIB5" s="325"/>
      <c r="EIC5" s="325"/>
      <c r="EID5" s="325"/>
      <c r="EIE5" s="325"/>
      <c r="EIF5" s="325"/>
      <c r="EIG5" s="325"/>
      <c r="EIH5" s="325"/>
      <c r="EII5" s="325"/>
      <c r="EIJ5" s="325"/>
      <c r="EIK5" s="325"/>
      <c r="EIL5" s="325"/>
      <c r="EIM5" s="325"/>
      <c r="EIN5" s="325"/>
      <c r="EIO5" s="325"/>
      <c r="EIP5" s="325"/>
      <c r="EIQ5" s="325"/>
      <c r="EIR5" s="325"/>
      <c r="EIS5" s="325"/>
      <c r="EIT5" s="325"/>
      <c r="EIU5" s="325"/>
      <c r="EIV5" s="325"/>
      <c r="EIW5" s="325"/>
      <c r="EIX5" s="325"/>
      <c r="EIY5" s="325"/>
      <c r="EIZ5" s="325"/>
      <c r="EJA5" s="325"/>
      <c r="EJB5" s="325"/>
      <c r="EJC5" s="325"/>
      <c r="EJD5" s="325"/>
      <c r="EJE5" s="325"/>
      <c r="EJF5" s="325"/>
      <c r="EJG5" s="325"/>
      <c r="EJH5" s="325"/>
      <c r="EJI5" s="325"/>
      <c r="EJJ5" s="325"/>
      <c r="EJK5" s="325"/>
      <c r="EJL5" s="325"/>
      <c r="EJM5" s="325"/>
      <c r="EJN5" s="325"/>
      <c r="EJO5" s="325"/>
      <c r="EJP5" s="325"/>
      <c r="EJQ5" s="325"/>
      <c r="EJR5" s="325"/>
      <c r="EJS5" s="325"/>
      <c r="EJT5" s="325"/>
      <c r="EJU5" s="325"/>
      <c r="EJV5" s="325"/>
      <c r="EJW5" s="325"/>
      <c r="EJX5" s="325"/>
      <c r="EJY5" s="325"/>
      <c r="EJZ5" s="325"/>
      <c r="EKA5" s="325"/>
      <c r="EKB5" s="325"/>
      <c r="EKC5" s="325"/>
      <c r="EKD5" s="325"/>
      <c r="EKE5" s="325"/>
      <c r="EKF5" s="325"/>
      <c r="EKG5" s="325"/>
      <c r="EKH5" s="325"/>
      <c r="EKI5" s="325"/>
      <c r="EKJ5" s="325"/>
      <c r="EKK5" s="325"/>
      <c r="EKL5" s="325"/>
      <c r="EKM5" s="325"/>
      <c r="EKN5" s="325"/>
      <c r="EKO5" s="325"/>
      <c r="EKP5" s="325"/>
      <c r="EKQ5" s="325"/>
      <c r="EKR5" s="325"/>
      <c r="EKS5" s="325"/>
      <c r="EKT5" s="325"/>
      <c r="EKU5" s="325"/>
      <c r="EKV5" s="325"/>
      <c r="EKW5" s="325"/>
      <c r="EKX5" s="325"/>
      <c r="EKY5" s="325"/>
      <c r="EKZ5" s="325"/>
      <c r="ELA5" s="325"/>
      <c r="ELB5" s="325"/>
      <c r="ELC5" s="325"/>
      <c r="ELD5" s="325"/>
      <c r="ELE5" s="325"/>
      <c r="ELF5" s="325"/>
      <c r="ELG5" s="325"/>
      <c r="ELH5" s="325"/>
      <c r="ELI5" s="325"/>
      <c r="ELJ5" s="325"/>
      <c r="ELK5" s="325"/>
      <c r="ELL5" s="325"/>
      <c r="ELM5" s="325"/>
      <c r="ELN5" s="325"/>
      <c r="ELO5" s="325"/>
      <c r="ELP5" s="325"/>
      <c r="ELQ5" s="325"/>
      <c r="ELR5" s="325"/>
      <c r="ELS5" s="325"/>
      <c r="ELT5" s="325"/>
      <c r="ELU5" s="325"/>
      <c r="ELV5" s="325"/>
      <c r="ELW5" s="325"/>
      <c r="ELX5" s="325"/>
      <c r="ELY5" s="325"/>
      <c r="ELZ5" s="325"/>
      <c r="EMA5" s="325"/>
      <c r="EMB5" s="325"/>
      <c r="EMC5" s="325"/>
      <c r="EMD5" s="325"/>
      <c r="EME5" s="325"/>
      <c r="EMF5" s="325"/>
      <c r="EMG5" s="325"/>
      <c r="EMH5" s="325"/>
      <c r="EMI5" s="325"/>
      <c r="EMJ5" s="325"/>
      <c r="EMK5" s="325"/>
      <c r="EML5" s="325"/>
      <c r="EMM5" s="325"/>
      <c r="EMN5" s="325"/>
      <c r="EMO5" s="325"/>
      <c r="EMP5" s="325"/>
      <c r="EMQ5" s="325"/>
      <c r="EMR5" s="325"/>
      <c r="EMS5" s="325"/>
      <c r="EMT5" s="325"/>
      <c r="EMU5" s="325"/>
      <c r="EMV5" s="325"/>
      <c r="EMW5" s="325"/>
      <c r="EMX5" s="325"/>
      <c r="EMY5" s="325"/>
      <c r="EMZ5" s="325"/>
      <c r="ENA5" s="325"/>
      <c r="ENB5" s="325"/>
      <c r="ENC5" s="325"/>
      <c r="END5" s="325"/>
      <c r="ENE5" s="325"/>
      <c r="ENF5" s="325"/>
      <c r="ENG5" s="325"/>
      <c r="ENH5" s="325"/>
      <c r="ENI5" s="325"/>
      <c r="ENJ5" s="325"/>
      <c r="ENK5" s="325"/>
      <c r="ENL5" s="325"/>
      <c r="ENM5" s="325"/>
      <c r="ENN5" s="325"/>
      <c r="ENO5" s="325"/>
      <c r="ENP5" s="325"/>
      <c r="ENQ5" s="325"/>
      <c r="ENR5" s="325"/>
      <c r="ENS5" s="325"/>
      <c r="ENT5" s="325"/>
      <c r="ENU5" s="325"/>
      <c r="ENV5" s="325"/>
      <c r="ENW5" s="325"/>
      <c r="ENX5" s="325"/>
      <c r="ENY5" s="325"/>
      <c r="ENZ5" s="325"/>
      <c r="EOA5" s="325"/>
      <c r="EOB5" s="325"/>
      <c r="EOC5" s="325"/>
      <c r="EOD5" s="325"/>
      <c r="EOE5" s="325"/>
      <c r="EOF5" s="325"/>
      <c r="EOG5" s="325"/>
      <c r="EOH5" s="325"/>
      <c r="EOI5" s="325"/>
      <c r="EOJ5" s="325"/>
      <c r="EOK5" s="325"/>
      <c r="EOL5" s="325"/>
      <c r="EOM5" s="325"/>
      <c r="EON5" s="325"/>
      <c r="EOO5" s="325"/>
      <c r="EOP5" s="325"/>
      <c r="EOQ5" s="325"/>
      <c r="EOR5" s="325"/>
      <c r="EOS5" s="325"/>
      <c r="EOT5" s="325"/>
      <c r="EOU5" s="325"/>
      <c r="EOV5" s="325"/>
      <c r="EOW5" s="325"/>
      <c r="EOX5" s="325"/>
      <c r="EOY5" s="325"/>
      <c r="EOZ5" s="325"/>
      <c r="EPA5" s="325"/>
      <c r="EPB5" s="325"/>
      <c r="EPC5" s="325"/>
      <c r="EPD5" s="325"/>
      <c r="EPE5" s="325"/>
      <c r="EPF5" s="325"/>
      <c r="EPG5" s="325"/>
      <c r="EPH5" s="325"/>
      <c r="EPI5" s="325"/>
      <c r="EPJ5" s="325"/>
      <c r="EPK5" s="325"/>
      <c r="EPL5" s="325"/>
      <c r="EPM5" s="325"/>
      <c r="EPN5" s="325"/>
      <c r="EPO5" s="325"/>
      <c r="EPP5" s="325"/>
      <c r="EPQ5" s="325"/>
      <c r="EPR5" s="325"/>
      <c r="EPS5" s="325"/>
      <c r="EPT5" s="325"/>
      <c r="EPU5" s="325"/>
      <c r="EPV5" s="325"/>
      <c r="EPW5" s="325"/>
      <c r="EPX5" s="325"/>
      <c r="EPY5" s="325"/>
      <c r="EPZ5" s="325"/>
      <c r="EQA5" s="325"/>
      <c r="EQB5" s="325"/>
      <c r="EQC5" s="325"/>
      <c r="EQD5" s="325"/>
      <c r="EQE5" s="325"/>
      <c r="EQF5" s="325"/>
      <c r="EQG5" s="325"/>
      <c r="EQH5" s="325"/>
      <c r="EQI5" s="325"/>
      <c r="EQJ5" s="325"/>
      <c r="EQK5" s="325"/>
      <c r="EQL5" s="325"/>
      <c r="EQM5" s="325"/>
      <c r="EQN5" s="325"/>
      <c r="EQO5" s="325"/>
      <c r="EQP5" s="325"/>
      <c r="EQQ5" s="325"/>
      <c r="EQR5" s="325"/>
      <c r="EQS5" s="325"/>
      <c r="EQT5" s="325"/>
      <c r="EQU5" s="325"/>
      <c r="EQV5" s="325"/>
      <c r="EQW5" s="325"/>
      <c r="EQX5" s="325"/>
      <c r="EQY5" s="325"/>
      <c r="EQZ5" s="325"/>
      <c r="ERA5" s="325"/>
      <c r="ERB5" s="325"/>
      <c r="ERC5" s="325"/>
      <c r="ERD5" s="325"/>
      <c r="ERE5" s="325"/>
      <c r="ERF5" s="325"/>
      <c r="ERG5" s="325"/>
      <c r="ERH5" s="325"/>
      <c r="ERI5" s="325"/>
      <c r="ERJ5" s="325"/>
      <c r="ERK5" s="325"/>
      <c r="ERL5" s="325"/>
      <c r="ERM5" s="325"/>
      <c r="ERN5" s="325"/>
      <c r="ERO5" s="325"/>
      <c r="ERP5" s="325"/>
      <c r="ERQ5" s="325"/>
      <c r="ERR5" s="325"/>
      <c r="ERS5" s="325"/>
      <c r="ERT5" s="325"/>
      <c r="ERU5" s="325"/>
      <c r="ERV5" s="325"/>
      <c r="ERW5" s="325"/>
      <c r="ERX5" s="325"/>
      <c r="ERY5" s="325"/>
      <c r="ERZ5" s="325"/>
      <c r="ESA5" s="325"/>
      <c r="ESB5" s="325"/>
      <c r="ESC5" s="325"/>
      <c r="ESD5" s="325"/>
      <c r="ESE5" s="325"/>
      <c r="ESF5" s="325"/>
      <c r="ESG5" s="325"/>
      <c r="ESH5" s="325"/>
      <c r="ESI5" s="325"/>
      <c r="ESJ5" s="325"/>
      <c r="ESK5" s="325"/>
      <c r="ESL5" s="325"/>
      <c r="ESM5" s="325"/>
      <c r="ESN5" s="325"/>
      <c r="ESO5" s="325"/>
      <c r="ESP5" s="325"/>
      <c r="ESQ5" s="325"/>
      <c r="ESR5" s="325"/>
      <c r="ESS5" s="325"/>
      <c r="EST5" s="325"/>
      <c r="ESU5" s="325"/>
      <c r="ESV5" s="325"/>
      <c r="ESW5" s="325"/>
      <c r="ESX5" s="325"/>
      <c r="ESY5" s="325"/>
      <c r="ESZ5" s="325"/>
      <c r="ETA5" s="325"/>
      <c r="ETB5" s="325"/>
      <c r="ETC5" s="325"/>
      <c r="ETD5" s="325"/>
      <c r="ETE5" s="325"/>
      <c r="ETF5" s="325"/>
      <c r="ETG5" s="325"/>
      <c r="ETH5" s="325"/>
      <c r="ETI5" s="325"/>
      <c r="ETJ5" s="325"/>
      <c r="ETK5" s="325"/>
      <c r="ETL5" s="325"/>
      <c r="ETM5" s="325"/>
      <c r="ETN5" s="325"/>
      <c r="ETO5" s="325"/>
      <c r="ETP5" s="325"/>
      <c r="ETQ5" s="325"/>
      <c r="ETR5" s="325"/>
      <c r="ETS5" s="325"/>
      <c r="ETT5" s="325"/>
      <c r="ETU5" s="325"/>
      <c r="ETV5" s="325"/>
      <c r="ETW5" s="325"/>
      <c r="ETX5" s="325"/>
      <c r="ETY5" s="325"/>
      <c r="ETZ5" s="325"/>
      <c r="EUA5" s="325"/>
      <c r="EUB5" s="325"/>
      <c r="EUC5" s="325"/>
      <c r="EUD5" s="325"/>
      <c r="EUE5" s="325"/>
      <c r="EUF5" s="325"/>
      <c r="EUG5" s="325"/>
      <c r="EUH5" s="325"/>
      <c r="EUI5" s="325"/>
      <c r="EUJ5" s="325"/>
      <c r="EUK5" s="325"/>
      <c r="EUL5" s="325"/>
      <c r="EUM5" s="325"/>
      <c r="EUN5" s="325"/>
      <c r="EUO5" s="325"/>
      <c r="EUP5" s="325"/>
      <c r="EUQ5" s="325"/>
      <c r="EUR5" s="325"/>
      <c r="EUS5" s="325"/>
      <c r="EUT5" s="325"/>
      <c r="EUU5" s="325"/>
      <c r="EUV5" s="325"/>
      <c r="EUW5" s="325"/>
      <c r="EUX5" s="325"/>
      <c r="EUY5" s="325"/>
      <c r="EUZ5" s="325"/>
      <c r="EVA5" s="325"/>
      <c r="EVB5" s="325"/>
      <c r="EVC5" s="325"/>
      <c r="EVD5" s="325"/>
      <c r="EVE5" s="325"/>
      <c r="EVF5" s="325"/>
      <c r="EVG5" s="325"/>
      <c r="EVH5" s="325"/>
      <c r="EVI5" s="325"/>
      <c r="EVJ5" s="325"/>
      <c r="EVK5" s="325"/>
      <c r="EVL5" s="325"/>
      <c r="EVM5" s="325"/>
      <c r="EVN5" s="325"/>
      <c r="EVO5" s="325"/>
      <c r="EVP5" s="325"/>
      <c r="EVQ5" s="325"/>
      <c r="EVR5" s="325"/>
      <c r="EVS5" s="325"/>
      <c r="EVT5" s="325"/>
      <c r="EVU5" s="325"/>
      <c r="EVV5" s="325"/>
      <c r="EVW5" s="325"/>
      <c r="EVX5" s="325"/>
      <c r="EVY5" s="325"/>
      <c r="EVZ5" s="325"/>
      <c r="EWA5" s="325"/>
      <c r="EWB5" s="325"/>
      <c r="EWC5" s="325"/>
      <c r="EWD5" s="325"/>
      <c r="EWE5" s="325"/>
      <c r="EWF5" s="325"/>
      <c r="EWG5" s="325"/>
      <c r="EWH5" s="325"/>
      <c r="EWI5" s="325"/>
      <c r="EWJ5" s="325"/>
      <c r="EWK5" s="325"/>
      <c r="EWL5" s="325"/>
      <c r="EWM5" s="325"/>
      <c r="EWN5" s="325"/>
      <c r="EWO5" s="325"/>
      <c r="EWP5" s="325"/>
      <c r="EWQ5" s="325"/>
      <c r="EWR5" s="325"/>
      <c r="EWS5" s="325"/>
      <c r="EWT5" s="325"/>
      <c r="EWU5" s="325"/>
      <c r="EWV5" s="325"/>
      <c r="EWW5" s="325"/>
      <c r="EWX5" s="325"/>
      <c r="EWY5" s="325"/>
      <c r="EWZ5" s="325"/>
      <c r="EXA5" s="325"/>
      <c r="EXB5" s="325"/>
      <c r="EXC5" s="325"/>
      <c r="EXD5" s="325"/>
      <c r="EXE5" s="325"/>
      <c r="EXF5" s="325"/>
      <c r="EXG5" s="325"/>
      <c r="EXH5" s="325"/>
      <c r="EXI5" s="325"/>
      <c r="EXJ5" s="325"/>
      <c r="EXK5" s="325"/>
      <c r="EXL5" s="325"/>
      <c r="EXM5" s="325"/>
      <c r="EXN5" s="325"/>
      <c r="EXO5" s="325"/>
      <c r="EXP5" s="325"/>
      <c r="EXQ5" s="325"/>
      <c r="EXR5" s="325"/>
      <c r="EXS5" s="325"/>
      <c r="EXT5" s="325"/>
      <c r="EXU5" s="325"/>
      <c r="EXV5" s="325"/>
      <c r="EXW5" s="325"/>
      <c r="EXX5" s="325"/>
      <c r="EXY5" s="325"/>
      <c r="EXZ5" s="325"/>
      <c r="EYA5" s="325"/>
      <c r="EYB5" s="325"/>
      <c r="EYC5" s="325"/>
      <c r="EYD5" s="325"/>
      <c r="EYE5" s="325"/>
      <c r="EYF5" s="325"/>
      <c r="EYG5" s="325"/>
      <c r="EYH5" s="325"/>
      <c r="EYI5" s="325"/>
      <c r="EYJ5" s="325"/>
      <c r="EYK5" s="325"/>
      <c r="EYL5" s="325"/>
      <c r="EYM5" s="325"/>
      <c r="EYN5" s="325"/>
      <c r="EYO5" s="325"/>
      <c r="EYP5" s="325"/>
      <c r="EYQ5" s="325"/>
      <c r="EYR5" s="325"/>
      <c r="EYS5" s="325"/>
      <c r="EYT5" s="325"/>
      <c r="EYU5" s="325"/>
      <c r="EYV5" s="325"/>
      <c r="EYW5" s="325"/>
      <c r="EYX5" s="325"/>
      <c r="EYY5" s="325"/>
      <c r="EYZ5" s="325"/>
      <c r="EZA5" s="325"/>
      <c r="EZB5" s="325"/>
      <c r="EZC5" s="325"/>
      <c r="EZD5" s="325"/>
      <c r="EZE5" s="325"/>
      <c r="EZF5" s="325"/>
      <c r="EZG5" s="325"/>
      <c r="EZH5" s="325"/>
      <c r="EZI5" s="325"/>
      <c r="EZJ5" s="325"/>
      <c r="EZK5" s="325"/>
      <c r="EZL5" s="325"/>
      <c r="EZM5" s="325"/>
      <c r="EZN5" s="325"/>
      <c r="EZO5" s="325"/>
      <c r="EZP5" s="325"/>
      <c r="EZQ5" s="325"/>
      <c r="EZR5" s="325"/>
      <c r="EZS5" s="325"/>
      <c r="EZT5" s="325"/>
      <c r="EZU5" s="325"/>
      <c r="EZV5" s="325"/>
      <c r="EZW5" s="325"/>
      <c r="EZX5" s="325"/>
      <c r="EZY5" s="325"/>
      <c r="EZZ5" s="325"/>
      <c r="FAA5" s="325"/>
      <c r="FAB5" s="325"/>
      <c r="FAC5" s="325"/>
      <c r="FAD5" s="325"/>
      <c r="FAE5" s="325"/>
      <c r="FAF5" s="325"/>
      <c r="FAG5" s="325"/>
      <c r="FAH5" s="325"/>
      <c r="FAI5" s="325"/>
      <c r="FAJ5" s="325"/>
      <c r="FAK5" s="325"/>
      <c r="FAL5" s="325"/>
      <c r="FAM5" s="325"/>
      <c r="FAN5" s="325"/>
      <c r="FAO5" s="325"/>
      <c r="FAP5" s="325"/>
      <c r="FAQ5" s="325"/>
      <c r="FAR5" s="325"/>
      <c r="FAS5" s="325"/>
      <c r="FAT5" s="325"/>
      <c r="FAU5" s="325"/>
      <c r="FAV5" s="325"/>
      <c r="FAW5" s="325"/>
      <c r="FAX5" s="325"/>
      <c r="FAY5" s="325"/>
      <c r="FAZ5" s="325"/>
      <c r="FBA5" s="325"/>
      <c r="FBB5" s="325"/>
      <c r="FBC5" s="325"/>
      <c r="FBD5" s="325"/>
      <c r="FBE5" s="325"/>
      <c r="FBF5" s="325"/>
      <c r="FBG5" s="325"/>
      <c r="FBH5" s="325"/>
      <c r="FBI5" s="325"/>
      <c r="FBJ5" s="325"/>
      <c r="FBK5" s="325"/>
      <c r="FBL5" s="325"/>
      <c r="FBM5" s="325"/>
      <c r="FBN5" s="325"/>
      <c r="FBO5" s="325"/>
      <c r="FBP5" s="325"/>
      <c r="FBQ5" s="325"/>
      <c r="FBR5" s="325"/>
      <c r="FBS5" s="325"/>
      <c r="FBT5" s="325"/>
      <c r="FBU5" s="325"/>
      <c r="FBV5" s="325"/>
      <c r="FBW5" s="325"/>
      <c r="FBX5" s="325"/>
      <c r="FBY5" s="325"/>
      <c r="FBZ5" s="325"/>
      <c r="FCA5" s="325"/>
      <c r="FCB5" s="325"/>
      <c r="FCC5" s="325"/>
      <c r="FCD5" s="325"/>
      <c r="FCE5" s="325"/>
      <c r="FCF5" s="325"/>
      <c r="FCG5" s="325"/>
      <c r="FCH5" s="325"/>
      <c r="FCI5" s="325"/>
      <c r="FCJ5" s="325"/>
      <c r="FCK5" s="325"/>
      <c r="FCL5" s="325"/>
      <c r="FCM5" s="325"/>
      <c r="FCN5" s="325"/>
      <c r="FCO5" s="325"/>
      <c r="FCP5" s="325"/>
      <c r="FCQ5" s="325"/>
      <c r="FCR5" s="325"/>
      <c r="FCS5" s="325"/>
      <c r="FCT5" s="325"/>
      <c r="FCU5" s="325"/>
      <c r="FCV5" s="325"/>
      <c r="FCW5" s="325"/>
      <c r="FCX5" s="325"/>
      <c r="FCY5" s="325"/>
      <c r="FCZ5" s="325"/>
      <c r="FDA5" s="325"/>
      <c r="FDB5" s="325"/>
      <c r="FDC5" s="325"/>
      <c r="FDD5" s="325"/>
      <c r="FDE5" s="325"/>
      <c r="FDF5" s="325"/>
      <c r="FDG5" s="325"/>
      <c r="FDH5" s="325"/>
      <c r="FDI5" s="325"/>
      <c r="FDJ5" s="325"/>
      <c r="FDK5" s="325"/>
      <c r="FDL5" s="325"/>
      <c r="FDM5" s="325"/>
      <c r="FDN5" s="325"/>
      <c r="FDO5" s="325"/>
      <c r="FDP5" s="325"/>
      <c r="FDQ5" s="325"/>
      <c r="FDR5" s="325"/>
      <c r="FDS5" s="325"/>
      <c r="FDT5" s="325"/>
      <c r="FDU5" s="325"/>
      <c r="FDV5" s="325"/>
      <c r="FDW5" s="325"/>
      <c r="FDX5" s="325"/>
      <c r="FDY5" s="325"/>
      <c r="FDZ5" s="325"/>
      <c r="FEA5" s="325"/>
      <c r="FEB5" s="325"/>
      <c r="FEC5" s="325"/>
      <c r="FED5" s="325"/>
      <c r="FEE5" s="325"/>
      <c r="FEF5" s="325"/>
      <c r="FEG5" s="325"/>
      <c r="FEH5" s="325"/>
      <c r="FEI5" s="325"/>
      <c r="FEJ5" s="325"/>
      <c r="FEK5" s="325"/>
      <c r="FEL5" s="325"/>
      <c r="FEM5" s="325"/>
      <c r="FEN5" s="325"/>
      <c r="FEO5" s="325"/>
      <c r="FEP5" s="325"/>
      <c r="FEQ5" s="325"/>
      <c r="FER5" s="325"/>
      <c r="FES5" s="325"/>
      <c r="FET5" s="325"/>
      <c r="FEU5" s="325"/>
      <c r="FEV5" s="325"/>
      <c r="FEW5" s="325"/>
      <c r="FEX5" s="325"/>
      <c r="FEY5" s="325"/>
      <c r="FEZ5" s="325"/>
      <c r="FFA5" s="325"/>
      <c r="FFB5" s="325"/>
      <c r="FFC5" s="325"/>
      <c r="FFD5" s="325"/>
      <c r="FFE5" s="325"/>
      <c r="FFF5" s="325"/>
      <c r="FFG5" s="325"/>
      <c r="FFH5" s="325"/>
      <c r="FFI5" s="325"/>
      <c r="FFJ5" s="325"/>
      <c r="FFK5" s="325"/>
      <c r="FFL5" s="325"/>
      <c r="FFM5" s="325"/>
      <c r="FFN5" s="325"/>
      <c r="FFO5" s="325"/>
      <c r="FFP5" s="325"/>
      <c r="FFQ5" s="325"/>
      <c r="FFR5" s="325"/>
      <c r="FFS5" s="325"/>
      <c r="FFT5" s="325"/>
      <c r="FFU5" s="325"/>
      <c r="FFV5" s="325"/>
      <c r="FFW5" s="325"/>
      <c r="FFX5" s="325"/>
      <c r="FFY5" s="325"/>
      <c r="FFZ5" s="325"/>
      <c r="FGA5" s="325"/>
      <c r="FGB5" s="325"/>
      <c r="FGC5" s="325"/>
      <c r="FGD5" s="325"/>
      <c r="FGE5" s="325"/>
      <c r="FGF5" s="325"/>
      <c r="FGG5" s="325"/>
      <c r="FGH5" s="325"/>
      <c r="FGI5" s="325"/>
      <c r="FGJ5" s="325"/>
      <c r="FGK5" s="325"/>
      <c r="FGL5" s="325"/>
      <c r="FGM5" s="325"/>
      <c r="FGN5" s="325"/>
      <c r="FGO5" s="325"/>
      <c r="FGP5" s="325"/>
      <c r="FGQ5" s="325"/>
      <c r="FGR5" s="325"/>
      <c r="FGS5" s="325"/>
      <c r="FGT5" s="325"/>
      <c r="FGU5" s="325"/>
      <c r="FGV5" s="325"/>
      <c r="FGW5" s="325"/>
      <c r="FGX5" s="325"/>
      <c r="FGY5" s="325"/>
      <c r="FGZ5" s="325"/>
      <c r="FHA5" s="325"/>
      <c r="FHB5" s="325"/>
      <c r="FHC5" s="325"/>
      <c r="FHD5" s="325"/>
      <c r="FHE5" s="325"/>
      <c r="FHF5" s="325"/>
      <c r="FHG5" s="325"/>
      <c r="FHH5" s="325"/>
      <c r="FHI5" s="325"/>
      <c r="FHJ5" s="325"/>
      <c r="FHK5" s="325"/>
      <c r="FHL5" s="325"/>
      <c r="FHM5" s="325"/>
      <c r="FHN5" s="325"/>
      <c r="FHO5" s="325"/>
      <c r="FHP5" s="325"/>
      <c r="FHQ5" s="325"/>
      <c r="FHR5" s="325"/>
      <c r="FHS5" s="325"/>
      <c r="FHT5" s="325"/>
      <c r="FHU5" s="325"/>
      <c r="FHV5" s="325"/>
      <c r="FHW5" s="325"/>
      <c r="FHX5" s="325"/>
      <c r="FHY5" s="325"/>
      <c r="FHZ5" s="325"/>
      <c r="FIA5" s="325"/>
      <c r="FIB5" s="325"/>
      <c r="FIC5" s="325"/>
      <c r="FID5" s="325"/>
      <c r="FIE5" s="325"/>
      <c r="FIF5" s="325"/>
      <c r="FIG5" s="325"/>
      <c r="FIH5" s="325"/>
      <c r="FII5" s="325"/>
      <c r="FIJ5" s="325"/>
      <c r="FIK5" s="325"/>
      <c r="FIL5" s="325"/>
      <c r="FIM5" s="325"/>
      <c r="FIN5" s="325"/>
      <c r="FIO5" s="325"/>
      <c r="FIP5" s="325"/>
      <c r="FIQ5" s="325"/>
      <c r="FIR5" s="325"/>
      <c r="FIS5" s="325"/>
      <c r="FIT5" s="325"/>
      <c r="FIU5" s="325"/>
      <c r="FIV5" s="325"/>
      <c r="FIW5" s="325"/>
      <c r="FIX5" s="325"/>
      <c r="FIY5" s="325"/>
      <c r="FIZ5" s="325"/>
      <c r="FJA5" s="325"/>
      <c r="FJB5" s="325"/>
      <c r="FJC5" s="325"/>
      <c r="FJD5" s="325"/>
      <c r="FJE5" s="325"/>
      <c r="FJF5" s="325"/>
      <c r="FJG5" s="325"/>
      <c r="FJH5" s="325"/>
      <c r="FJI5" s="325"/>
      <c r="FJJ5" s="325"/>
      <c r="FJK5" s="325"/>
      <c r="FJL5" s="325"/>
      <c r="FJM5" s="325"/>
      <c r="FJN5" s="325"/>
      <c r="FJO5" s="325"/>
      <c r="FJP5" s="325"/>
      <c r="FJQ5" s="325"/>
      <c r="FJR5" s="325"/>
      <c r="FJS5" s="325"/>
      <c r="FJT5" s="325"/>
      <c r="FJU5" s="325"/>
      <c r="FJV5" s="325"/>
      <c r="FJW5" s="325"/>
      <c r="FJX5" s="325"/>
      <c r="FJY5" s="325"/>
      <c r="FJZ5" s="325"/>
      <c r="FKA5" s="325"/>
      <c r="FKB5" s="325"/>
      <c r="FKC5" s="325"/>
      <c r="FKD5" s="325"/>
      <c r="FKE5" s="325"/>
      <c r="FKF5" s="325"/>
      <c r="FKG5" s="325"/>
      <c r="FKH5" s="325"/>
      <c r="FKI5" s="325"/>
      <c r="FKJ5" s="325"/>
      <c r="FKK5" s="325"/>
      <c r="FKL5" s="325"/>
      <c r="FKM5" s="325"/>
      <c r="FKN5" s="325"/>
      <c r="FKO5" s="325"/>
      <c r="FKP5" s="325"/>
      <c r="FKQ5" s="325"/>
      <c r="FKR5" s="325"/>
      <c r="FKS5" s="325"/>
      <c r="FKT5" s="325"/>
      <c r="FKU5" s="325"/>
      <c r="FKV5" s="325"/>
      <c r="FKW5" s="325"/>
      <c r="FKX5" s="325"/>
      <c r="FKY5" s="325"/>
      <c r="FKZ5" s="325"/>
      <c r="FLA5" s="325"/>
      <c r="FLB5" s="325"/>
      <c r="FLC5" s="325"/>
      <c r="FLD5" s="325"/>
      <c r="FLE5" s="325"/>
      <c r="FLF5" s="325"/>
      <c r="FLG5" s="325"/>
      <c r="FLH5" s="325"/>
      <c r="FLI5" s="325"/>
      <c r="FLJ5" s="325"/>
      <c r="FLK5" s="325"/>
      <c r="FLL5" s="325"/>
      <c r="FLM5" s="325"/>
      <c r="FLN5" s="325"/>
      <c r="FLO5" s="325"/>
      <c r="FLP5" s="325"/>
      <c r="FLQ5" s="325"/>
      <c r="FLR5" s="325"/>
      <c r="FLS5" s="325"/>
      <c r="FLT5" s="325"/>
      <c r="FLU5" s="325"/>
      <c r="FLV5" s="325"/>
      <c r="FLW5" s="325"/>
      <c r="FLX5" s="325"/>
      <c r="FLY5" s="325"/>
      <c r="FLZ5" s="325"/>
      <c r="FMA5" s="325"/>
      <c r="FMB5" s="325"/>
      <c r="FMC5" s="325"/>
      <c r="FMD5" s="325"/>
      <c r="FME5" s="325"/>
      <c r="FMF5" s="325"/>
      <c r="FMG5" s="325"/>
      <c r="FMH5" s="325"/>
      <c r="FMI5" s="325"/>
      <c r="FMJ5" s="325"/>
      <c r="FMK5" s="325"/>
      <c r="FML5" s="325"/>
      <c r="FMM5" s="325"/>
      <c r="FMN5" s="325"/>
      <c r="FMO5" s="325"/>
      <c r="FMP5" s="325"/>
      <c r="FMQ5" s="325"/>
      <c r="FMR5" s="325"/>
      <c r="FMS5" s="325"/>
      <c r="FMT5" s="325"/>
      <c r="FMU5" s="325"/>
      <c r="FMV5" s="325"/>
      <c r="FMW5" s="325"/>
      <c r="FMX5" s="325"/>
      <c r="FMY5" s="325"/>
      <c r="FMZ5" s="325"/>
      <c r="FNA5" s="325"/>
      <c r="FNB5" s="325"/>
      <c r="FNC5" s="325"/>
      <c r="FND5" s="325"/>
      <c r="FNE5" s="325"/>
      <c r="FNF5" s="325"/>
      <c r="FNG5" s="325"/>
      <c r="FNH5" s="325"/>
      <c r="FNI5" s="325"/>
      <c r="FNJ5" s="325"/>
      <c r="FNK5" s="325"/>
      <c r="FNL5" s="325"/>
      <c r="FNM5" s="325"/>
      <c r="FNN5" s="325"/>
      <c r="FNO5" s="325"/>
      <c r="FNP5" s="325"/>
      <c r="FNQ5" s="325"/>
      <c r="FNR5" s="325"/>
      <c r="FNS5" s="325"/>
      <c r="FNT5" s="325"/>
      <c r="FNU5" s="325"/>
      <c r="FNV5" s="325"/>
      <c r="FNW5" s="325"/>
      <c r="FNX5" s="325"/>
      <c r="FNY5" s="325"/>
      <c r="FNZ5" s="325"/>
      <c r="FOA5" s="325"/>
      <c r="FOB5" s="325"/>
      <c r="FOC5" s="325"/>
      <c r="FOD5" s="325"/>
      <c r="FOE5" s="325"/>
      <c r="FOF5" s="325"/>
      <c r="FOG5" s="325"/>
      <c r="FOH5" s="325"/>
      <c r="FOI5" s="325"/>
      <c r="FOJ5" s="325"/>
      <c r="FOK5" s="325"/>
      <c r="FOL5" s="325"/>
      <c r="FOM5" s="325"/>
      <c r="FON5" s="325"/>
      <c r="FOO5" s="325"/>
      <c r="FOP5" s="325"/>
      <c r="FOQ5" s="325"/>
      <c r="FOR5" s="325"/>
      <c r="FOS5" s="325"/>
      <c r="FOT5" s="325"/>
      <c r="FOU5" s="325"/>
      <c r="FOV5" s="325"/>
      <c r="FOW5" s="325"/>
      <c r="FOX5" s="325"/>
      <c r="FOY5" s="325"/>
      <c r="FOZ5" s="325"/>
      <c r="FPA5" s="325"/>
      <c r="FPB5" s="325"/>
      <c r="FPC5" s="325"/>
      <c r="FPD5" s="325"/>
      <c r="FPE5" s="325"/>
      <c r="FPF5" s="325"/>
      <c r="FPG5" s="325"/>
      <c r="FPH5" s="325"/>
      <c r="FPI5" s="325"/>
      <c r="FPJ5" s="325"/>
      <c r="FPK5" s="325"/>
      <c r="FPL5" s="325"/>
      <c r="FPM5" s="325"/>
      <c r="FPN5" s="325"/>
      <c r="FPO5" s="325"/>
      <c r="FPP5" s="325"/>
      <c r="FPQ5" s="325"/>
      <c r="FPR5" s="325"/>
      <c r="FPS5" s="325"/>
      <c r="FPT5" s="325"/>
      <c r="FPU5" s="325"/>
      <c r="FPV5" s="325"/>
      <c r="FPW5" s="325"/>
      <c r="FPX5" s="325"/>
      <c r="FPY5" s="325"/>
      <c r="FPZ5" s="325"/>
      <c r="FQA5" s="325"/>
      <c r="FQB5" s="325"/>
      <c r="FQC5" s="325"/>
      <c r="FQD5" s="325"/>
      <c r="FQE5" s="325"/>
      <c r="FQF5" s="325"/>
      <c r="FQG5" s="325"/>
      <c r="FQH5" s="325"/>
      <c r="FQI5" s="325"/>
      <c r="FQJ5" s="325"/>
      <c r="FQK5" s="325"/>
      <c r="FQL5" s="325"/>
      <c r="FQM5" s="325"/>
      <c r="FQN5" s="325"/>
      <c r="FQO5" s="325"/>
      <c r="FQP5" s="325"/>
      <c r="FQQ5" s="325"/>
      <c r="FQR5" s="325"/>
      <c r="FQS5" s="325"/>
      <c r="FQT5" s="325"/>
      <c r="FQU5" s="325"/>
      <c r="FQV5" s="325"/>
      <c r="FQW5" s="325"/>
      <c r="FQX5" s="325"/>
      <c r="FQY5" s="325"/>
      <c r="FQZ5" s="325"/>
      <c r="FRA5" s="325"/>
      <c r="FRB5" s="325"/>
      <c r="FRC5" s="325"/>
      <c r="FRD5" s="325"/>
      <c r="FRE5" s="325"/>
      <c r="FRF5" s="325"/>
      <c r="FRG5" s="325"/>
      <c r="FRH5" s="325"/>
      <c r="FRI5" s="325"/>
      <c r="FRJ5" s="325"/>
      <c r="FRK5" s="325"/>
      <c r="FRL5" s="325"/>
      <c r="FRM5" s="325"/>
      <c r="FRN5" s="325"/>
      <c r="FRO5" s="325"/>
      <c r="FRP5" s="325"/>
      <c r="FRQ5" s="325"/>
      <c r="FRR5" s="325"/>
      <c r="FRS5" s="325"/>
      <c r="FRT5" s="325"/>
      <c r="FRU5" s="325"/>
      <c r="FRV5" s="325"/>
      <c r="FRW5" s="325"/>
      <c r="FRX5" s="325"/>
      <c r="FRY5" s="325"/>
      <c r="FRZ5" s="325"/>
      <c r="FSA5" s="325"/>
      <c r="FSB5" s="325"/>
      <c r="FSC5" s="325"/>
      <c r="FSD5" s="325"/>
      <c r="FSE5" s="325"/>
      <c r="FSF5" s="325"/>
      <c r="FSG5" s="325"/>
      <c r="FSH5" s="325"/>
      <c r="FSI5" s="325"/>
      <c r="FSJ5" s="325"/>
      <c r="FSK5" s="325"/>
      <c r="FSL5" s="325"/>
      <c r="FSM5" s="325"/>
      <c r="FSN5" s="325"/>
      <c r="FSO5" s="325"/>
      <c r="FSP5" s="325"/>
      <c r="FSQ5" s="325"/>
      <c r="FSR5" s="325"/>
      <c r="FSS5" s="325"/>
      <c r="FST5" s="325"/>
      <c r="FSU5" s="325"/>
      <c r="FSV5" s="325"/>
      <c r="FSW5" s="325"/>
      <c r="FSX5" s="325"/>
      <c r="FSY5" s="325"/>
      <c r="FSZ5" s="325"/>
      <c r="FTA5" s="325"/>
      <c r="FTB5" s="325"/>
      <c r="FTC5" s="325"/>
      <c r="FTD5" s="325"/>
      <c r="FTE5" s="325"/>
      <c r="FTF5" s="325"/>
      <c r="FTG5" s="325"/>
      <c r="FTH5" s="325"/>
      <c r="FTI5" s="325"/>
      <c r="FTJ5" s="325"/>
      <c r="FTK5" s="325"/>
      <c r="FTL5" s="325"/>
      <c r="FTM5" s="325"/>
      <c r="FTN5" s="325"/>
      <c r="FTO5" s="325"/>
      <c r="FTP5" s="325"/>
      <c r="FTQ5" s="325"/>
      <c r="FTR5" s="325"/>
      <c r="FTS5" s="325"/>
      <c r="FTT5" s="325"/>
      <c r="FTU5" s="325"/>
      <c r="FTV5" s="325"/>
      <c r="FTW5" s="325"/>
      <c r="FTX5" s="325"/>
      <c r="FTY5" s="325"/>
      <c r="FTZ5" s="325"/>
      <c r="FUA5" s="325"/>
      <c r="FUB5" s="325"/>
      <c r="FUC5" s="325"/>
      <c r="FUD5" s="325"/>
      <c r="FUE5" s="325"/>
      <c r="FUF5" s="325"/>
      <c r="FUG5" s="325"/>
      <c r="FUH5" s="325"/>
      <c r="FUI5" s="325"/>
      <c r="FUJ5" s="325"/>
      <c r="FUK5" s="325"/>
      <c r="FUL5" s="325"/>
      <c r="FUM5" s="325"/>
      <c r="FUN5" s="325"/>
      <c r="FUO5" s="325"/>
      <c r="FUP5" s="325"/>
      <c r="FUQ5" s="325"/>
      <c r="FUR5" s="325"/>
      <c r="FUS5" s="325"/>
      <c r="FUT5" s="325"/>
      <c r="FUU5" s="325"/>
      <c r="FUV5" s="325"/>
      <c r="FUW5" s="325"/>
      <c r="FUX5" s="325"/>
      <c r="FUY5" s="325"/>
      <c r="FUZ5" s="325"/>
      <c r="FVA5" s="325"/>
      <c r="FVB5" s="325"/>
      <c r="FVC5" s="325"/>
      <c r="FVD5" s="325"/>
      <c r="FVE5" s="325"/>
      <c r="FVF5" s="325"/>
      <c r="FVG5" s="325"/>
      <c r="FVH5" s="325"/>
      <c r="FVI5" s="325"/>
      <c r="FVJ5" s="325"/>
      <c r="FVK5" s="325"/>
      <c r="FVL5" s="325"/>
      <c r="FVM5" s="325"/>
      <c r="FVN5" s="325"/>
      <c r="FVO5" s="325"/>
      <c r="FVP5" s="325"/>
      <c r="FVQ5" s="325"/>
      <c r="FVR5" s="325"/>
      <c r="FVS5" s="325"/>
      <c r="FVT5" s="325"/>
      <c r="FVU5" s="325"/>
      <c r="FVV5" s="325"/>
      <c r="FVW5" s="325"/>
      <c r="FVX5" s="325"/>
      <c r="FVY5" s="325"/>
      <c r="FVZ5" s="325"/>
      <c r="FWA5" s="325"/>
      <c r="FWB5" s="325"/>
      <c r="FWC5" s="325"/>
      <c r="FWD5" s="325"/>
      <c r="FWE5" s="325"/>
      <c r="FWF5" s="325"/>
      <c r="FWG5" s="325"/>
      <c r="FWH5" s="325"/>
      <c r="FWI5" s="325"/>
      <c r="FWJ5" s="325"/>
      <c r="FWK5" s="325"/>
      <c r="FWL5" s="325"/>
      <c r="FWM5" s="325"/>
      <c r="FWN5" s="325"/>
      <c r="FWO5" s="325"/>
      <c r="FWP5" s="325"/>
      <c r="FWQ5" s="325"/>
      <c r="FWR5" s="325"/>
      <c r="FWS5" s="325"/>
      <c r="FWT5" s="325"/>
      <c r="FWU5" s="325"/>
      <c r="FWV5" s="325"/>
      <c r="FWW5" s="325"/>
      <c r="FWX5" s="325"/>
      <c r="FWY5" s="325"/>
      <c r="FWZ5" s="325"/>
      <c r="FXA5" s="325"/>
      <c r="FXB5" s="325"/>
      <c r="FXC5" s="325"/>
      <c r="FXD5" s="325"/>
      <c r="FXE5" s="325"/>
      <c r="FXF5" s="325"/>
      <c r="FXG5" s="325"/>
      <c r="FXH5" s="325"/>
      <c r="FXI5" s="325"/>
      <c r="FXJ5" s="325"/>
      <c r="FXK5" s="325"/>
      <c r="FXL5" s="325"/>
      <c r="FXM5" s="325"/>
      <c r="FXN5" s="325"/>
      <c r="FXO5" s="325"/>
      <c r="FXP5" s="325"/>
      <c r="FXQ5" s="325"/>
      <c r="FXR5" s="325"/>
      <c r="FXS5" s="325"/>
      <c r="FXT5" s="325"/>
      <c r="FXU5" s="325"/>
      <c r="FXV5" s="325"/>
      <c r="FXW5" s="325"/>
      <c r="FXX5" s="325"/>
      <c r="FXY5" s="325"/>
      <c r="FXZ5" s="325"/>
      <c r="FYA5" s="325"/>
      <c r="FYB5" s="325"/>
      <c r="FYC5" s="325"/>
      <c r="FYD5" s="325"/>
      <c r="FYE5" s="325"/>
      <c r="FYF5" s="325"/>
      <c r="FYG5" s="325"/>
      <c r="FYH5" s="325"/>
      <c r="FYI5" s="325"/>
      <c r="FYJ5" s="325"/>
      <c r="FYK5" s="325"/>
      <c r="FYL5" s="325"/>
      <c r="FYM5" s="325"/>
      <c r="FYN5" s="325"/>
      <c r="FYO5" s="325"/>
      <c r="FYP5" s="325"/>
      <c r="FYQ5" s="325"/>
      <c r="FYR5" s="325"/>
      <c r="FYS5" s="325"/>
      <c r="FYT5" s="325"/>
      <c r="FYU5" s="325"/>
      <c r="FYV5" s="325"/>
      <c r="FYW5" s="325"/>
      <c r="FYX5" s="325"/>
      <c r="FYY5" s="325"/>
      <c r="FYZ5" s="325"/>
      <c r="FZA5" s="325"/>
      <c r="FZB5" s="325"/>
      <c r="FZC5" s="325"/>
      <c r="FZD5" s="325"/>
      <c r="FZE5" s="325"/>
      <c r="FZF5" s="325"/>
      <c r="FZG5" s="325"/>
      <c r="FZH5" s="325"/>
      <c r="FZI5" s="325"/>
      <c r="FZJ5" s="325"/>
      <c r="FZK5" s="325"/>
      <c r="FZL5" s="325"/>
      <c r="FZM5" s="325"/>
      <c r="FZN5" s="325"/>
      <c r="FZO5" s="325"/>
      <c r="FZP5" s="325"/>
      <c r="FZQ5" s="325"/>
      <c r="FZR5" s="325"/>
      <c r="FZS5" s="325"/>
      <c r="FZT5" s="325"/>
      <c r="FZU5" s="325"/>
      <c r="FZV5" s="325"/>
      <c r="FZW5" s="325"/>
      <c r="FZX5" s="325"/>
      <c r="FZY5" s="325"/>
      <c r="FZZ5" s="325"/>
      <c r="GAA5" s="325"/>
      <c r="GAB5" s="325"/>
      <c r="GAC5" s="325"/>
      <c r="GAD5" s="325"/>
      <c r="GAE5" s="325"/>
      <c r="GAF5" s="325"/>
      <c r="GAG5" s="325"/>
      <c r="GAH5" s="325"/>
      <c r="GAI5" s="325"/>
      <c r="GAJ5" s="325"/>
      <c r="GAK5" s="325"/>
      <c r="GAL5" s="325"/>
      <c r="GAM5" s="325"/>
      <c r="GAN5" s="325"/>
      <c r="GAO5" s="325"/>
      <c r="GAP5" s="325"/>
      <c r="GAQ5" s="325"/>
      <c r="GAR5" s="325"/>
      <c r="GAS5" s="325"/>
      <c r="GAT5" s="325"/>
      <c r="GAU5" s="325"/>
      <c r="GAV5" s="325"/>
      <c r="GAW5" s="325"/>
      <c r="GAX5" s="325"/>
      <c r="GAY5" s="325"/>
      <c r="GAZ5" s="325"/>
      <c r="GBA5" s="325"/>
      <c r="GBB5" s="325"/>
      <c r="GBC5" s="325"/>
      <c r="GBD5" s="325"/>
      <c r="GBE5" s="325"/>
      <c r="GBF5" s="325"/>
      <c r="GBG5" s="325"/>
      <c r="GBH5" s="325"/>
      <c r="GBI5" s="325"/>
      <c r="GBJ5" s="325"/>
      <c r="GBK5" s="325"/>
      <c r="GBL5" s="325"/>
      <c r="GBM5" s="325"/>
      <c r="GBN5" s="325"/>
      <c r="GBO5" s="325"/>
      <c r="GBP5" s="325"/>
      <c r="GBQ5" s="325"/>
      <c r="GBR5" s="325"/>
      <c r="GBS5" s="325"/>
      <c r="GBT5" s="325"/>
      <c r="GBU5" s="325"/>
      <c r="GBV5" s="325"/>
      <c r="GBW5" s="325"/>
      <c r="GBX5" s="325"/>
      <c r="GBY5" s="325"/>
      <c r="GBZ5" s="325"/>
      <c r="GCA5" s="325"/>
      <c r="GCB5" s="325"/>
      <c r="GCC5" s="325"/>
      <c r="GCD5" s="325"/>
      <c r="GCE5" s="325"/>
      <c r="GCF5" s="325"/>
      <c r="GCG5" s="325"/>
      <c r="GCH5" s="325"/>
      <c r="GCI5" s="325"/>
      <c r="GCJ5" s="325"/>
      <c r="GCK5" s="325"/>
      <c r="GCL5" s="325"/>
      <c r="GCM5" s="325"/>
      <c r="GCN5" s="325"/>
      <c r="GCO5" s="325"/>
      <c r="GCP5" s="325"/>
      <c r="GCQ5" s="325"/>
      <c r="GCR5" s="325"/>
      <c r="GCS5" s="325"/>
      <c r="GCT5" s="325"/>
      <c r="GCU5" s="325"/>
      <c r="GCV5" s="325"/>
      <c r="GCW5" s="325"/>
      <c r="GCX5" s="325"/>
      <c r="GCY5" s="325"/>
      <c r="GCZ5" s="325"/>
      <c r="GDA5" s="325"/>
      <c r="GDB5" s="325"/>
      <c r="GDC5" s="325"/>
      <c r="GDD5" s="325"/>
      <c r="GDE5" s="325"/>
      <c r="GDF5" s="325"/>
      <c r="GDG5" s="325"/>
      <c r="GDH5" s="325"/>
      <c r="GDI5" s="325"/>
      <c r="GDJ5" s="325"/>
      <c r="GDK5" s="325"/>
      <c r="GDL5" s="325"/>
      <c r="GDM5" s="325"/>
      <c r="GDN5" s="325"/>
      <c r="GDO5" s="325"/>
      <c r="GDP5" s="325"/>
      <c r="GDQ5" s="325"/>
      <c r="GDR5" s="325"/>
      <c r="GDS5" s="325"/>
      <c r="GDT5" s="325"/>
      <c r="GDU5" s="325"/>
      <c r="GDV5" s="325"/>
      <c r="GDW5" s="325"/>
      <c r="GDX5" s="325"/>
      <c r="GDY5" s="325"/>
      <c r="GDZ5" s="325"/>
      <c r="GEA5" s="325"/>
      <c r="GEB5" s="325"/>
      <c r="GEC5" s="325"/>
      <c r="GED5" s="325"/>
      <c r="GEE5" s="325"/>
      <c r="GEF5" s="325"/>
      <c r="GEG5" s="325"/>
      <c r="GEH5" s="325"/>
      <c r="GEI5" s="325"/>
      <c r="GEJ5" s="325"/>
      <c r="GEK5" s="325"/>
      <c r="GEL5" s="325"/>
      <c r="GEM5" s="325"/>
      <c r="GEN5" s="325"/>
      <c r="GEO5" s="325"/>
      <c r="GEP5" s="325"/>
      <c r="GEQ5" s="325"/>
      <c r="GER5" s="325"/>
      <c r="GES5" s="325"/>
      <c r="GET5" s="325"/>
      <c r="GEU5" s="325"/>
      <c r="GEV5" s="325"/>
      <c r="GEW5" s="325"/>
      <c r="GEX5" s="325"/>
      <c r="GEY5" s="325"/>
      <c r="GEZ5" s="325"/>
      <c r="GFA5" s="325"/>
      <c r="GFB5" s="325"/>
      <c r="GFC5" s="325"/>
      <c r="GFD5" s="325"/>
      <c r="GFE5" s="325"/>
      <c r="GFF5" s="325"/>
      <c r="GFG5" s="325"/>
      <c r="GFH5" s="325"/>
      <c r="GFI5" s="325"/>
      <c r="GFJ5" s="325"/>
      <c r="GFK5" s="325"/>
      <c r="GFL5" s="325"/>
      <c r="GFM5" s="325"/>
      <c r="GFN5" s="325"/>
      <c r="GFO5" s="325"/>
      <c r="GFP5" s="325"/>
      <c r="GFQ5" s="325"/>
      <c r="GFR5" s="325"/>
      <c r="GFS5" s="325"/>
      <c r="GFT5" s="325"/>
      <c r="GFU5" s="325"/>
      <c r="GFV5" s="325"/>
      <c r="GFW5" s="325"/>
      <c r="GFX5" s="325"/>
      <c r="GFY5" s="325"/>
      <c r="GFZ5" s="325"/>
      <c r="GGA5" s="325"/>
      <c r="GGB5" s="325"/>
      <c r="GGC5" s="325"/>
      <c r="GGD5" s="325"/>
      <c r="GGE5" s="325"/>
      <c r="GGF5" s="325"/>
      <c r="GGG5" s="325"/>
      <c r="GGH5" s="325"/>
      <c r="GGI5" s="325"/>
      <c r="GGJ5" s="325"/>
      <c r="GGK5" s="325"/>
      <c r="GGL5" s="325"/>
      <c r="GGM5" s="325"/>
      <c r="GGN5" s="325"/>
      <c r="GGO5" s="325"/>
      <c r="GGP5" s="325"/>
      <c r="GGQ5" s="325"/>
      <c r="GGR5" s="325"/>
      <c r="GGS5" s="325"/>
      <c r="GGT5" s="325"/>
      <c r="GGU5" s="325"/>
      <c r="GGV5" s="325"/>
      <c r="GGW5" s="325"/>
      <c r="GGX5" s="325"/>
      <c r="GGY5" s="325"/>
      <c r="GGZ5" s="325"/>
      <c r="GHA5" s="325"/>
      <c r="GHB5" s="325"/>
      <c r="GHC5" s="325"/>
      <c r="GHD5" s="325"/>
      <c r="GHE5" s="325"/>
      <c r="GHF5" s="325"/>
      <c r="GHG5" s="325"/>
      <c r="GHH5" s="325"/>
      <c r="GHI5" s="325"/>
      <c r="GHJ5" s="325"/>
      <c r="GHK5" s="325"/>
      <c r="GHL5" s="325"/>
      <c r="GHM5" s="325"/>
      <c r="GHN5" s="325"/>
      <c r="GHO5" s="325"/>
      <c r="GHP5" s="325"/>
      <c r="GHQ5" s="325"/>
      <c r="GHR5" s="325"/>
      <c r="GHS5" s="325"/>
      <c r="GHT5" s="325"/>
      <c r="GHU5" s="325"/>
      <c r="GHV5" s="325"/>
      <c r="GHW5" s="325"/>
      <c r="GHX5" s="325"/>
      <c r="GHY5" s="325"/>
      <c r="GHZ5" s="325"/>
      <c r="GIA5" s="325"/>
      <c r="GIB5" s="325"/>
      <c r="GIC5" s="325"/>
      <c r="GID5" s="325"/>
      <c r="GIE5" s="325"/>
      <c r="GIF5" s="325"/>
      <c r="GIG5" s="325"/>
      <c r="GIH5" s="325"/>
      <c r="GII5" s="325"/>
      <c r="GIJ5" s="325"/>
      <c r="GIK5" s="325"/>
      <c r="GIL5" s="325"/>
      <c r="GIM5" s="325"/>
      <c r="GIN5" s="325"/>
      <c r="GIO5" s="325"/>
      <c r="GIP5" s="325"/>
      <c r="GIQ5" s="325"/>
      <c r="GIR5" s="325"/>
      <c r="GIS5" s="325"/>
      <c r="GIT5" s="325"/>
      <c r="GIU5" s="325"/>
      <c r="GIV5" s="325"/>
      <c r="GIW5" s="325"/>
      <c r="GIX5" s="325"/>
      <c r="GIY5" s="325"/>
      <c r="GIZ5" s="325"/>
      <c r="GJA5" s="325"/>
      <c r="GJB5" s="325"/>
      <c r="GJC5" s="325"/>
      <c r="GJD5" s="325"/>
      <c r="GJE5" s="325"/>
      <c r="GJF5" s="325"/>
      <c r="GJG5" s="325"/>
      <c r="GJH5" s="325"/>
      <c r="GJI5" s="325"/>
      <c r="GJJ5" s="325"/>
      <c r="GJK5" s="325"/>
      <c r="GJL5" s="325"/>
      <c r="GJM5" s="325"/>
      <c r="GJN5" s="325"/>
      <c r="GJO5" s="325"/>
      <c r="GJP5" s="325"/>
      <c r="GJQ5" s="325"/>
      <c r="GJR5" s="325"/>
      <c r="GJS5" s="325"/>
      <c r="GJT5" s="325"/>
      <c r="GJU5" s="325"/>
      <c r="GJV5" s="325"/>
      <c r="GJW5" s="325"/>
      <c r="GJX5" s="325"/>
      <c r="GJY5" s="325"/>
      <c r="GJZ5" s="325"/>
      <c r="GKA5" s="325"/>
      <c r="GKB5" s="325"/>
      <c r="GKC5" s="325"/>
      <c r="GKD5" s="325"/>
      <c r="GKE5" s="325"/>
      <c r="GKF5" s="325"/>
      <c r="GKG5" s="325"/>
      <c r="GKH5" s="325"/>
      <c r="GKI5" s="325"/>
      <c r="GKJ5" s="325"/>
      <c r="GKK5" s="325"/>
      <c r="GKL5" s="325"/>
      <c r="GKM5" s="325"/>
      <c r="GKN5" s="325"/>
      <c r="GKO5" s="325"/>
      <c r="GKP5" s="325"/>
      <c r="GKQ5" s="325"/>
      <c r="GKR5" s="325"/>
      <c r="GKS5" s="325"/>
      <c r="GKT5" s="325"/>
      <c r="GKU5" s="325"/>
      <c r="GKV5" s="325"/>
      <c r="GKW5" s="325"/>
      <c r="GKX5" s="325"/>
      <c r="GKY5" s="325"/>
      <c r="GKZ5" s="325"/>
      <c r="GLA5" s="325"/>
      <c r="GLB5" s="325"/>
      <c r="GLC5" s="325"/>
      <c r="GLD5" s="325"/>
      <c r="GLE5" s="325"/>
      <c r="GLF5" s="325"/>
      <c r="GLG5" s="325"/>
      <c r="GLH5" s="325"/>
      <c r="GLI5" s="325"/>
      <c r="GLJ5" s="325"/>
      <c r="GLK5" s="325"/>
      <c r="GLL5" s="325"/>
      <c r="GLM5" s="325"/>
      <c r="GLN5" s="325"/>
      <c r="GLO5" s="325"/>
      <c r="GLP5" s="325"/>
      <c r="GLQ5" s="325"/>
      <c r="GLR5" s="325"/>
      <c r="GLS5" s="325"/>
      <c r="GLT5" s="325"/>
      <c r="GLU5" s="325"/>
      <c r="GLV5" s="325"/>
      <c r="GLW5" s="325"/>
      <c r="GLX5" s="325"/>
      <c r="GLY5" s="325"/>
      <c r="GLZ5" s="325"/>
      <c r="GMA5" s="325"/>
      <c r="GMB5" s="325"/>
      <c r="GMC5" s="325"/>
      <c r="GMD5" s="325"/>
      <c r="GME5" s="325"/>
      <c r="GMF5" s="325"/>
      <c r="GMG5" s="325"/>
      <c r="GMH5" s="325"/>
      <c r="GMI5" s="325"/>
      <c r="GMJ5" s="325"/>
      <c r="GMK5" s="325"/>
      <c r="GML5" s="325"/>
      <c r="GMM5" s="325"/>
      <c r="GMN5" s="325"/>
      <c r="GMO5" s="325"/>
      <c r="GMP5" s="325"/>
      <c r="GMQ5" s="325"/>
      <c r="GMR5" s="325"/>
      <c r="GMS5" s="325"/>
      <c r="GMT5" s="325"/>
      <c r="GMU5" s="325"/>
      <c r="GMV5" s="325"/>
      <c r="GMW5" s="325"/>
      <c r="GMX5" s="325"/>
      <c r="GMY5" s="325"/>
      <c r="GMZ5" s="325"/>
      <c r="GNA5" s="325"/>
      <c r="GNB5" s="325"/>
      <c r="GNC5" s="325"/>
      <c r="GND5" s="325"/>
      <c r="GNE5" s="325"/>
      <c r="GNF5" s="325"/>
      <c r="GNG5" s="325"/>
      <c r="GNH5" s="325"/>
      <c r="GNI5" s="325"/>
      <c r="GNJ5" s="325"/>
      <c r="GNK5" s="325"/>
      <c r="GNL5" s="325"/>
      <c r="GNM5" s="325"/>
      <c r="GNN5" s="325"/>
      <c r="GNO5" s="325"/>
      <c r="GNP5" s="325"/>
      <c r="GNQ5" s="325"/>
      <c r="GNR5" s="325"/>
      <c r="GNS5" s="325"/>
      <c r="GNT5" s="325"/>
      <c r="GNU5" s="325"/>
      <c r="GNV5" s="325"/>
      <c r="GNW5" s="325"/>
      <c r="GNX5" s="325"/>
      <c r="GNY5" s="325"/>
      <c r="GNZ5" s="325"/>
      <c r="GOA5" s="325"/>
      <c r="GOB5" s="325"/>
      <c r="GOC5" s="325"/>
      <c r="GOD5" s="325"/>
      <c r="GOE5" s="325"/>
      <c r="GOF5" s="325"/>
      <c r="GOG5" s="325"/>
      <c r="GOH5" s="325"/>
      <c r="GOI5" s="325"/>
      <c r="GOJ5" s="325"/>
      <c r="GOK5" s="325"/>
      <c r="GOL5" s="325"/>
      <c r="GOM5" s="325"/>
      <c r="GON5" s="325"/>
      <c r="GOO5" s="325"/>
      <c r="GOP5" s="325"/>
      <c r="GOQ5" s="325"/>
      <c r="GOR5" s="325"/>
      <c r="GOS5" s="325"/>
      <c r="GOT5" s="325"/>
      <c r="GOU5" s="325"/>
      <c r="GOV5" s="325"/>
      <c r="GOW5" s="325"/>
      <c r="GOX5" s="325"/>
      <c r="GOY5" s="325"/>
      <c r="GOZ5" s="325"/>
      <c r="GPA5" s="325"/>
      <c r="GPB5" s="325"/>
      <c r="GPC5" s="325"/>
      <c r="GPD5" s="325"/>
      <c r="GPE5" s="325"/>
      <c r="GPF5" s="325"/>
      <c r="GPG5" s="325"/>
      <c r="GPH5" s="325"/>
      <c r="GPI5" s="325"/>
      <c r="GPJ5" s="325"/>
      <c r="GPK5" s="325"/>
      <c r="GPL5" s="325"/>
      <c r="GPM5" s="325"/>
      <c r="GPN5" s="325"/>
      <c r="GPO5" s="325"/>
      <c r="GPP5" s="325"/>
      <c r="GPQ5" s="325"/>
      <c r="GPR5" s="325"/>
      <c r="GPS5" s="325"/>
      <c r="GPT5" s="325"/>
      <c r="GPU5" s="325"/>
      <c r="GPV5" s="325"/>
      <c r="GPW5" s="325"/>
      <c r="GPX5" s="325"/>
      <c r="GPY5" s="325"/>
      <c r="GPZ5" s="325"/>
      <c r="GQA5" s="325"/>
      <c r="GQB5" s="325"/>
      <c r="GQC5" s="325"/>
      <c r="GQD5" s="325"/>
      <c r="GQE5" s="325"/>
      <c r="GQF5" s="325"/>
      <c r="GQG5" s="325"/>
      <c r="GQH5" s="325"/>
      <c r="GQI5" s="325"/>
      <c r="GQJ5" s="325"/>
      <c r="GQK5" s="325"/>
      <c r="GQL5" s="325"/>
      <c r="GQM5" s="325"/>
      <c r="GQN5" s="325"/>
      <c r="GQO5" s="325"/>
      <c r="GQP5" s="325"/>
      <c r="GQQ5" s="325"/>
      <c r="GQR5" s="325"/>
      <c r="GQS5" s="325"/>
      <c r="GQT5" s="325"/>
      <c r="GQU5" s="325"/>
      <c r="GQV5" s="325"/>
      <c r="GQW5" s="325"/>
      <c r="GQX5" s="325"/>
      <c r="GQY5" s="325"/>
      <c r="GQZ5" s="325"/>
      <c r="GRA5" s="325"/>
      <c r="GRB5" s="325"/>
      <c r="GRC5" s="325"/>
      <c r="GRD5" s="325"/>
      <c r="GRE5" s="325"/>
      <c r="GRF5" s="325"/>
      <c r="GRG5" s="325"/>
      <c r="GRH5" s="325"/>
      <c r="GRI5" s="325"/>
      <c r="GRJ5" s="325"/>
      <c r="GRK5" s="325"/>
      <c r="GRL5" s="325"/>
      <c r="GRM5" s="325"/>
      <c r="GRN5" s="325"/>
      <c r="GRO5" s="325"/>
      <c r="GRP5" s="325"/>
      <c r="GRQ5" s="325"/>
      <c r="GRR5" s="325"/>
      <c r="GRS5" s="325"/>
      <c r="GRT5" s="325"/>
      <c r="GRU5" s="325"/>
      <c r="GRV5" s="325"/>
      <c r="GRW5" s="325"/>
      <c r="GRX5" s="325"/>
      <c r="GRY5" s="325"/>
      <c r="GRZ5" s="325"/>
      <c r="GSA5" s="325"/>
      <c r="GSB5" s="325"/>
      <c r="GSC5" s="325"/>
      <c r="GSD5" s="325"/>
      <c r="GSE5" s="325"/>
      <c r="GSF5" s="325"/>
      <c r="GSG5" s="325"/>
      <c r="GSH5" s="325"/>
      <c r="GSI5" s="325"/>
      <c r="GSJ5" s="325"/>
      <c r="GSK5" s="325"/>
      <c r="GSL5" s="325"/>
      <c r="GSM5" s="325"/>
      <c r="GSN5" s="325"/>
      <c r="GSO5" s="325"/>
      <c r="GSP5" s="325"/>
      <c r="GSQ5" s="325"/>
      <c r="GSR5" s="325"/>
      <c r="GSS5" s="325"/>
      <c r="GST5" s="325"/>
      <c r="GSU5" s="325"/>
      <c r="GSV5" s="325"/>
      <c r="GSW5" s="325"/>
      <c r="GSX5" s="325"/>
      <c r="GSY5" s="325"/>
      <c r="GSZ5" s="325"/>
      <c r="GTA5" s="325"/>
      <c r="GTB5" s="325"/>
      <c r="GTC5" s="325"/>
      <c r="GTD5" s="325"/>
      <c r="GTE5" s="325"/>
      <c r="GTF5" s="325"/>
      <c r="GTG5" s="325"/>
      <c r="GTH5" s="325"/>
      <c r="GTI5" s="325"/>
      <c r="GTJ5" s="325"/>
      <c r="GTK5" s="325"/>
      <c r="GTL5" s="325"/>
      <c r="GTM5" s="325"/>
      <c r="GTN5" s="325"/>
      <c r="GTO5" s="325"/>
      <c r="GTP5" s="325"/>
      <c r="GTQ5" s="325"/>
      <c r="GTR5" s="325"/>
      <c r="GTS5" s="325"/>
      <c r="GTT5" s="325"/>
      <c r="GTU5" s="325"/>
      <c r="GTV5" s="325"/>
      <c r="GTW5" s="325"/>
      <c r="GTX5" s="325"/>
      <c r="GTY5" s="325"/>
      <c r="GTZ5" s="325"/>
      <c r="GUA5" s="325"/>
      <c r="GUB5" s="325"/>
      <c r="GUC5" s="325"/>
      <c r="GUD5" s="325"/>
      <c r="GUE5" s="325"/>
      <c r="GUF5" s="325"/>
      <c r="GUG5" s="325"/>
      <c r="GUH5" s="325"/>
      <c r="GUI5" s="325"/>
      <c r="GUJ5" s="325"/>
      <c r="GUK5" s="325"/>
      <c r="GUL5" s="325"/>
      <c r="GUM5" s="325"/>
      <c r="GUN5" s="325"/>
      <c r="GUO5" s="325"/>
      <c r="GUP5" s="325"/>
      <c r="GUQ5" s="325"/>
      <c r="GUR5" s="325"/>
      <c r="GUS5" s="325"/>
      <c r="GUT5" s="325"/>
      <c r="GUU5" s="325"/>
      <c r="GUV5" s="325"/>
      <c r="GUW5" s="325"/>
      <c r="GUX5" s="325"/>
      <c r="GUY5" s="325"/>
      <c r="GUZ5" s="325"/>
      <c r="GVA5" s="325"/>
      <c r="GVB5" s="325"/>
      <c r="GVC5" s="325"/>
      <c r="GVD5" s="325"/>
      <c r="GVE5" s="325"/>
      <c r="GVF5" s="325"/>
      <c r="GVG5" s="325"/>
      <c r="GVH5" s="325"/>
      <c r="GVI5" s="325"/>
      <c r="GVJ5" s="325"/>
      <c r="GVK5" s="325"/>
      <c r="GVL5" s="325"/>
      <c r="GVM5" s="325"/>
      <c r="GVN5" s="325"/>
      <c r="GVO5" s="325"/>
      <c r="GVP5" s="325"/>
      <c r="GVQ5" s="325"/>
      <c r="GVR5" s="325"/>
      <c r="GVS5" s="325"/>
      <c r="GVT5" s="325"/>
      <c r="GVU5" s="325"/>
      <c r="GVV5" s="325"/>
      <c r="GVW5" s="325"/>
      <c r="GVX5" s="325"/>
      <c r="GVY5" s="325"/>
      <c r="GVZ5" s="325"/>
      <c r="GWA5" s="325"/>
      <c r="GWB5" s="325"/>
      <c r="GWC5" s="325"/>
      <c r="GWD5" s="325"/>
      <c r="GWE5" s="325"/>
      <c r="GWF5" s="325"/>
      <c r="GWG5" s="325"/>
      <c r="GWH5" s="325"/>
      <c r="GWI5" s="325"/>
      <c r="GWJ5" s="325"/>
      <c r="GWK5" s="325"/>
      <c r="GWL5" s="325"/>
      <c r="GWM5" s="325"/>
      <c r="GWN5" s="325"/>
      <c r="GWO5" s="325"/>
      <c r="GWP5" s="325"/>
      <c r="GWQ5" s="325"/>
      <c r="GWR5" s="325"/>
      <c r="GWS5" s="325"/>
      <c r="GWT5" s="325"/>
      <c r="GWU5" s="325"/>
      <c r="GWV5" s="325"/>
      <c r="GWW5" s="325"/>
      <c r="GWX5" s="325"/>
      <c r="GWY5" s="325"/>
      <c r="GWZ5" s="325"/>
      <c r="GXA5" s="325"/>
      <c r="GXB5" s="325"/>
      <c r="GXC5" s="325"/>
      <c r="GXD5" s="325"/>
      <c r="GXE5" s="325"/>
      <c r="GXF5" s="325"/>
      <c r="GXG5" s="325"/>
      <c r="GXH5" s="325"/>
      <c r="GXI5" s="325"/>
      <c r="GXJ5" s="325"/>
      <c r="GXK5" s="325"/>
      <c r="GXL5" s="325"/>
      <c r="GXM5" s="325"/>
      <c r="GXN5" s="325"/>
      <c r="GXO5" s="325"/>
      <c r="GXP5" s="325"/>
      <c r="GXQ5" s="325"/>
      <c r="GXR5" s="325"/>
      <c r="GXS5" s="325"/>
      <c r="GXT5" s="325"/>
      <c r="GXU5" s="325"/>
      <c r="GXV5" s="325"/>
      <c r="GXW5" s="325"/>
      <c r="GXX5" s="325"/>
      <c r="GXY5" s="325"/>
      <c r="GXZ5" s="325"/>
      <c r="GYA5" s="325"/>
      <c r="GYB5" s="325"/>
      <c r="GYC5" s="325"/>
      <c r="GYD5" s="325"/>
      <c r="GYE5" s="325"/>
      <c r="GYF5" s="325"/>
      <c r="GYG5" s="325"/>
      <c r="GYH5" s="325"/>
      <c r="GYI5" s="325"/>
      <c r="GYJ5" s="325"/>
      <c r="GYK5" s="325"/>
      <c r="GYL5" s="325"/>
      <c r="GYM5" s="325"/>
      <c r="GYN5" s="325"/>
      <c r="GYO5" s="325"/>
      <c r="GYP5" s="325"/>
      <c r="GYQ5" s="325"/>
      <c r="GYR5" s="325"/>
      <c r="GYS5" s="325"/>
      <c r="GYT5" s="325"/>
      <c r="GYU5" s="325"/>
      <c r="GYV5" s="325"/>
      <c r="GYW5" s="325"/>
      <c r="GYX5" s="325"/>
      <c r="GYY5" s="325"/>
      <c r="GYZ5" s="325"/>
      <c r="GZA5" s="325"/>
      <c r="GZB5" s="325"/>
      <c r="GZC5" s="325"/>
      <c r="GZD5" s="325"/>
      <c r="GZE5" s="325"/>
      <c r="GZF5" s="325"/>
      <c r="GZG5" s="325"/>
      <c r="GZH5" s="325"/>
      <c r="GZI5" s="325"/>
      <c r="GZJ5" s="325"/>
      <c r="GZK5" s="325"/>
      <c r="GZL5" s="325"/>
      <c r="GZM5" s="325"/>
      <c r="GZN5" s="325"/>
      <c r="GZO5" s="325"/>
      <c r="GZP5" s="325"/>
      <c r="GZQ5" s="325"/>
      <c r="GZR5" s="325"/>
      <c r="GZS5" s="325"/>
      <c r="GZT5" s="325"/>
      <c r="GZU5" s="325"/>
      <c r="GZV5" s="325"/>
      <c r="GZW5" s="325"/>
      <c r="GZX5" s="325"/>
      <c r="GZY5" s="325"/>
      <c r="GZZ5" s="325"/>
      <c r="HAA5" s="325"/>
      <c r="HAB5" s="325"/>
      <c r="HAC5" s="325"/>
      <c r="HAD5" s="325"/>
      <c r="HAE5" s="325"/>
      <c r="HAF5" s="325"/>
      <c r="HAG5" s="325"/>
      <c r="HAH5" s="325"/>
      <c r="HAI5" s="325"/>
      <c r="HAJ5" s="325"/>
      <c r="HAK5" s="325"/>
      <c r="HAL5" s="325"/>
      <c r="HAM5" s="325"/>
      <c r="HAN5" s="325"/>
      <c r="HAO5" s="325"/>
      <c r="HAP5" s="325"/>
      <c r="HAQ5" s="325"/>
      <c r="HAR5" s="325"/>
      <c r="HAS5" s="325"/>
      <c r="HAT5" s="325"/>
      <c r="HAU5" s="325"/>
      <c r="HAV5" s="325"/>
      <c r="HAW5" s="325"/>
      <c r="HAX5" s="325"/>
      <c r="HAY5" s="325"/>
      <c r="HAZ5" s="325"/>
      <c r="HBA5" s="325"/>
      <c r="HBB5" s="325"/>
      <c r="HBC5" s="325"/>
      <c r="HBD5" s="325"/>
      <c r="HBE5" s="325"/>
      <c r="HBF5" s="325"/>
      <c r="HBG5" s="325"/>
      <c r="HBH5" s="325"/>
      <c r="HBI5" s="325"/>
      <c r="HBJ5" s="325"/>
      <c r="HBK5" s="325"/>
      <c r="HBL5" s="325"/>
      <c r="HBM5" s="325"/>
      <c r="HBN5" s="325"/>
      <c r="HBO5" s="325"/>
      <c r="HBP5" s="325"/>
      <c r="HBQ5" s="325"/>
      <c r="HBR5" s="325"/>
      <c r="HBS5" s="325"/>
      <c r="HBT5" s="325"/>
      <c r="HBU5" s="325"/>
      <c r="HBV5" s="325"/>
      <c r="HBW5" s="325"/>
      <c r="HBX5" s="325"/>
      <c r="HBY5" s="325"/>
      <c r="HBZ5" s="325"/>
      <c r="HCA5" s="325"/>
      <c r="HCB5" s="325"/>
      <c r="HCC5" s="325"/>
      <c r="HCD5" s="325"/>
      <c r="HCE5" s="325"/>
      <c r="HCF5" s="325"/>
      <c r="HCG5" s="325"/>
      <c r="HCH5" s="325"/>
      <c r="HCI5" s="325"/>
      <c r="HCJ5" s="325"/>
      <c r="HCK5" s="325"/>
      <c r="HCL5" s="325"/>
      <c r="HCM5" s="325"/>
      <c r="HCN5" s="325"/>
      <c r="HCO5" s="325"/>
      <c r="HCP5" s="325"/>
      <c r="HCQ5" s="325"/>
      <c r="HCR5" s="325"/>
      <c r="HCS5" s="325"/>
      <c r="HCT5" s="325"/>
      <c r="HCU5" s="325"/>
      <c r="HCV5" s="325"/>
      <c r="HCW5" s="325"/>
      <c r="HCX5" s="325"/>
      <c r="HCY5" s="325"/>
      <c r="HCZ5" s="325"/>
      <c r="HDA5" s="325"/>
      <c r="HDB5" s="325"/>
      <c r="HDC5" s="325"/>
      <c r="HDD5" s="325"/>
      <c r="HDE5" s="325"/>
      <c r="HDF5" s="325"/>
      <c r="HDG5" s="325"/>
      <c r="HDH5" s="325"/>
      <c r="HDI5" s="325"/>
      <c r="HDJ5" s="325"/>
      <c r="HDK5" s="325"/>
      <c r="HDL5" s="325"/>
      <c r="HDM5" s="325"/>
      <c r="HDN5" s="325"/>
      <c r="HDO5" s="325"/>
      <c r="HDP5" s="325"/>
      <c r="HDQ5" s="325"/>
      <c r="HDR5" s="325"/>
      <c r="HDS5" s="325"/>
      <c r="HDT5" s="325"/>
      <c r="HDU5" s="325"/>
      <c r="HDV5" s="325"/>
      <c r="HDW5" s="325"/>
      <c r="HDX5" s="325"/>
      <c r="HDY5" s="325"/>
      <c r="HDZ5" s="325"/>
      <c r="HEA5" s="325"/>
      <c r="HEB5" s="325"/>
      <c r="HEC5" s="325"/>
      <c r="HED5" s="325"/>
      <c r="HEE5" s="325"/>
      <c r="HEF5" s="325"/>
      <c r="HEG5" s="325"/>
      <c r="HEH5" s="325"/>
      <c r="HEI5" s="325"/>
      <c r="HEJ5" s="325"/>
      <c r="HEK5" s="325"/>
      <c r="HEL5" s="325"/>
      <c r="HEM5" s="325"/>
      <c r="HEN5" s="325"/>
      <c r="HEO5" s="325"/>
      <c r="HEP5" s="325"/>
      <c r="HEQ5" s="325"/>
      <c r="HER5" s="325"/>
      <c r="HES5" s="325"/>
      <c r="HET5" s="325"/>
      <c r="HEU5" s="325"/>
      <c r="HEV5" s="325"/>
      <c r="HEW5" s="325"/>
      <c r="HEX5" s="325"/>
      <c r="HEY5" s="325"/>
      <c r="HEZ5" s="325"/>
      <c r="HFA5" s="325"/>
      <c r="HFB5" s="325"/>
      <c r="HFC5" s="325"/>
      <c r="HFD5" s="325"/>
      <c r="HFE5" s="325"/>
      <c r="HFF5" s="325"/>
      <c r="HFG5" s="325"/>
      <c r="HFH5" s="325"/>
      <c r="HFI5" s="325"/>
      <c r="HFJ5" s="325"/>
      <c r="HFK5" s="325"/>
      <c r="HFL5" s="325"/>
      <c r="HFM5" s="325"/>
      <c r="HFN5" s="325"/>
      <c r="HFO5" s="325"/>
      <c r="HFP5" s="325"/>
      <c r="HFQ5" s="325"/>
      <c r="HFR5" s="325"/>
      <c r="HFS5" s="325"/>
      <c r="HFT5" s="325"/>
      <c r="HFU5" s="325"/>
      <c r="HFV5" s="325"/>
      <c r="HFW5" s="325"/>
      <c r="HFX5" s="325"/>
      <c r="HFY5" s="325"/>
      <c r="HFZ5" s="325"/>
      <c r="HGA5" s="325"/>
      <c r="HGB5" s="325"/>
      <c r="HGC5" s="325"/>
      <c r="HGD5" s="325"/>
      <c r="HGE5" s="325"/>
      <c r="HGF5" s="325"/>
      <c r="HGG5" s="325"/>
      <c r="HGH5" s="325"/>
      <c r="HGI5" s="325"/>
      <c r="HGJ5" s="325"/>
      <c r="HGK5" s="325"/>
      <c r="HGL5" s="325"/>
      <c r="HGM5" s="325"/>
      <c r="HGN5" s="325"/>
      <c r="HGO5" s="325"/>
      <c r="HGP5" s="325"/>
      <c r="HGQ5" s="325"/>
      <c r="HGR5" s="325"/>
      <c r="HGS5" s="325"/>
      <c r="HGT5" s="325"/>
      <c r="HGU5" s="325"/>
      <c r="HGV5" s="325"/>
      <c r="HGW5" s="325"/>
      <c r="HGX5" s="325"/>
      <c r="HGY5" s="325"/>
      <c r="HGZ5" s="325"/>
      <c r="HHA5" s="325"/>
      <c r="HHB5" s="325"/>
      <c r="HHC5" s="325"/>
      <c r="HHD5" s="325"/>
      <c r="HHE5" s="325"/>
      <c r="HHF5" s="325"/>
      <c r="HHG5" s="325"/>
      <c r="HHH5" s="325"/>
      <c r="HHI5" s="325"/>
      <c r="HHJ5" s="325"/>
      <c r="HHK5" s="325"/>
      <c r="HHL5" s="325"/>
      <c r="HHM5" s="325"/>
      <c r="HHN5" s="325"/>
      <c r="HHO5" s="325"/>
      <c r="HHP5" s="325"/>
      <c r="HHQ5" s="325"/>
      <c r="HHR5" s="325"/>
      <c r="HHS5" s="325"/>
      <c r="HHT5" s="325"/>
      <c r="HHU5" s="325"/>
      <c r="HHV5" s="325"/>
      <c r="HHW5" s="325"/>
      <c r="HHX5" s="325"/>
      <c r="HHY5" s="325"/>
      <c r="HHZ5" s="325"/>
      <c r="HIA5" s="325"/>
      <c r="HIB5" s="325"/>
      <c r="HIC5" s="325"/>
      <c r="HID5" s="325"/>
      <c r="HIE5" s="325"/>
      <c r="HIF5" s="325"/>
      <c r="HIG5" s="325"/>
      <c r="HIH5" s="325"/>
      <c r="HII5" s="325"/>
      <c r="HIJ5" s="325"/>
      <c r="HIK5" s="325"/>
      <c r="HIL5" s="325"/>
      <c r="HIM5" s="325"/>
      <c r="HIN5" s="325"/>
      <c r="HIO5" s="325"/>
      <c r="HIP5" s="325"/>
      <c r="HIQ5" s="325"/>
      <c r="HIR5" s="325"/>
      <c r="HIS5" s="325"/>
      <c r="HIT5" s="325"/>
      <c r="HIU5" s="325"/>
      <c r="HIV5" s="325"/>
      <c r="HIW5" s="325"/>
      <c r="HIX5" s="325"/>
      <c r="HIY5" s="325"/>
      <c r="HIZ5" s="325"/>
      <c r="HJA5" s="325"/>
      <c r="HJB5" s="325"/>
      <c r="HJC5" s="325"/>
      <c r="HJD5" s="325"/>
      <c r="HJE5" s="325"/>
      <c r="HJF5" s="325"/>
      <c r="HJG5" s="325"/>
      <c r="HJH5" s="325"/>
      <c r="HJI5" s="325"/>
      <c r="HJJ5" s="325"/>
      <c r="HJK5" s="325"/>
      <c r="HJL5" s="325"/>
      <c r="HJM5" s="325"/>
      <c r="HJN5" s="325"/>
      <c r="HJO5" s="325"/>
      <c r="HJP5" s="325"/>
      <c r="HJQ5" s="325"/>
      <c r="HJR5" s="325"/>
      <c r="HJS5" s="325"/>
      <c r="HJT5" s="325"/>
      <c r="HJU5" s="325"/>
      <c r="HJV5" s="325"/>
      <c r="HJW5" s="325"/>
      <c r="HJX5" s="325"/>
      <c r="HJY5" s="325"/>
      <c r="HJZ5" s="325"/>
      <c r="HKA5" s="325"/>
      <c r="HKB5" s="325"/>
      <c r="HKC5" s="325"/>
      <c r="HKD5" s="325"/>
      <c r="HKE5" s="325"/>
      <c r="HKF5" s="325"/>
      <c r="HKG5" s="325"/>
      <c r="HKH5" s="325"/>
      <c r="HKI5" s="325"/>
      <c r="HKJ5" s="325"/>
      <c r="HKK5" s="325"/>
      <c r="HKL5" s="325"/>
      <c r="HKM5" s="325"/>
      <c r="HKN5" s="325"/>
      <c r="HKO5" s="325"/>
      <c r="HKP5" s="325"/>
      <c r="HKQ5" s="325"/>
      <c r="HKR5" s="325"/>
      <c r="HKS5" s="325"/>
      <c r="HKT5" s="325"/>
      <c r="HKU5" s="325"/>
      <c r="HKV5" s="325"/>
      <c r="HKW5" s="325"/>
      <c r="HKX5" s="325"/>
      <c r="HKY5" s="325"/>
      <c r="HKZ5" s="325"/>
      <c r="HLA5" s="325"/>
      <c r="HLB5" s="325"/>
      <c r="HLC5" s="325"/>
      <c r="HLD5" s="325"/>
      <c r="HLE5" s="325"/>
      <c r="HLF5" s="325"/>
      <c r="HLG5" s="325"/>
      <c r="HLH5" s="325"/>
      <c r="HLI5" s="325"/>
      <c r="HLJ5" s="325"/>
      <c r="HLK5" s="325"/>
      <c r="HLL5" s="325"/>
      <c r="HLM5" s="325"/>
      <c r="HLN5" s="325"/>
      <c r="HLO5" s="325"/>
      <c r="HLP5" s="325"/>
      <c r="HLQ5" s="325"/>
      <c r="HLR5" s="325"/>
      <c r="HLS5" s="325"/>
      <c r="HLT5" s="325"/>
      <c r="HLU5" s="325"/>
      <c r="HLV5" s="325"/>
      <c r="HLW5" s="325"/>
      <c r="HLX5" s="325"/>
      <c r="HLY5" s="325"/>
      <c r="HLZ5" s="325"/>
      <c r="HMA5" s="325"/>
      <c r="HMB5" s="325"/>
      <c r="HMC5" s="325"/>
      <c r="HMD5" s="325"/>
      <c r="HME5" s="325"/>
      <c r="HMF5" s="325"/>
      <c r="HMG5" s="325"/>
      <c r="HMH5" s="325"/>
      <c r="HMI5" s="325"/>
      <c r="HMJ5" s="325"/>
      <c r="HMK5" s="325"/>
      <c r="HML5" s="325"/>
      <c r="HMM5" s="325"/>
      <c r="HMN5" s="325"/>
      <c r="HMO5" s="325"/>
      <c r="HMP5" s="325"/>
      <c r="HMQ5" s="325"/>
      <c r="HMR5" s="325"/>
      <c r="HMS5" s="325"/>
      <c r="HMT5" s="325"/>
      <c r="HMU5" s="325"/>
      <c r="HMV5" s="325"/>
      <c r="HMW5" s="325"/>
      <c r="HMX5" s="325"/>
      <c r="HMY5" s="325"/>
      <c r="HMZ5" s="325"/>
      <c r="HNA5" s="325"/>
      <c r="HNB5" s="325"/>
      <c r="HNC5" s="325"/>
      <c r="HND5" s="325"/>
      <c r="HNE5" s="325"/>
      <c r="HNF5" s="325"/>
      <c r="HNG5" s="325"/>
      <c r="HNH5" s="325"/>
      <c r="HNI5" s="325"/>
      <c r="HNJ5" s="325"/>
      <c r="HNK5" s="325"/>
      <c r="HNL5" s="325"/>
      <c r="HNM5" s="325"/>
      <c r="HNN5" s="325"/>
      <c r="HNO5" s="325"/>
      <c r="HNP5" s="325"/>
      <c r="HNQ5" s="325"/>
      <c r="HNR5" s="325"/>
      <c r="HNS5" s="325"/>
      <c r="HNT5" s="325"/>
      <c r="HNU5" s="325"/>
      <c r="HNV5" s="325"/>
      <c r="HNW5" s="325"/>
      <c r="HNX5" s="325"/>
      <c r="HNY5" s="325"/>
      <c r="HNZ5" s="325"/>
      <c r="HOA5" s="325"/>
      <c r="HOB5" s="325"/>
      <c r="HOC5" s="325"/>
      <c r="HOD5" s="325"/>
      <c r="HOE5" s="325"/>
      <c r="HOF5" s="325"/>
      <c r="HOG5" s="325"/>
      <c r="HOH5" s="325"/>
      <c r="HOI5" s="325"/>
      <c r="HOJ5" s="325"/>
      <c r="HOK5" s="325"/>
      <c r="HOL5" s="325"/>
      <c r="HOM5" s="325"/>
      <c r="HON5" s="325"/>
      <c r="HOO5" s="325"/>
      <c r="HOP5" s="325"/>
      <c r="HOQ5" s="325"/>
      <c r="HOR5" s="325"/>
      <c r="HOS5" s="325"/>
      <c r="HOT5" s="325"/>
      <c r="HOU5" s="325"/>
      <c r="HOV5" s="325"/>
      <c r="HOW5" s="325"/>
      <c r="HOX5" s="325"/>
      <c r="HOY5" s="325"/>
      <c r="HOZ5" s="325"/>
      <c r="HPA5" s="325"/>
      <c r="HPB5" s="325"/>
      <c r="HPC5" s="325"/>
      <c r="HPD5" s="325"/>
      <c r="HPE5" s="325"/>
      <c r="HPF5" s="325"/>
      <c r="HPG5" s="325"/>
      <c r="HPH5" s="325"/>
      <c r="HPI5" s="325"/>
      <c r="HPJ5" s="325"/>
      <c r="HPK5" s="325"/>
      <c r="HPL5" s="325"/>
      <c r="HPM5" s="325"/>
      <c r="HPN5" s="325"/>
      <c r="HPO5" s="325"/>
      <c r="HPP5" s="325"/>
      <c r="HPQ5" s="325"/>
      <c r="HPR5" s="325"/>
      <c r="HPS5" s="325"/>
      <c r="HPT5" s="325"/>
      <c r="HPU5" s="325"/>
      <c r="HPV5" s="325"/>
      <c r="HPW5" s="325"/>
      <c r="HPX5" s="325"/>
      <c r="HPY5" s="325"/>
      <c r="HPZ5" s="325"/>
      <c r="HQA5" s="325"/>
      <c r="HQB5" s="325"/>
      <c r="HQC5" s="325"/>
      <c r="HQD5" s="325"/>
      <c r="HQE5" s="325"/>
      <c r="HQF5" s="325"/>
      <c r="HQG5" s="325"/>
      <c r="HQH5" s="325"/>
      <c r="HQI5" s="325"/>
      <c r="HQJ5" s="325"/>
      <c r="HQK5" s="325"/>
      <c r="HQL5" s="325"/>
      <c r="HQM5" s="325"/>
      <c r="HQN5" s="325"/>
      <c r="HQO5" s="325"/>
      <c r="HQP5" s="325"/>
      <c r="HQQ5" s="325"/>
      <c r="HQR5" s="325"/>
      <c r="HQS5" s="325"/>
      <c r="HQT5" s="325"/>
      <c r="HQU5" s="325"/>
      <c r="HQV5" s="325"/>
      <c r="HQW5" s="325"/>
      <c r="HQX5" s="325"/>
      <c r="HQY5" s="325"/>
      <c r="HQZ5" s="325"/>
      <c r="HRA5" s="325"/>
      <c r="HRB5" s="325"/>
      <c r="HRC5" s="325"/>
      <c r="HRD5" s="325"/>
      <c r="HRE5" s="325"/>
      <c r="HRF5" s="325"/>
      <c r="HRG5" s="325"/>
      <c r="HRH5" s="325"/>
      <c r="HRI5" s="325"/>
      <c r="HRJ5" s="325"/>
      <c r="HRK5" s="325"/>
      <c r="HRL5" s="325"/>
      <c r="HRM5" s="325"/>
      <c r="HRN5" s="325"/>
      <c r="HRO5" s="325"/>
      <c r="HRP5" s="325"/>
      <c r="HRQ5" s="325"/>
      <c r="HRR5" s="325"/>
      <c r="HRS5" s="325"/>
      <c r="HRT5" s="325"/>
      <c r="HRU5" s="325"/>
      <c r="HRV5" s="325"/>
      <c r="HRW5" s="325"/>
      <c r="HRX5" s="325"/>
      <c r="HRY5" s="325"/>
      <c r="HRZ5" s="325"/>
      <c r="HSA5" s="325"/>
      <c r="HSB5" s="325"/>
      <c r="HSC5" s="325"/>
      <c r="HSD5" s="325"/>
      <c r="HSE5" s="325"/>
      <c r="HSF5" s="325"/>
      <c r="HSG5" s="325"/>
      <c r="HSH5" s="325"/>
      <c r="HSI5" s="325"/>
      <c r="HSJ5" s="325"/>
      <c r="HSK5" s="325"/>
      <c r="HSL5" s="325"/>
      <c r="HSM5" s="325"/>
      <c r="HSN5" s="325"/>
      <c r="HSO5" s="325"/>
      <c r="HSP5" s="325"/>
      <c r="HSQ5" s="325"/>
      <c r="HSR5" s="325"/>
      <c r="HSS5" s="325"/>
      <c r="HST5" s="325"/>
      <c r="HSU5" s="325"/>
      <c r="HSV5" s="325"/>
      <c r="HSW5" s="325"/>
      <c r="HSX5" s="325"/>
      <c r="HSY5" s="325"/>
      <c r="HSZ5" s="325"/>
      <c r="HTA5" s="325"/>
      <c r="HTB5" s="325"/>
      <c r="HTC5" s="325"/>
      <c r="HTD5" s="325"/>
      <c r="HTE5" s="325"/>
      <c r="HTF5" s="325"/>
      <c r="HTG5" s="325"/>
      <c r="HTH5" s="325"/>
      <c r="HTI5" s="325"/>
      <c r="HTJ5" s="325"/>
      <c r="HTK5" s="325"/>
      <c r="HTL5" s="325"/>
      <c r="HTM5" s="325"/>
      <c r="HTN5" s="325"/>
      <c r="HTO5" s="325"/>
      <c r="HTP5" s="325"/>
      <c r="HTQ5" s="325"/>
      <c r="HTR5" s="325"/>
      <c r="HTS5" s="325"/>
      <c r="HTT5" s="325"/>
      <c r="HTU5" s="325"/>
      <c r="HTV5" s="325"/>
      <c r="HTW5" s="325"/>
      <c r="HTX5" s="325"/>
      <c r="HTY5" s="325"/>
      <c r="HTZ5" s="325"/>
      <c r="HUA5" s="325"/>
      <c r="HUB5" s="325"/>
      <c r="HUC5" s="325"/>
      <c r="HUD5" s="325"/>
      <c r="HUE5" s="325"/>
      <c r="HUF5" s="325"/>
      <c r="HUG5" s="325"/>
      <c r="HUH5" s="325"/>
      <c r="HUI5" s="325"/>
      <c r="HUJ5" s="325"/>
      <c r="HUK5" s="325"/>
      <c r="HUL5" s="325"/>
      <c r="HUM5" s="325"/>
      <c r="HUN5" s="325"/>
      <c r="HUO5" s="325"/>
      <c r="HUP5" s="325"/>
      <c r="HUQ5" s="325"/>
      <c r="HUR5" s="325"/>
      <c r="HUS5" s="325"/>
      <c r="HUT5" s="325"/>
      <c r="HUU5" s="325"/>
      <c r="HUV5" s="325"/>
      <c r="HUW5" s="325"/>
      <c r="HUX5" s="325"/>
      <c r="HUY5" s="325"/>
      <c r="HUZ5" s="325"/>
      <c r="HVA5" s="325"/>
      <c r="HVB5" s="325"/>
      <c r="HVC5" s="325"/>
      <c r="HVD5" s="325"/>
      <c r="HVE5" s="325"/>
      <c r="HVF5" s="325"/>
      <c r="HVG5" s="325"/>
      <c r="HVH5" s="325"/>
      <c r="HVI5" s="325"/>
      <c r="HVJ5" s="325"/>
      <c r="HVK5" s="325"/>
      <c r="HVL5" s="325"/>
      <c r="HVM5" s="325"/>
      <c r="HVN5" s="325"/>
      <c r="HVO5" s="325"/>
      <c r="HVP5" s="325"/>
      <c r="HVQ5" s="325"/>
      <c r="HVR5" s="325"/>
      <c r="HVS5" s="325"/>
      <c r="HVT5" s="325"/>
      <c r="HVU5" s="325"/>
      <c r="HVV5" s="325"/>
      <c r="HVW5" s="325"/>
      <c r="HVX5" s="325"/>
      <c r="HVY5" s="325"/>
      <c r="HVZ5" s="325"/>
      <c r="HWA5" s="325"/>
      <c r="HWB5" s="325"/>
      <c r="HWC5" s="325"/>
      <c r="HWD5" s="325"/>
      <c r="HWE5" s="325"/>
      <c r="HWF5" s="325"/>
      <c r="HWG5" s="325"/>
      <c r="HWH5" s="325"/>
      <c r="HWI5" s="325"/>
      <c r="HWJ5" s="325"/>
      <c r="HWK5" s="325"/>
      <c r="HWL5" s="325"/>
      <c r="HWM5" s="325"/>
      <c r="HWN5" s="325"/>
      <c r="HWO5" s="325"/>
      <c r="HWP5" s="325"/>
      <c r="HWQ5" s="325"/>
      <c r="HWR5" s="325"/>
      <c r="HWS5" s="325"/>
      <c r="HWT5" s="325"/>
      <c r="HWU5" s="325"/>
      <c r="HWV5" s="325"/>
      <c r="HWW5" s="325"/>
      <c r="HWX5" s="325"/>
      <c r="HWY5" s="325"/>
      <c r="HWZ5" s="325"/>
      <c r="HXA5" s="325"/>
      <c r="HXB5" s="325"/>
      <c r="HXC5" s="325"/>
      <c r="HXD5" s="325"/>
      <c r="HXE5" s="325"/>
      <c r="HXF5" s="325"/>
      <c r="HXG5" s="325"/>
      <c r="HXH5" s="325"/>
      <c r="HXI5" s="325"/>
      <c r="HXJ5" s="325"/>
      <c r="HXK5" s="325"/>
      <c r="HXL5" s="325"/>
      <c r="HXM5" s="325"/>
      <c r="HXN5" s="325"/>
      <c r="HXO5" s="325"/>
      <c r="HXP5" s="325"/>
      <c r="HXQ5" s="325"/>
      <c r="HXR5" s="325"/>
      <c r="HXS5" s="325"/>
      <c r="HXT5" s="325"/>
      <c r="HXU5" s="325"/>
      <c r="HXV5" s="325"/>
      <c r="HXW5" s="325"/>
      <c r="HXX5" s="325"/>
      <c r="HXY5" s="325"/>
      <c r="HXZ5" s="325"/>
      <c r="HYA5" s="325"/>
      <c r="HYB5" s="325"/>
      <c r="HYC5" s="325"/>
      <c r="HYD5" s="325"/>
      <c r="HYE5" s="325"/>
      <c r="HYF5" s="325"/>
      <c r="HYG5" s="325"/>
      <c r="HYH5" s="325"/>
      <c r="HYI5" s="325"/>
      <c r="HYJ5" s="325"/>
      <c r="HYK5" s="325"/>
      <c r="HYL5" s="325"/>
      <c r="HYM5" s="325"/>
      <c r="HYN5" s="325"/>
      <c r="HYO5" s="325"/>
      <c r="HYP5" s="325"/>
      <c r="HYQ5" s="325"/>
      <c r="HYR5" s="325"/>
      <c r="HYS5" s="325"/>
      <c r="HYT5" s="325"/>
      <c r="HYU5" s="325"/>
      <c r="HYV5" s="325"/>
      <c r="HYW5" s="325"/>
      <c r="HYX5" s="325"/>
      <c r="HYY5" s="325"/>
      <c r="HYZ5" s="325"/>
      <c r="HZA5" s="325"/>
      <c r="HZB5" s="325"/>
      <c r="HZC5" s="325"/>
      <c r="HZD5" s="325"/>
      <c r="HZE5" s="325"/>
      <c r="HZF5" s="325"/>
      <c r="HZG5" s="325"/>
      <c r="HZH5" s="325"/>
      <c r="HZI5" s="325"/>
      <c r="HZJ5" s="325"/>
      <c r="HZK5" s="325"/>
      <c r="HZL5" s="325"/>
      <c r="HZM5" s="325"/>
      <c r="HZN5" s="325"/>
      <c r="HZO5" s="325"/>
      <c r="HZP5" s="325"/>
      <c r="HZQ5" s="325"/>
      <c r="HZR5" s="325"/>
      <c r="HZS5" s="325"/>
      <c r="HZT5" s="325"/>
      <c r="HZU5" s="325"/>
      <c r="HZV5" s="325"/>
      <c r="HZW5" s="325"/>
      <c r="HZX5" s="325"/>
      <c r="HZY5" s="325"/>
      <c r="HZZ5" s="325"/>
      <c r="IAA5" s="325"/>
      <c r="IAB5" s="325"/>
      <c r="IAC5" s="325"/>
      <c r="IAD5" s="325"/>
      <c r="IAE5" s="325"/>
      <c r="IAF5" s="325"/>
      <c r="IAG5" s="325"/>
      <c r="IAH5" s="325"/>
      <c r="IAI5" s="325"/>
      <c r="IAJ5" s="325"/>
      <c r="IAK5" s="325"/>
      <c r="IAL5" s="325"/>
      <c r="IAM5" s="325"/>
      <c r="IAN5" s="325"/>
      <c r="IAO5" s="325"/>
      <c r="IAP5" s="325"/>
      <c r="IAQ5" s="325"/>
      <c r="IAR5" s="325"/>
      <c r="IAS5" s="325"/>
      <c r="IAT5" s="325"/>
      <c r="IAU5" s="325"/>
      <c r="IAV5" s="325"/>
      <c r="IAW5" s="325"/>
      <c r="IAX5" s="325"/>
      <c r="IAY5" s="325"/>
      <c r="IAZ5" s="325"/>
      <c r="IBA5" s="325"/>
      <c r="IBB5" s="325"/>
      <c r="IBC5" s="325"/>
      <c r="IBD5" s="325"/>
      <c r="IBE5" s="325"/>
      <c r="IBF5" s="325"/>
      <c r="IBG5" s="325"/>
      <c r="IBH5" s="325"/>
      <c r="IBI5" s="325"/>
      <c r="IBJ5" s="325"/>
      <c r="IBK5" s="325"/>
      <c r="IBL5" s="325"/>
      <c r="IBM5" s="325"/>
      <c r="IBN5" s="325"/>
      <c r="IBO5" s="325"/>
      <c r="IBP5" s="325"/>
      <c r="IBQ5" s="325"/>
      <c r="IBR5" s="325"/>
      <c r="IBS5" s="325"/>
      <c r="IBT5" s="325"/>
      <c r="IBU5" s="325"/>
      <c r="IBV5" s="325"/>
      <c r="IBW5" s="325"/>
      <c r="IBX5" s="325"/>
      <c r="IBY5" s="325"/>
      <c r="IBZ5" s="325"/>
      <c r="ICA5" s="325"/>
      <c r="ICB5" s="325"/>
      <c r="ICC5" s="325"/>
      <c r="ICD5" s="325"/>
      <c r="ICE5" s="325"/>
      <c r="ICF5" s="325"/>
      <c r="ICG5" s="325"/>
      <c r="ICH5" s="325"/>
      <c r="ICI5" s="325"/>
      <c r="ICJ5" s="325"/>
      <c r="ICK5" s="325"/>
      <c r="ICL5" s="325"/>
      <c r="ICM5" s="325"/>
      <c r="ICN5" s="325"/>
      <c r="ICO5" s="325"/>
      <c r="ICP5" s="325"/>
      <c r="ICQ5" s="325"/>
      <c r="ICR5" s="325"/>
      <c r="ICS5" s="325"/>
      <c r="ICT5" s="325"/>
      <c r="ICU5" s="325"/>
      <c r="ICV5" s="325"/>
      <c r="ICW5" s="325"/>
      <c r="ICX5" s="325"/>
      <c r="ICY5" s="325"/>
      <c r="ICZ5" s="325"/>
      <c r="IDA5" s="325"/>
      <c r="IDB5" s="325"/>
      <c r="IDC5" s="325"/>
      <c r="IDD5" s="325"/>
      <c r="IDE5" s="325"/>
      <c r="IDF5" s="325"/>
      <c r="IDG5" s="325"/>
      <c r="IDH5" s="325"/>
      <c r="IDI5" s="325"/>
      <c r="IDJ5" s="325"/>
      <c r="IDK5" s="325"/>
      <c r="IDL5" s="325"/>
      <c r="IDM5" s="325"/>
      <c r="IDN5" s="325"/>
      <c r="IDO5" s="325"/>
      <c r="IDP5" s="325"/>
      <c r="IDQ5" s="325"/>
      <c r="IDR5" s="325"/>
      <c r="IDS5" s="325"/>
      <c r="IDT5" s="325"/>
      <c r="IDU5" s="325"/>
      <c r="IDV5" s="325"/>
      <c r="IDW5" s="325"/>
      <c r="IDX5" s="325"/>
      <c r="IDY5" s="325"/>
      <c r="IDZ5" s="325"/>
      <c r="IEA5" s="325"/>
      <c r="IEB5" s="325"/>
      <c r="IEC5" s="325"/>
      <c r="IED5" s="325"/>
      <c r="IEE5" s="325"/>
      <c r="IEF5" s="325"/>
      <c r="IEG5" s="325"/>
      <c r="IEH5" s="325"/>
      <c r="IEI5" s="325"/>
      <c r="IEJ5" s="325"/>
      <c r="IEK5" s="325"/>
      <c r="IEL5" s="325"/>
      <c r="IEM5" s="325"/>
      <c r="IEN5" s="325"/>
      <c r="IEO5" s="325"/>
      <c r="IEP5" s="325"/>
      <c r="IEQ5" s="325"/>
      <c r="IER5" s="325"/>
      <c r="IES5" s="325"/>
      <c r="IET5" s="325"/>
      <c r="IEU5" s="325"/>
      <c r="IEV5" s="325"/>
      <c r="IEW5" s="325"/>
      <c r="IEX5" s="325"/>
      <c r="IEY5" s="325"/>
      <c r="IEZ5" s="325"/>
      <c r="IFA5" s="325"/>
      <c r="IFB5" s="325"/>
      <c r="IFC5" s="325"/>
      <c r="IFD5" s="325"/>
      <c r="IFE5" s="325"/>
      <c r="IFF5" s="325"/>
      <c r="IFG5" s="325"/>
      <c r="IFH5" s="325"/>
      <c r="IFI5" s="325"/>
      <c r="IFJ5" s="325"/>
      <c r="IFK5" s="325"/>
      <c r="IFL5" s="325"/>
      <c r="IFM5" s="325"/>
      <c r="IFN5" s="325"/>
      <c r="IFO5" s="325"/>
      <c r="IFP5" s="325"/>
      <c r="IFQ5" s="325"/>
      <c r="IFR5" s="325"/>
      <c r="IFS5" s="325"/>
      <c r="IFT5" s="325"/>
      <c r="IFU5" s="325"/>
      <c r="IFV5" s="325"/>
      <c r="IFW5" s="325"/>
      <c r="IFX5" s="325"/>
      <c r="IFY5" s="325"/>
      <c r="IFZ5" s="325"/>
      <c r="IGA5" s="325"/>
      <c r="IGB5" s="325"/>
      <c r="IGC5" s="325"/>
      <c r="IGD5" s="325"/>
      <c r="IGE5" s="325"/>
      <c r="IGF5" s="325"/>
      <c r="IGG5" s="325"/>
      <c r="IGH5" s="325"/>
      <c r="IGI5" s="325"/>
      <c r="IGJ5" s="325"/>
      <c r="IGK5" s="325"/>
      <c r="IGL5" s="325"/>
      <c r="IGM5" s="325"/>
      <c r="IGN5" s="325"/>
      <c r="IGO5" s="325"/>
      <c r="IGP5" s="325"/>
      <c r="IGQ5" s="325"/>
      <c r="IGR5" s="325"/>
      <c r="IGS5" s="325"/>
      <c r="IGT5" s="325"/>
      <c r="IGU5" s="325"/>
      <c r="IGV5" s="325"/>
      <c r="IGW5" s="325"/>
      <c r="IGX5" s="325"/>
      <c r="IGY5" s="325"/>
      <c r="IGZ5" s="325"/>
      <c r="IHA5" s="325"/>
      <c r="IHB5" s="325"/>
      <c r="IHC5" s="325"/>
      <c r="IHD5" s="325"/>
      <c r="IHE5" s="325"/>
      <c r="IHF5" s="325"/>
      <c r="IHG5" s="325"/>
      <c r="IHH5" s="325"/>
      <c r="IHI5" s="325"/>
      <c r="IHJ5" s="325"/>
      <c r="IHK5" s="325"/>
      <c r="IHL5" s="325"/>
      <c r="IHM5" s="325"/>
      <c r="IHN5" s="325"/>
      <c r="IHO5" s="325"/>
      <c r="IHP5" s="325"/>
      <c r="IHQ5" s="325"/>
      <c r="IHR5" s="325"/>
      <c r="IHS5" s="325"/>
      <c r="IHT5" s="325"/>
      <c r="IHU5" s="325"/>
      <c r="IHV5" s="325"/>
      <c r="IHW5" s="325"/>
      <c r="IHX5" s="325"/>
      <c r="IHY5" s="325"/>
      <c r="IHZ5" s="325"/>
      <c r="IIA5" s="325"/>
      <c r="IIB5" s="325"/>
      <c r="IIC5" s="325"/>
      <c r="IID5" s="325"/>
      <c r="IIE5" s="325"/>
      <c r="IIF5" s="325"/>
      <c r="IIG5" s="325"/>
      <c r="IIH5" s="325"/>
      <c r="III5" s="325"/>
      <c r="IIJ5" s="325"/>
      <c r="IIK5" s="325"/>
      <c r="IIL5" s="325"/>
      <c r="IIM5" s="325"/>
      <c r="IIN5" s="325"/>
      <c r="IIO5" s="325"/>
      <c r="IIP5" s="325"/>
      <c r="IIQ5" s="325"/>
      <c r="IIR5" s="325"/>
      <c r="IIS5" s="325"/>
      <c r="IIT5" s="325"/>
      <c r="IIU5" s="325"/>
      <c r="IIV5" s="325"/>
      <c r="IIW5" s="325"/>
      <c r="IIX5" s="325"/>
      <c r="IIY5" s="325"/>
      <c r="IIZ5" s="325"/>
      <c r="IJA5" s="325"/>
      <c r="IJB5" s="325"/>
      <c r="IJC5" s="325"/>
      <c r="IJD5" s="325"/>
      <c r="IJE5" s="325"/>
      <c r="IJF5" s="325"/>
      <c r="IJG5" s="325"/>
      <c r="IJH5" s="325"/>
      <c r="IJI5" s="325"/>
      <c r="IJJ5" s="325"/>
      <c r="IJK5" s="325"/>
      <c r="IJL5" s="325"/>
      <c r="IJM5" s="325"/>
      <c r="IJN5" s="325"/>
      <c r="IJO5" s="325"/>
      <c r="IJP5" s="325"/>
      <c r="IJQ5" s="325"/>
      <c r="IJR5" s="325"/>
      <c r="IJS5" s="325"/>
      <c r="IJT5" s="325"/>
      <c r="IJU5" s="325"/>
      <c r="IJV5" s="325"/>
      <c r="IJW5" s="325"/>
      <c r="IJX5" s="325"/>
      <c r="IJY5" s="325"/>
      <c r="IJZ5" s="325"/>
      <c r="IKA5" s="325"/>
      <c r="IKB5" s="325"/>
      <c r="IKC5" s="325"/>
      <c r="IKD5" s="325"/>
      <c r="IKE5" s="325"/>
      <c r="IKF5" s="325"/>
      <c r="IKG5" s="325"/>
      <c r="IKH5" s="325"/>
      <c r="IKI5" s="325"/>
      <c r="IKJ5" s="325"/>
      <c r="IKK5" s="325"/>
      <c r="IKL5" s="325"/>
      <c r="IKM5" s="325"/>
      <c r="IKN5" s="325"/>
      <c r="IKO5" s="325"/>
      <c r="IKP5" s="325"/>
      <c r="IKQ5" s="325"/>
      <c r="IKR5" s="325"/>
      <c r="IKS5" s="325"/>
      <c r="IKT5" s="325"/>
      <c r="IKU5" s="325"/>
      <c r="IKV5" s="325"/>
      <c r="IKW5" s="325"/>
      <c r="IKX5" s="325"/>
      <c r="IKY5" s="325"/>
      <c r="IKZ5" s="325"/>
      <c r="ILA5" s="325"/>
      <c r="ILB5" s="325"/>
      <c r="ILC5" s="325"/>
      <c r="ILD5" s="325"/>
      <c r="ILE5" s="325"/>
      <c r="ILF5" s="325"/>
      <c r="ILG5" s="325"/>
      <c r="ILH5" s="325"/>
      <c r="ILI5" s="325"/>
      <c r="ILJ5" s="325"/>
      <c r="ILK5" s="325"/>
      <c r="ILL5" s="325"/>
      <c r="ILM5" s="325"/>
      <c r="ILN5" s="325"/>
      <c r="ILO5" s="325"/>
      <c r="ILP5" s="325"/>
      <c r="ILQ5" s="325"/>
      <c r="ILR5" s="325"/>
      <c r="ILS5" s="325"/>
      <c r="ILT5" s="325"/>
      <c r="ILU5" s="325"/>
      <c r="ILV5" s="325"/>
      <c r="ILW5" s="325"/>
      <c r="ILX5" s="325"/>
      <c r="ILY5" s="325"/>
      <c r="ILZ5" s="325"/>
      <c r="IMA5" s="325"/>
      <c r="IMB5" s="325"/>
      <c r="IMC5" s="325"/>
      <c r="IMD5" s="325"/>
      <c r="IME5" s="325"/>
      <c r="IMF5" s="325"/>
      <c r="IMG5" s="325"/>
      <c r="IMH5" s="325"/>
      <c r="IMI5" s="325"/>
      <c r="IMJ5" s="325"/>
      <c r="IMK5" s="325"/>
      <c r="IML5" s="325"/>
      <c r="IMM5" s="325"/>
      <c r="IMN5" s="325"/>
      <c r="IMO5" s="325"/>
      <c r="IMP5" s="325"/>
      <c r="IMQ5" s="325"/>
      <c r="IMR5" s="325"/>
      <c r="IMS5" s="325"/>
      <c r="IMT5" s="325"/>
      <c r="IMU5" s="325"/>
      <c r="IMV5" s="325"/>
      <c r="IMW5" s="325"/>
      <c r="IMX5" s="325"/>
      <c r="IMY5" s="325"/>
      <c r="IMZ5" s="325"/>
      <c r="INA5" s="325"/>
      <c r="INB5" s="325"/>
      <c r="INC5" s="325"/>
      <c r="IND5" s="325"/>
      <c r="INE5" s="325"/>
      <c r="INF5" s="325"/>
      <c r="ING5" s="325"/>
      <c r="INH5" s="325"/>
      <c r="INI5" s="325"/>
      <c r="INJ5" s="325"/>
      <c r="INK5" s="325"/>
      <c r="INL5" s="325"/>
      <c r="INM5" s="325"/>
      <c r="INN5" s="325"/>
      <c r="INO5" s="325"/>
      <c r="INP5" s="325"/>
      <c r="INQ5" s="325"/>
      <c r="INR5" s="325"/>
      <c r="INS5" s="325"/>
      <c r="INT5" s="325"/>
      <c r="INU5" s="325"/>
      <c r="INV5" s="325"/>
      <c r="INW5" s="325"/>
      <c r="INX5" s="325"/>
      <c r="INY5" s="325"/>
      <c r="INZ5" s="325"/>
      <c r="IOA5" s="325"/>
      <c r="IOB5" s="325"/>
      <c r="IOC5" s="325"/>
      <c r="IOD5" s="325"/>
      <c r="IOE5" s="325"/>
      <c r="IOF5" s="325"/>
      <c r="IOG5" s="325"/>
      <c r="IOH5" s="325"/>
      <c r="IOI5" s="325"/>
      <c r="IOJ5" s="325"/>
      <c r="IOK5" s="325"/>
      <c r="IOL5" s="325"/>
      <c r="IOM5" s="325"/>
      <c r="ION5" s="325"/>
      <c r="IOO5" s="325"/>
      <c r="IOP5" s="325"/>
      <c r="IOQ5" s="325"/>
      <c r="IOR5" s="325"/>
      <c r="IOS5" s="325"/>
      <c r="IOT5" s="325"/>
      <c r="IOU5" s="325"/>
      <c r="IOV5" s="325"/>
      <c r="IOW5" s="325"/>
      <c r="IOX5" s="325"/>
      <c r="IOY5" s="325"/>
      <c r="IOZ5" s="325"/>
      <c r="IPA5" s="325"/>
      <c r="IPB5" s="325"/>
      <c r="IPC5" s="325"/>
      <c r="IPD5" s="325"/>
      <c r="IPE5" s="325"/>
      <c r="IPF5" s="325"/>
      <c r="IPG5" s="325"/>
      <c r="IPH5" s="325"/>
      <c r="IPI5" s="325"/>
      <c r="IPJ5" s="325"/>
      <c r="IPK5" s="325"/>
      <c r="IPL5" s="325"/>
      <c r="IPM5" s="325"/>
      <c r="IPN5" s="325"/>
      <c r="IPO5" s="325"/>
      <c r="IPP5" s="325"/>
      <c r="IPQ5" s="325"/>
      <c r="IPR5" s="325"/>
      <c r="IPS5" s="325"/>
      <c r="IPT5" s="325"/>
      <c r="IPU5" s="325"/>
      <c r="IPV5" s="325"/>
      <c r="IPW5" s="325"/>
      <c r="IPX5" s="325"/>
      <c r="IPY5" s="325"/>
      <c r="IPZ5" s="325"/>
      <c r="IQA5" s="325"/>
      <c r="IQB5" s="325"/>
      <c r="IQC5" s="325"/>
      <c r="IQD5" s="325"/>
      <c r="IQE5" s="325"/>
      <c r="IQF5" s="325"/>
      <c r="IQG5" s="325"/>
      <c r="IQH5" s="325"/>
      <c r="IQI5" s="325"/>
      <c r="IQJ5" s="325"/>
      <c r="IQK5" s="325"/>
      <c r="IQL5" s="325"/>
      <c r="IQM5" s="325"/>
      <c r="IQN5" s="325"/>
      <c r="IQO5" s="325"/>
      <c r="IQP5" s="325"/>
      <c r="IQQ5" s="325"/>
      <c r="IQR5" s="325"/>
      <c r="IQS5" s="325"/>
      <c r="IQT5" s="325"/>
      <c r="IQU5" s="325"/>
      <c r="IQV5" s="325"/>
      <c r="IQW5" s="325"/>
      <c r="IQX5" s="325"/>
      <c r="IQY5" s="325"/>
      <c r="IQZ5" s="325"/>
      <c r="IRA5" s="325"/>
      <c r="IRB5" s="325"/>
      <c r="IRC5" s="325"/>
      <c r="IRD5" s="325"/>
      <c r="IRE5" s="325"/>
      <c r="IRF5" s="325"/>
      <c r="IRG5" s="325"/>
      <c r="IRH5" s="325"/>
      <c r="IRI5" s="325"/>
      <c r="IRJ5" s="325"/>
      <c r="IRK5" s="325"/>
      <c r="IRL5" s="325"/>
      <c r="IRM5" s="325"/>
      <c r="IRN5" s="325"/>
      <c r="IRO5" s="325"/>
      <c r="IRP5" s="325"/>
      <c r="IRQ5" s="325"/>
      <c r="IRR5" s="325"/>
      <c r="IRS5" s="325"/>
      <c r="IRT5" s="325"/>
      <c r="IRU5" s="325"/>
      <c r="IRV5" s="325"/>
      <c r="IRW5" s="325"/>
      <c r="IRX5" s="325"/>
      <c r="IRY5" s="325"/>
      <c r="IRZ5" s="325"/>
      <c r="ISA5" s="325"/>
      <c r="ISB5" s="325"/>
      <c r="ISC5" s="325"/>
      <c r="ISD5" s="325"/>
      <c r="ISE5" s="325"/>
      <c r="ISF5" s="325"/>
      <c r="ISG5" s="325"/>
      <c r="ISH5" s="325"/>
      <c r="ISI5" s="325"/>
      <c r="ISJ5" s="325"/>
      <c r="ISK5" s="325"/>
      <c r="ISL5" s="325"/>
      <c r="ISM5" s="325"/>
      <c r="ISN5" s="325"/>
      <c r="ISO5" s="325"/>
      <c r="ISP5" s="325"/>
      <c r="ISQ5" s="325"/>
      <c r="ISR5" s="325"/>
      <c r="ISS5" s="325"/>
      <c r="IST5" s="325"/>
      <c r="ISU5" s="325"/>
      <c r="ISV5" s="325"/>
      <c r="ISW5" s="325"/>
      <c r="ISX5" s="325"/>
      <c r="ISY5" s="325"/>
      <c r="ISZ5" s="325"/>
      <c r="ITA5" s="325"/>
      <c r="ITB5" s="325"/>
      <c r="ITC5" s="325"/>
      <c r="ITD5" s="325"/>
      <c r="ITE5" s="325"/>
      <c r="ITF5" s="325"/>
      <c r="ITG5" s="325"/>
      <c r="ITH5" s="325"/>
      <c r="ITI5" s="325"/>
      <c r="ITJ5" s="325"/>
      <c r="ITK5" s="325"/>
      <c r="ITL5" s="325"/>
      <c r="ITM5" s="325"/>
      <c r="ITN5" s="325"/>
      <c r="ITO5" s="325"/>
      <c r="ITP5" s="325"/>
      <c r="ITQ5" s="325"/>
      <c r="ITR5" s="325"/>
      <c r="ITS5" s="325"/>
      <c r="ITT5" s="325"/>
      <c r="ITU5" s="325"/>
      <c r="ITV5" s="325"/>
      <c r="ITW5" s="325"/>
      <c r="ITX5" s="325"/>
      <c r="ITY5" s="325"/>
      <c r="ITZ5" s="325"/>
      <c r="IUA5" s="325"/>
      <c r="IUB5" s="325"/>
      <c r="IUC5" s="325"/>
      <c r="IUD5" s="325"/>
      <c r="IUE5" s="325"/>
      <c r="IUF5" s="325"/>
      <c r="IUG5" s="325"/>
      <c r="IUH5" s="325"/>
      <c r="IUI5" s="325"/>
      <c r="IUJ5" s="325"/>
      <c r="IUK5" s="325"/>
      <c r="IUL5" s="325"/>
      <c r="IUM5" s="325"/>
      <c r="IUN5" s="325"/>
      <c r="IUO5" s="325"/>
      <c r="IUP5" s="325"/>
      <c r="IUQ5" s="325"/>
      <c r="IUR5" s="325"/>
      <c r="IUS5" s="325"/>
      <c r="IUT5" s="325"/>
      <c r="IUU5" s="325"/>
      <c r="IUV5" s="325"/>
      <c r="IUW5" s="325"/>
      <c r="IUX5" s="325"/>
      <c r="IUY5" s="325"/>
      <c r="IUZ5" s="325"/>
      <c r="IVA5" s="325"/>
      <c r="IVB5" s="325"/>
      <c r="IVC5" s="325"/>
      <c r="IVD5" s="325"/>
      <c r="IVE5" s="325"/>
      <c r="IVF5" s="325"/>
      <c r="IVG5" s="325"/>
      <c r="IVH5" s="325"/>
      <c r="IVI5" s="325"/>
      <c r="IVJ5" s="325"/>
      <c r="IVK5" s="325"/>
      <c r="IVL5" s="325"/>
      <c r="IVM5" s="325"/>
      <c r="IVN5" s="325"/>
      <c r="IVO5" s="325"/>
      <c r="IVP5" s="325"/>
      <c r="IVQ5" s="325"/>
      <c r="IVR5" s="325"/>
      <c r="IVS5" s="325"/>
      <c r="IVT5" s="325"/>
      <c r="IVU5" s="325"/>
      <c r="IVV5" s="325"/>
      <c r="IVW5" s="325"/>
      <c r="IVX5" s="325"/>
      <c r="IVY5" s="325"/>
      <c r="IVZ5" s="325"/>
      <c r="IWA5" s="325"/>
      <c r="IWB5" s="325"/>
      <c r="IWC5" s="325"/>
      <c r="IWD5" s="325"/>
      <c r="IWE5" s="325"/>
      <c r="IWF5" s="325"/>
      <c r="IWG5" s="325"/>
      <c r="IWH5" s="325"/>
      <c r="IWI5" s="325"/>
      <c r="IWJ5" s="325"/>
      <c r="IWK5" s="325"/>
      <c r="IWL5" s="325"/>
      <c r="IWM5" s="325"/>
      <c r="IWN5" s="325"/>
      <c r="IWO5" s="325"/>
      <c r="IWP5" s="325"/>
      <c r="IWQ5" s="325"/>
      <c r="IWR5" s="325"/>
      <c r="IWS5" s="325"/>
      <c r="IWT5" s="325"/>
      <c r="IWU5" s="325"/>
      <c r="IWV5" s="325"/>
      <c r="IWW5" s="325"/>
      <c r="IWX5" s="325"/>
      <c r="IWY5" s="325"/>
      <c r="IWZ5" s="325"/>
      <c r="IXA5" s="325"/>
      <c r="IXB5" s="325"/>
      <c r="IXC5" s="325"/>
      <c r="IXD5" s="325"/>
      <c r="IXE5" s="325"/>
      <c r="IXF5" s="325"/>
      <c r="IXG5" s="325"/>
      <c r="IXH5" s="325"/>
      <c r="IXI5" s="325"/>
      <c r="IXJ5" s="325"/>
      <c r="IXK5" s="325"/>
      <c r="IXL5" s="325"/>
      <c r="IXM5" s="325"/>
      <c r="IXN5" s="325"/>
      <c r="IXO5" s="325"/>
      <c r="IXP5" s="325"/>
      <c r="IXQ5" s="325"/>
      <c r="IXR5" s="325"/>
      <c r="IXS5" s="325"/>
      <c r="IXT5" s="325"/>
      <c r="IXU5" s="325"/>
      <c r="IXV5" s="325"/>
      <c r="IXW5" s="325"/>
      <c r="IXX5" s="325"/>
      <c r="IXY5" s="325"/>
      <c r="IXZ5" s="325"/>
      <c r="IYA5" s="325"/>
      <c r="IYB5" s="325"/>
      <c r="IYC5" s="325"/>
      <c r="IYD5" s="325"/>
      <c r="IYE5" s="325"/>
      <c r="IYF5" s="325"/>
      <c r="IYG5" s="325"/>
      <c r="IYH5" s="325"/>
      <c r="IYI5" s="325"/>
      <c r="IYJ5" s="325"/>
      <c r="IYK5" s="325"/>
      <c r="IYL5" s="325"/>
      <c r="IYM5" s="325"/>
      <c r="IYN5" s="325"/>
      <c r="IYO5" s="325"/>
      <c r="IYP5" s="325"/>
      <c r="IYQ5" s="325"/>
      <c r="IYR5" s="325"/>
      <c r="IYS5" s="325"/>
      <c r="IYT5" s="325"/>
      <c r="IYU5" s="325"/>
      <c r="IYV5" s="325"/>
      <c r="IYW5" s="325"/>
      <c r="IYX5" s="325"/>
      <c r="IYY5" s="325"/>
      <c r="IYZ5" s="325"/>
      <c r="IZA5" s="325"/>
      <c r="IZB5" s="325"/>
      <c r="IZC5" s="325"/>
      <c r="IZD5" s="325"/>
      <c r="IZE5" s="325"/>
      <c r="IZF5" s="325"/>
      <c r="IZG5" s="325"/>
      <c r="IZH5" s="325"/>
      <c r="IZI5" s="325"/>
      <c r="IZJ5" s="325"/>
      <c r="IZK5" s="325"/>
      <c r="IZL5" s="325"/>
      <c r="IZM5" s="325"/>
      <c r="IZN5" s="325"/>
      <c r="IZO5" s="325"/>
      <c r="IZP5" s="325"/>
      <c r="IZQ5" s="325"/>
      <c r="IZR5" s="325"/>
      <c r="IZS5" s="325"/>
      <c r="IZT5" s="325"/>
      <c r="IZU5" s="325"/>
      <c r="IZV5" s="325"/>
      <c r="IZW5" s="325"/>
      <c r="IZX5" s="325"/>
      <c r="IZY5" s="325"/>
      <c r="IZZ5" s="325"/>
      <c r="JAA5" s="325"/>
      <c r="JAB5" s="325"/>
      <c r="JAC5" s="325"/>
      <c r="JAD5" s="325"/>
      <c r="JAE5" s="325"/>
      <c r="JAF5" s="325"/>
      <c r="JAG5" s="325"/>
      <c r="JAH5" s="325"/>
      <c r="JAI5" s="325"/>
      <c r="JAJ5" s="325"/>
      <c r="JAK5" s="325"/>
      <c r="JAL5" s="325"/>
      <c r="JAM5" s="325"/>
      <c r="JAN5" s="325"/>
      <c r="JAO5" s="325"/>
      <c r="JAP5" s="325"/>
      <c r="JAQ5" s="325"/>
      <c r="JAR5" s="325"/>
      <c r="JAS5" s="325"/>
      <c r="JAT5" s="325"/>
      <c r="JAU5" s="325"/>
      <c r="JAV5" s="325"/>
      <c r="JAW5" s="325"/>
      <c r="JAX5" s="325"/>
      <c r="JAY5" s="325"/>
      <c r="JAZ5" s="325"/>
      <c r="JBA5" s="325"/>
      <c r="JBB5" s="325"/>
      <c r="JBC5" s="325"/>
      <c r="JBD5" s="325"/>
      <c r="JBE5" s="325"/>
      <c r="JBF5" s="325"/>
      <c r="JBG5" s="325"/>
      <c r="JBH5" s="325"/>
      <c r="JBI5" s="325"/>
      <c r="JBJ5" s="325"/>
      <c r="JBK5" s="325"/>
      <c r="JBL5" s="325"/>
      <c r="JBM5" s="325"/>
      <c r="JBN5" s="325"/>
      <c r="JBO5" s="325"/>
      <c r="JBP5" s="325"/>
      <c r="JBQ5" s="325"/>
      <c r="JBR5" s="325"/>
      <c r="JBS5" s="325"/>
      <c r="JBT5" s="325"/>
      <c r="JBU5" s="325"/>
      <c r="JBV5" s="325"/>
      <c r="JBW5" s="325"/>
      <c r="JBX5" s="325"/>
      <c r="JBY5" s="325"/>
      <c r="JBZ5" s="325"/>
      <c r="JCA5" s="325"/>
      <c r="JCB5" s="325"/>
      <c r="JCC5" s="325"/>
      <c r="JCD5" s="325"/>
      <c r="JCE5" s="325"/>
      <c r="JCF5" s="325"/>
      <c r="JCG5" s="325"/>
      <c r="JCH5" s="325"/>
      <c r="JCI5" s="325"/>
      <c r="JCJ5" s="325"/>
      <c r="JCK5" s="325"/>
      <c r="JCL5" s="325"/>
      <c r="JCM5" s="325"/>
      <c r="JCN5" s="325"/>
      <c r="JCO5" s="325"/>
      <c r="JCP5" s="325"/>
      <c r="JCQ5" s="325"/>
      <c r="JCR5" s="325"/>
      <c r="JCS5" s="325"/>
      <c r="JCT5" s="325"/>
      <c r="JCU5" s="325"/>
      <c r="JCV5" s="325"/>
      <c r="JCW5" s="325"/>
      <c r="JCX5" s="325"/>
      <c r="JCY5" s="325"/>
      <c r="JCZ5" s="325"/>
      <c r="JDA5" s="325"/>
      <c r="JDB5" s="325"/>
      <c r="JDC5" s="325"/>
      <c r="JDD5" s="325"/>
      <c r="JDE5" s="325"/>
      <c r="JDF5" s="325"/>
      <c r="JDG5" s="325"/>
      <c r="JDH5" s="325"/>
      <c r="JDI5" s="325"/>
      <c r="JDJ5" s="325"/>
      <c r="JDK5" s="325"/>
      <c r="JDL5" s="325"/>
      <c r="JDM5" s="325"/>
      <c r="JDN5" s="325"/>
      <c r="JDO5" s="325"/>
      <c r="JDP5" s="325"/>
      <c r="JDQ5" s="325"/>
      <c r="JDR5" s="325"/>
      <c r="JDS5" s="325"/>
      <c r="JDT5" s="325"/>
      <c r="JDU5" s="325"/>
      <c r="JDV5" s="325"/>
      <c r="JDW5" s="325"/>
      <c r="JDX5" s="325"/>
      <c r="JDY5" s="325"/>
      <c r="JDZ5" s="325"/>
      <c r="JEA5" s="325"/>
      <c r="JEB5" s="325"/>
      <c r="JEC5" s="325"/>
      <c r="JED5" s="325"/>
      <c r="JEE5" s="325"/>
      <c r="JEF5" s="325"/>
      <c r="JEG5" s="325"/>
      <c r="JEH5" s="325"/>
      <c r="JEI5" s="325"/>
      <c r="JEJ5" s="325"/>
      <c r="JEK5" s="325"/>
      <c r="JEL5" s="325"/>
      <c r="JEM5" s="325"/>
      <c r="JEN5" s="325"/>
      <c r="JEO5" s="325"/>
      <c r="JEP5" s="325"/>
      <c r="JEQ5" s="325"/>
      <c r="JER5" s="325"/>
      <c r="JES5" s="325"/>
      <c r="JET5" s="325"/>
      <c r="JEU5" s="325"/>
      <c r="JEV5" s="325"/>
      <c r="JEW5" s="325"/>
      <c r="JEX5" s="325"/>
      <c r="JEY5" s="325"/>
      <c r="JEZ5" s="325"/>
      <c r="JFA5" s="325"/>
      <c r="JFB5" s="325"/>
      <c r="JFC5" s="325"/>
      <c r="JFD5" s="325"/>
      <c r="JFE5" s="325"/>
      <c r="JFF5" s="325"/>
      <c r="JFG5" s="325"/>
      <c r="JFH5" s="325"/>
      <c r="JFI5" s="325"/>
      <c r="JFJ5" s="325"/>
      <c r="JFK5" s="325"/>
      <c r="JFL5" s="325"/>
      <c r="JFM5" s="325"/>
      <c r="JFN5" s="325"/>
      <c r="JFO5" s="325"/>
      <c r="JFP5" s="325"/>
      <c r="JFQ5" s="325"/>
      <c r="JFR5" s="325"/>
      <c r="JFS5" s="325"/>
      <c r="JFT5" s="325"/>
      <c r="JFU5" s="325"/>
      <c r="JFV5" s="325"/>
      <c r="JFW5" s="325"/>
      <c r="JFX5" s="325"/>
      <c r="JFY5" s="325"/>
      <c r="JFZ5" s="325"/>
      <c r="JGA5" s="325"/>
      <c r="JGB5" s="325"/>
      <c r="JGC5" s="325"/>
      <c r="JGD5" s="325"/>
      <c r="JGE5" s="325"/>
      <c r="JGF5" s="325"/>
      <c r="JGG5" s="325"/>
      <c r="JGH5" s="325"/>
      <c r="JGI5" s="325"/>
      <c r="JGJ5" s="325"/>
      <c r="JGK5" s="325"/>
      <c r="JGL5" s="325"/>
      <c r="JGM5" s="325"/>
      <c r="JGN5" s="325"/>
      <c r="JGO5" s="325"/>
      <c r="JGP5" s="325"/>
      <c r="JGQ5" s="325"/>
      <c r="JGR5" s="325"/>
      <c r="JGS5" s="325"/>
      <c r="JGT5" s="325"/>
      <c r="JGU5" s="325"/>
      <c r="JGV5" s="325"/>
      <c r="JGW5" s="325"/>
      <c r="JGX5" s="325"/>
      <c r="JGY5" s="325"/>
      <c r="JGZ5" s="325"/>
      <c r="JHA5" s="325"/>
      <c r="JHB5" s="325"/>
      <c r="JHC5" s="325"/>
      <c r="JHD5" s="325"/>
      <c r="JHE5" s="325"/>
      <c r="JHF5" s="325"/>
      <c r="JHG5" s="325"/>
      <c r="JHH5" s="325"/>
      <c r="JHI5" s="325"/>
      <c r="JHJ5" s="325"/>
      <c r="JHK5" s="325"/>
      <c r="JHL5" s="325"/>
      <c r="JHM5" s="325"/>
      <c r="JHN5" s="325"/>
      <c r="JHO5" s="325"/>
      <c r="JHP5" s="325"/>
      <c r="JHQ5" s="325"/>
      <c r="JHR5" s="325"/>
      <c r="JHS5" s="325"/>
      <c r="JHT5" s="325"/>
      <c r="JHU5" s="325"/>
      <c r="JHV5" s="325"/>
      <c r="JHW5" s="325"/>
      <c r="JHX5" s="325"/>
      <c r="JHY5" s="325"/>
      <c r="JHZ5" s="325"/>
      <c r="JIA5" s="325"/>
      <c r="JIB5" s="325"/>
      <c r="JIC5" s="325"/>
      <c r="JID5" s="325"/>
      <c r="JIE5" s="325"/>
      <c r="JIF5" s="325"/>
      <c r="JIG5" s="325"/>
      <c r="JIH5" s="325"/>
      <c r="JII5" s="325"/>
      <c r="JIJ5" s="325"/>
      <c r="JIK5" s="325"/>
      <c r="JIL5" s="325"/>
      <c r="JIM5" s="325"/>
      <c r="JIN5" s="325"/>
      <c r="JIO5" s="325"/>
      <c r="JIP5" s="325"/>
      <c r="JIQ5" s="325"/>
      <c r="JIR5" s="325"/>
      <c r="JIS5" s="325"/>
      <c r="JIT5" s="325"/>
      <c r="JIU5" s="325"/>
      <c r="JIV5" s="325"/>
      <c r="JIW5" s="325"/>
      <c r="JIX5" s="325"/>
      <c r="JIY5" s="325"/>
      <c r="JIZ5" s="325"/>
      <c r="JJA5" s="325"/>
      <c r="JJB5" s="325"/>
      <c r="JJC5" s="325"/>
      <c r="JJD5" s="325"/>
      <c r="JJE5" s="325"/>
      <c r="JJF5" s="325"/>
      <c r="JJG5" s="325"/>
      <c r="JJH5" s="325"/>
      <c r="JJI5" s="325"/>
      <c r="JJJ5" s="325"/>
      <c r="JJK5" s="325"/>
      <c r="JJL5" s="325"/>
      <c r="JJM5" s="325"/>
      <c r="JJN5" s="325"/>
      <c r="JJO5" s="325"/>
      <c r="JJP5" s="325"/>
      <c r="JJQ5" s="325"/>
      <c r="JJR5" s="325"/>
      <c r="JJS5" s="325"/>
      <c r="JJT5" s="325"/>
      <c r="JJU5" s="325"/>
      <c r="JJV5" s="325"/>
      <c r="JJW5" s="325"/>
      <c r="JJX5" s="325"/>
      <c r="JJY5" s="325"/>
      <c r="JJZ5" s="325"/>
      <c r="JKA5" s="325"/>
      <c r="JKB5" s="325"/>
      <c r="JKC5" s="325"/>
      <c r="JKD5" s="325"/>
      <c r="JKE5" s="325"/>
      <c r="JKF5" s="325"/>
      <c r="JKG5" s="325"/>
      <c r="JKH5" s="325"/>
      <c r="JKI5" s="325"/>
      <c r="JKJ5" s="325"/>
      <c r="JKK5" s="325"/>
      <c r="JKL5" s="325"/>
      <c r="JKM5" s="325"/>
      <c r="JKN5" s="325"/>
      <c r="JKO5" s="325"/>
      <c r="JKP5" s="325"/>
      <c r="JKQ5" s="325"/>
      <c r="JKR5" s="325"/>
      <c r="JKS5" s="325"/>
      <c r="JKT5" s="325"/>
      <c r="JKU5" s="325"/>
      <c r="JKV5" s="325"/>
      <c r="JKW5" s="325"/>
      <c r="JKX5" s="325"/>
      <c r="JKY5" s="325"/>
      <c r="JKZ5" s="325"/>
      <c r="JLA5" s="325"/>
      <c r="JLB5" s="325"/>
      <c r="JLC5" s="325"/>
      <c r="JLD5" s="325"/>
      <c r="JLE5" s="325"/>
      <c r="JLF5" s="325"/>
      <c r="JLG5" s="325"/>
      <c r="JLH5" s="325"/>
      <c r="JLI5" s="325"/>
      <c r="JLJ5" s="325"/>
      <c r="JLK5" s="325"/>
      <c r="JLL5" s="325"/>
      <c r="JLM5" s="325"/>
      <c r="JLN5" s="325"/>
      <c r="JLO5" s="325"/>
      <c r="JLP5" s="325"/>
      <c r="JLQ5" s="325"/>
      <c r="JLR5" s="325"/>
      <c r="JLS5" s="325"/>
      <c r="JLT5" s="325"/>
      <c r="JLU5" s="325"/>
      <c r="JLV5" s="325"/>
      <c r="JLW5" s="325"/>
      <c r="JLX5" s="325"/>
      <c r="JLY5" s="325"/>
      <c r="JLZ5" s="325"/>
      <c r="JMA5" s="325"/>
      <c r="JMB5" s="325"/>
      <c r="JMC5" s="325"/>
      <c r="JMD5" s="325"/>
      <c r="JME5" s="325"/>
      <c r="JMF5" s="325"/>
      <c r="JMG5" s="325"/>
      <c r="JMH5" s="325"/>
      <c r="JMI5" s="325"/>
      <c r="JMJ5" s="325"/>
      <c r="JMK5" s="325"/>
      <c r="JML5" s="325"/>
      <c r="JMM5" s="325"/>
      <c r="JMN5" s="325"/>
      <c r="JMO5" s="325"/>
      <c r="JMP5" s="325"/>
      <c r="JMQ5" s="325"/>
      <c r="JMR5" s="325"/>
      <c r="JMS5" s="325"/>
      <c r="JMT5" s="325"/>
      <c r="JMU5" s="325"/>
      <c r="JMV5" s="325"/>
      <c r="JMW5" s="325"/>
      <c r="JMX5" s="325"/>
      <c r="JMY5" s="325"/>
      <c r="JMZ5" s="325"/>
      <c r="JNA5" s="325"/>
      <c r="JNB5" s="325"/>
      <c r="JNC5" s="325"/>
      <c r="JND5" s="325"/>
      <c r="JNE5" s="325"/>
      <c r="JNF5" s="325"/>
      <c r="JNG5" s="325"/>
      <c r="JNH5" s="325"/>
      <c r="JNI5" s="325"/>
      <c r="JNJ5" s="325"/>
      <c r="JNK5" s="325"/>
      <c r="JNL5" s="325"/>
      <c r="JNM5" s="325"/>
      <c r="JNN5" s="325"/>
      <c r="JNO5" s="325"/>
      <c r="JNP5" s="325"/>
      <c r="JNQ5" s="325"/>
      <c r="JNR5" s="325"/>
      <c r="JNS5" s="325"/>
      <c r="JNT5" s="325"/>
      <c r="JNU5" s="325"/>
      <c r="JNV5" s="325"/>
      <c r="JNW5" s="325"/>
      <c r="JNX5" s="325"/>
      <c r="JNY5" s="325"/>
      <c r="JNZ5" s="325"/>
      <c r="JOA5" s="325"/>
      <c r="JOB5" s="325"/>
      <c r="JOC5" s="325"/>
      <c r="JOD5" s="325"/>
      <c r="JOE5" s="325"/>
      <c r="JOF5" s="325"/>
      <c r="JOG5" s="325"/>
      <c r="JOH5" s="325"/>
      <c r="JOI5" s="325"/>
      <c r="JOJ5" s="325"/>
      <c r="JOK5" s="325"/>
      <c r="JOL5" s="325"/>
      <c r="JOM5" s="325"/>
      <c r="JON5" s="325"/>
      <c r="JOO5" s="325"/>
      <c r="JOP5" s="325"/>
      <c r="JOQ5" s="325"/>
      <c r="JOR5" s="325"/>
      <c r="JOS5" s="325"/>
      <c r="JOT5" s="325"/>
      <c r="JOU5" s="325"/>
      <c r="JOV5" s="325"/>
      <c r="JOW5" s="325"/>
      <c r="JOX5" s="325"/>
      <c r="JOY5" s="325"/>
      <c r="JOZ5" s="325"/>
      <c r="JPA5" s="325"/>
      <c r="JPB5" s="325"/>
      <c r="JPC5" s="325"/>
      <c r="JPD5" s="325"/>
      <c r="JPE5" s="325"/>
      <c r="JPF5" s="325"/>
      <c r="JPG5" s="325"/>
      <c r="JPH5" s="325"/>
      <c r="JPI5" s="325"/>
      <c r="JPJ5" s="325"/>
      <c r="JPK5" s="325"/>
      <c r="JPL5" s="325"/>
      <c r="JPM5" s="325"/>
      <c r="JPN5" s="325"/>
      <c r="JPO5" s="325"/>
      <c r="JPP5" s="325"/>
      <c r="JPQ5" s="325"/>
      <c r="JPR5" s="325"/>
      <c r="JPS5" s="325"/>
      <c r="JPT5" s="325"/>
      <c r="JPU5" s="325"/>
      <c r="JPV5" s="325"/>
      <c r="JPW5" s="325"/>
      <c r="JPX5" s="325"/>
      <c r="JPY5" s="325"/>
      <c r="JPZ5" s="325"/>
      <c r="JQA5" s="325"/>
      <c r="JQB5" s="325"/>
      <c r="JQC5" s="325"/>
      <c r="JQD5" s="325"/>
      <c r="JQE5" s="325"/>
      <c r="JQF5" s="325"/>
      <c r="JQG5" s="325"/>
      <c r="JQH5" s="325"/>
      <c r="JQI5" s="325"/>
      <c r="JQJ5" s="325"/>
      <c r="JQK5" s="325"/>
      <c r="JQL5" s="325"/>
      <c r="JQM5" s="325"/>
      <c r="JQN5" s="325"/>
      <c r="JQO5" s="325"/>
      <c r="JQP5" s="325"/>
      <c r="JQQ5" s="325"/>
      <c r="JQR5" s="325"/>
      <c r="JQS5" s="325"/>
      <c r="JQT5" s="325"/>
      <c r="JQU5" s="325"/>
      <c r="JQV5" s="325"/>
      <c r="JQW5" s="325"/>
      <c r="JQX5" s="325"/>
      <c r="JQY5" s="325"/>
      <c r="JQZ5" s="325"/>
      <c r="JRA5" s="325"/>
      <c r="JRB5" s="325"/>
      <c r="JRC5" s="325"/>
      <c r="JRD5" s="325"/>
      <c r="JRE5" s="325"/>
      <c r="JRF5" s="325"/>
      <c r="JRG5" s="325"/>
      <c r="JRH5" s="325"/>
      <c r="JRI5" s="325"/>
      <c r="JRJ5" s="325"/>
      <c r="JRK5" s="325"/>
      <c r="JRL5" s="325"/>
      <c r="JRM5" s="325"/>
      <c r="JRN5" s="325"/>
      <c r="JRO5" s="325"/>
      <c r="JRP5" s="325"/>
      <c r="JRQ5" s="325"/>
      <c r="JRR5" s="325"/>
      <c r="JRS5" s="325"/>
      <c r="JRT5" s="325"/>
      <c r="JRU5" s="325"/>
      <c r="JRV5" s="325"/>
      <c r="JRW5" s="325"/>
      <c r="JRX5" s="325"/>
      <c r="JRY5" s="325"/>
      <c r="JRZ5" s="325"/>
      <c r="JSA5" s="325"/>
      <c r="JSB5" s="325"/>
      <c r="JSC5" s="325"/>
      <c r="JSD5" s="325"/>
      <c r="JSE5" s="325"/>
      <c r="JSF5" s="325"/>
      <c r="JSG5" s="325"/>
      <c r="JSH5" s="325"/>
      <c r="JSI5" s="325"/>
      <c r="JSJ5" s="325"/>
      <c r="JSK5" s="325"/>
      <c r="JSL5" s="325"/>
      <c r="JSM5" s="325"/>
      <c r="JSN5" s="325"/>
      <c r="JSO5" s="325"/>
      <c r="JSP5" s="325"/>
      <c r="JSQ5" s="325"/>
      <c r="JSR5" s="325"/>
      <c r="JSS5" s="325"/>
      <c r="JST5" s="325"/>
      <c r="JSU5" s="325"/>
      <c r="JSV5" s="325"/>
      <c r="JSW5" s="325"/>
      <c r="JSX5" s="325"/>
      <c r="JSY5" s="325"/>
      <c r="JSZ5" s="325"/>
      <c r="JTA5" s="325"/>
      <c r="JTB5" s="325"/>
      <c r="JTC5" s="325"/>
      <c r="JTD5" s="325"/>
      <c r="JTE5" s="325"/>
      <c r="JTF5" s="325"/>
      <c r="JTG5" s="325"/>
      <c r="JTH5" s="325"/>
      <c r="JTI5" s="325"/>
      <c r="JTJ5" s="325"/>
      <c r="JTK5" s="325"/>
      <c r="JTL5" s="325"/>
      <c r="JTM5" s="325"/>
      <c r="JTN5" s="325"/>
      <c r="JTO5" s="325"/>
      <c r="JTP5" s="325"/>
      <c r="JTQ5" s="325"/>
      <c r="JTR5" s="325"/>
      <c r="JTS5" s="325"/>
      <c r="JTT5" s="325"/>
      <c r="JTU5" s="325"/>
      <c r="JTV5" s="325"/>
      <c r="JTW5" s="325"/>
      <c r="JTX5" s="325"/>
      <c r="JTY5" s="325"/>
      <c r="JTZ5" s="325"/>
      <c r="JUA5" s="325"/>
      <c r="JUB5" s="325"/>
      <c r="JUC5" s="325"/>
      <c r="JUD5" s="325"/>
      <c r="JUE5" s="325"/>
      <c r="JUF5" s="325"/>
      <c r="JUG5" s="325"/>
      <c r="JUH5" s="325"/>
      <c r="JUI5" s="325"/>
      <c r="JUJ5" s="325"/>
      <c r="JUK5" s="325"/>
      <c r="JUL5" s="325"/>
      <c r="JUM5" s="325"/>
      <c r="JUN5" s="325"/>
      <c r="JUO5" s="325"/>
      <c r="JUP5" s="325"/>
      <c r="JUQ5" s="325"/>
      <c r="JUR5" s="325"/>
      <c r="JUS5" s="325"/>
      <c r="JUT5" s="325"/>
      <c r="JUU5" s="325"/>
      <c r="JUV5" s="325"/>
      <c r="JUW5" s="325"/>
      <c r="JUX5" s="325"/>
      <c r="JUY5" s="325"/>
      <c r="JUZ5" s="325"/>
      <c r="JVA5" s="325"/>
      <c r="JVB5" s="325"/>
      <c r="JVC5" s="325"/>
      <c r="JVD5" s="325"/>
      <c r="JVE5" s="325"/>
      <c r="JVF5" s="325"/>
      <c r="JVG5" s="325"/>
      <c r="JVH5" s="325"/>
      <c r="JVI5" s="325"/>
      <c r="JVJ5" s="325"/>
      <c r="JVK5" s="325"/>
      <c r="JVL5" s="325"/>
      <c r="JVM5" s="325"/>
      <c r="JVN5" s="325"/>
      <c r="JVO5" s="325"/>
      <c r="JVP5" s="325"/>
      <c r="JVQ5" s="325"/>
      <c r="JVR5" s="325"/>
      <c r="JVS5" s="325"/>
      <c r="JVT5" s="325"/>
      <c r="JVU5" s="325"/>
      <c r="JVV5" s="325"/>
      <c r="JVW5" s="325"/>
      <c r="JVX5" s="325"/>
      <c r="JVY5" s="325"/>
      <c r="JVZ5" s="325"/>
      <c r="JWA5" s="325"/>
      <c r="JWB5" s="325"/>
      <c r="JWC5" s="325"/>
      <c r="JWD5" s="325"/>
      <c r="JWE5" s="325"/>
      <c r="JWF5" s="325"/>
      <c r="JWG5" s="325"/>
      <c r="JWH5" s="325"/>
      <c r="JWI5" s="325"/>
      <c r="JWJ5" s="325"/>
      <c r="JWK5" s="325"/>
      <c r="JWL5" s="325"/>
      <c r="JWM5" s="325"/>
      <c r="JWN5" s="325"/>
      <c r="JWO5" s="325"/>
      <c r="JWP5" s="325"/>
      <c r="JWQ5" s="325"/>
      <c r="JWR5" s="325"/>
      <c r="JWS5" s="325"/>
      <c r="JWT5" s="325"/>
      <c r="JWU5" s="325"/>
      <c r="JWV5" s="325"/>
      <c r="JWW5" s="325"/>
      <c r="JWX5" s="325"/>
      <c r="JWY5" s="325"/>
      <c r="JWZ5" s="325"/>
      <c r="JXA5" s="325"/>
      <c r="JXB5" s="325"/>
      <c r="JXC5" s="325"/>
      <c r="JXD5" s="325"/>
      <c r="JXE5" s="325"/>
      <c r="JXF5" s="325"/>
      <c r="JXG5" s="325"/>
      <c r="JXH5" s="325"/>
      <c r="JXI5" s="325"/>
      <c r="JXJ5" s="325"/>
      <c r="JXK5" s="325"/>
      <c r="JXL5" s="325"/>
      <c r="JXM5" s="325"/>
      <c r="JXN5" s="325"/>
      <c r="JXO5" s="325"/>
      <c r="JXP5" s="325"/>
      <c r="JXQ5" s="325"/>
      <c r="JXR5" s="325"/>
      <c r="JXS5" s="325"/>
      <c r="JXT5" s="325"/>
      <c r="JXU5" s="325"/>
      <c r="JXV5" s="325"/>
      <c r="JXW5" s="325"/>
      <c r="JXX5" s="325"/>
      <c r="JXY5" s="325"/>
      <c r="JXZ5" s="325"/>
      <c r="JYA5" s="325"/>
      <c r="JYB5" s="325"/>
      <c r="JYC5" s="325"/>
      <c r="JYD5" s="325"/>
      <c r="JYE5" s="325"/>
      <c r="JYF5" s="325"/>
      <c r="JYG5" s="325"/>
      <c r="JYH5" s="325"/>
      <c r="JYI5" s="325"/>
      <c r="JYJ5" s="325"/>
      <c r="JYK5" s="325"/>
      <c r="JYL5" s="325"/>
      <c r="JYM5" s="325"/>
      <c r="JYN5" s="325"/>
      <c r="JYO5" s="325"/>
      <c r="JYP5" s="325"/>
      <c r="JYQ5" s="325"/>
      <c r="JYR5" s="325"/>
      <c r="JYS5" s="325"/>
      <c r="JYT5" s="325"/>
      <c r="JYU5" s="325"/>
      <c r="JYV5" s="325"/>
      <c r="JYW5" s="325"/>
      <c r="JYX5" s="325"/>
      <c r="JYY5" s="325"/>
      <c r="JYZ5" s="325"/>
      <c r="JZA5" s="325"/>
      <c r="JZB5" s="325"/>
      <c r="JZC5" s="325"/>
      <c r="JZD5" s="325"/>
      <c r="JZE5" s="325"/>
      <c r="JZF5" s="325"/>
      <c r="JZG5" s="325"/>
      <c r="JZH5" s="325"/>
      <c r="JZI5" s="325"/>
      <c r="JZJ5" s="325"/>
      <c r="JZK5" s="325"/>
      <c r="JZL5" s="325"/>
      <c r="JZM5" s="325"/>
      <c r="JZN5" s="325"/>
      <c r="JZO5" s="325"/>
      <c r="JZP5" s="325"/>
      <c r="JZQ5" s="325"/>
      <c r="JZR5" s="325"/>
      <c r="JZS5" s="325"/>
      <c r="JZT5" s="325"/>
      <c r="JZU5" s="325"/>
      <c r="JZV5" s="325"/>
      <c r="JZW5" s="325"/>
      <c r="JZX5" s="325"/>
      <c r="JZY5" s="325"/>
      <c r="JZZ5" s="325"/>
      <c r="KAA5" s="325"/>
      <c r="KAB5" s="325"/>
      <c r="KAC5" s="325"/>
      <c r="KAD5" s="325"/>
      <c r="KAE5" s="325"/>
      <c r="KAF5" s="325"/>
      <c r="KAG5" s="325"/>
      <c r="KAH5" s="325"/>
      <c r="KAI5" s="325"/>
      <c r="KAJ5" s="325"/>
      <c r="KAK5" s="325"/>
      <c r="KAL5" s="325"/>
      <c r="KAM5" s="325"/>
      <c r="KAN5" s="325"/>
      <c r="KAO5" s="325"/>
      <c r="KAP5" s="325"/>
      <c r="KAQ5" s="325"/>
      <c r="KAR5" s="325"/>
      <c r="KAS5" s="325"/>
      <c r="KAT5" s="325"/>
      <c r="KAU5" s="325"/>
      <c r="KAV5" s="325"/>
      <c r="KAW5" s="325"/>
      <c r="KAX5" s="325"/>
      <c r="KAY5" s="325"/>
      <c r="KAZ5" s="325"/>
      <c r="KBA5" s="325"/>
      <c r="KBB5" s="325"/>
      <c r="KBC5" s="325"/>
      <c r="KBD5" s="325"/>
      <c r="KBE5" s="325"/>
      <c r="KBF5" s="325"/>
      <c r="KBG5" s="325"/>
      <c r="KBH5" s="325"/>
      <c r="KBI5" s="325"/>
      <c r="KBJ5" s="325"/>
      <c r="KBK5" s="325"/>
      <c r="KBL5" s="325"/>
      <c r="KBM5" s="325"/>
      <c r="KBN5" s="325"/>
      <c r="KBO5" s="325"/>
      <c r="KBP5" s="325"/>
      <c r="KBQ5" s="325"/>
      <c r="KBR5" s="325"/>
      <c r="KBS5" s="325"/>
      <c r="KBT5" s="325"/>
      <c r="KBU5" s="325"/>
      <c r="KBV5" s="325"/>
      <c r="KBW5" s="325"/>
      <c r="KBX5" s="325"/>
      <c r="KBY5" s="325"/>
      <c r="KBZ5" s="325"/>
      <c r="KCA5" s="325"/>
      <c r="KCB5" s="325"/>
      <c r="KCC5" s="325"/>
      <c r="KCD5" s="325"/>
      <c r="KCE5" s="325"/>
      <c r="KCF5" s="325"/>
      <c r="KCG5" s="325"/>
      <c r="KCH5" s="325"/>
      <c r="KCI5" s="325"/>
      <c r="KCJ5" s="325"/>
      <c r="KCK5" s="325"/>
      <c r="KCL5" s="325"/>
      <c r="KCM5" s="325"/>
      <c r="KCN5" s="325"/>
      <c r="KCO5" s="325"/>
      <c r="KCP5" s="325"/>
      <c r="KCQ5" s="325"/>
      <c r="KCR5" s="325"/>
      <c r="KCS5" s="325"/>
      <c r="KCT5" s="325"/>
      <c r="KCU5" s="325"/>
      <c r="KCV5" s="325"/>
      <c r="KCW5" s="325"/>
      <c r="KCX5" s="325"/>
      <c r="KCY5" s="325"/>
      <c r="KCZ5" s="325"/>
      <c r="KDA5" s="325"/>
      <c r="KDB5" s="325"/>
      <c r="KDC5" s="325"/>
      <c r="KDD5" s="325"/>
      <c r="KDE5" s="325"/>
      <c r="KDF5" s="325"/>
      <c r="KDG5" s="325"/>
      <c r="KDH5" s="325"/>
      <c r="KDI5" s="325"/>
      <c r="KDJ5" s="325"/>
      <c r="KDK5" s="325"/>
      <c r="KDL5" s="325"/>
      <c r="KDM5" s="325"/>
      <c r="KDN5" s="325"/>
      <c r="KDO5" s="325"/>
      <c r="KDP5" s="325"/>
      <c r="KDQ5" s="325"/>
      <c r="KDR5" s="325"/>
      <c r="KDS5" s="325"/>
      <c r="KDT5" s="325"/>
      <c r="KDU5" s="325"/>
      <c r="KDV5" s="325"/>
      <c r="KDW5" s="325"/>
      <c r="KDX5" s="325"/>
      <c r="KDY5" s="325"/>
      <c r="KDZ5" s="325"/>
      <c r="KEA5" s="325"/>
      <c r="KEB5" s="325"/>
      <c r="KEC5" s="325"/>
      <c r="KED5" s="325"/>
      <c r="KEE5" s="325"/>
      <c r="KEF5" s="325"/>
      <c r="KEG5" s="325"/>
      <c r="KEH5" s="325"/>
      <c r="KEI5" s="325"/>
      <c r="KEJ5" s="325"/>
      <c r="KEK5" s="325"/>
      <c r="KEL5" s="325"/>
      <c r="KEM5" s="325"/>
      <c r="KEN5" s="325"/>
      <c r="KEO5" s="325"/>
      <c r="KEP5" s="325"/>
      <c r="KEQ5" s="325"/>
      <c r="KER5" s="325"/>
      <c r="KES5" s="325"/>
      <c r="KET5" s="325"/>
      <c r="KEU5" s="325"/>
      <c r="KEV5" s="325"/>
      <c r="KEW5" s="325"/>
      <c r="KEX5" s="325"/>
      <c r="KEY5" s="325"/>
      <c r="KEZ5" s="325"/>
      <c r="KFA5" s="325"/>
      <c r="KFB5" s="325"/>
      <c r="KFC5" s="325"/>
      <c r="KFD5" s="325"/>
      <c r="KFE5" s="325"/>
      <c r="KFF5" s="325"/>
      <c r="KFG5" s="325"/>
      <c r="KFH5" s="325"/>
      <c r="KFI5" s="325"/>
      <c r="KFJ5" s="325"/>
      <c r="KFK5" s="325"/>
      <c r="KFL5" s="325"/>
      <c r="KFM5" s="325"/>
      <c r="KFN5" s="325"/>
      <c r="KFO5" s="325"/>
      <c r="KFP5" s="325"/>
      <c r="KFQ5" s="325"/>
      <c r="KFR5" s="325"/>
      <c r="KFS5" s="325"/>
      <c r="KFT5" s="325"/>
      <c r="KFU5" s="325"/>
      <c r="KFV5" s="325"/>
      <c r="KFW5" s="325"/>
      <c r="KFX5" s="325"/>
      <c r="KFY5" s="325"/>
      <c r="KFZ5" s="325"/>
      <c r="KGA5" s="325"/>
      <c r="KGB5" s="325"/>
      <c r="KGC5" s="325"/>
      <c r="KGD5" s="325"/>
      <c r="KGE5" s="325"/>
      <c r="KGF5" s="325"/>
      <c r="KGG5" s="325"/>
      <c r="KGH5" s="325"/>
      <c r="KGI5" s="325"/>
      <c r="KGJ5" s="325"/>
      <c r="KGK5" s="325"/>
      <c r="KGL5" s="325"/>
      <c r="KGM5" s="325"/>
      <c r="KGN5" s="325"/>
      <c r="KGO5" s="325"/>
      <c r="KGP5" s="325"/>
      <c r="KGQ5" s="325"/>
      <c r="KGR5" s="325"/>
      <c r="KGS5" s="325"/>
      <c r="KGT5" s="325"/>
      <c r="KGU5" s="325"/>
      <c r="KGV5" s="325"/>
      <c r="KGW5" s="325"/>
      <c r="KGX5" s="325"/>
      <c r="KGY5" s="325"/>
      <c r="KGZ5" s="325"/>
      <c r="KHA5" s="325"/>
      <c r="KHB5" s="325"/>
      <c r="KHC5" s="325"/>
      <c r="KHD5" s="325"/>
      <c r="KHE5" s="325"/>
      <c r="KHF5" s="325"/>
      <c r="KHG5" s="325"/>
      <c r="KHH5" s="325"/>
      <c r="KHI5" s="325"/>
      <c r="KHJ5" s="325"/>
      <c r="KHK5" s="325"/>
      <c r="KHL5" s="325"/>
      <c r="KHM5" s="325"/>
      <c r="KHN5" s="325"/>
      <c r="KHO5" s="325"/>
      <c r="KHP5" s="325"/>
      <c r="KHQ5" s="325"/>
      <c r="KHR5" s="325"/>
      <c r="KHS5" s="325"/>
      <c r="KHT5" s="325"/>
      <c r="KHU5" s="325"/>
      <c r="KHV5" s="325"/>
      <c r="KHW5" s="325"/>
      <c r="KHX5" s="325"/>
      <c r="KHY5" s="325"/>
      <c r="KHZ5" s="325"/>
      <c r="KIA5" s="325"/>
      <c r="KIB5" s="325"/>
      <c r="KIC5" s="325"/>
      <c r="KID5" s="325"/>
      <c r="KIE5" s="325"/>
      <c r="KIF5" s="325"/>
      <c r="KIG5" s="325"/>
      <c r="KIH5" s="325"/>
      <c r="KII5" s="325"/>
      <c r="KIJ5" s="325"/>
      <c r="KIK5" s="325"/>
      <c r="KIL5" s="325"/>
      <c r="KIM5" s="325"/>
      <c r="KIN5" s="325"/>
      <c r="KIO5" s="325"/>
      <c r="KIP5" s="325"/>
      <c r="KIQ5" s="325"/>
      <c r="KIR5" s="325"/>
      <c r="KIS5" s="325"/>
      <c r="KIT5" s="325"/>
      <c r="KIU5" s="325"/>
      <c r="KIV5" s="325"/>
      <c r="KIW5" s="325"/>
      <c r="KIX5" s="325"/>
      <c r="KIY5" s="325"/>
      <c r="KIZ5" s="325"/>
      <c r="KJA5" s="325"/>
      <c r="KJB5" s="325"/>
      <c r="KJC5" s="325"/>
      <c r="KJD5" s="325"/>
      <c r="KJE5" s="325"/>
      <c r="KJF5" s="325"/>
      <c r="KJG5" s="325"/>
      <c r="KJH5" s="325"/>
      <c r="KJI5" s="325"/>
      <c r="KJJ5" s="325"/>
      <c r="KJK5" s="325"/>
      <c r="KJL5" s="325"/>
      <c r="KJM5" s="325"/>
      <c r="KJN5" s="325"/>
      <c r="KJO5" s="325"/>
      <c r="KJP5" s="325"/>
      <c r="KJQ5" s="325"/>
      <c r="KJR5" s="325"/>
      <c r="KJS5" s="325"/>
      <c r="KJT5" s="325"/>
      <c r="KJU5" s="325"/>
      <c r="KJV5" s="325"/>
      <c r="KJW5" s="325"/>
      <c r="KJX5" s="325"/>
      <c r="KJY5" s="325"/>
      <c r="KJZ5" s="325"/>
      <c r="KKA5" s="325"/>
      <c r="KKB5" s="325"/>
      <c r="KKC5" s="325"/>
      <c r="KKD5" s="325"/>
      <c r="KKE5" s="325"/>
      <c r="KKF5" s="325"/>
      <c r="KKG5" s="325"/>
      <c r="KKH5" s="325"/>
      <c r="KKI5" s="325"/>
      <c r="KKJ5" s="325"/>
      <c r="KKK5" s="325"/>
      <c r="KKL5" s="325"/>
      <c r="KKM5" s="325"/>
      <c r="KKN5" s="325"/>
      <c r="KKO5" s="325"/>
      <c r="KKP5" s="325"/>
      <c r="KKQ5" s="325"/>
      <c r="KKR5" s="325"/>
      <c r="KKS5" s="325"/>
      <c r="KKT5" s="325"/>
      <c r="KKU5" s="325"/>
      <c r="KKV5" s="325"/>
      <c r="KKW5" s="325"/>
      <c r="KKX5" s="325"/>
      <c r="KKY5" s="325"/>
      <c r="KKZ5" s="325"/>
      <c r="KLA5" s="325"/>
      <c r="KLB5" s="325"/>
      <c r="KLC5" s="325"/>
      <c r="KLD5" s="325"/>
      <c r="KLE5" s="325"/>
      <c r="KLF5" s="325"/>
      <c r="KLG5" s="325"/>
      <c r="KLH5" s="325"/>
      <c r="KLI5" s="325"/>
      <c r="KLJ5" s="325"/>
      <c r="KLK5" s="325"/>
      <c r="KLL5" s="325"/>
      <c r="KLM5" s="325"/>
      <c r="KLN5" s="325"/>
      <c r="KLO5" s="325"/>
      <c r="KLP5" s="325"/>
      <c r="KLQ5" s="325"/>
      <c r="KLR5" s="325"/>
      <c r="KLS5" s="325"/>
      <c r="KLT5" s="325"/>
      <c r="KLU5" s="325"/>
      <c r="KLV5" s="325"/>
      <c r="KLW5" s="325"/>
      <c r="KLX5" s="325"/>
      <c r="KLY5" s="325"/>
      <c r="KLZ5" s="325"/>
      <c r="KMA5" s="325"/>
      <c r="KMB5" s="325"/>
      <c r="KMC5" s="325"/>
      <c r="KMD5" s="325"/>
      <c r="KME5" s="325"/>
      <c r="KMF5" s="325"/>
      <c r="KMG5" s="325"/>
      <c r="KMH5" s="325"/>
      <c r="KMI5" s="325"/>
      <c r="KMJ5" s="325"/>
      <c r="KMK5" s="325"/>
      <c r="KML5" s="325"/>
      <c r="KMM5" s="325"/>
      <c r="KMN5" s="325"/>
      <c r="KMO5" s="325"/>
      <c r="KMP5" s="325"/>
      <c r="KMQ5" s="325"/>
      <c r="KMR5" s="325"/>
      <c r="KMS5" s="325"/>
      <c r="KMT5" s="325"/>
      <c r="KMU5" s="325"/>
      <c r="KMV5" s="325"/>
      <c r="KMW5" s="325"/>
      <c r="KMX5" s="325"/>
      <c r="KMY5" s="325"/>
      <c r="KMZ5" s="325"/>
      <c r="KNA5" s="325"/>
      <c r="KNB5" s="325"/>
      <c r="KNC5" s="325"/>
      <c r="KND5" s="325"/>
      <c r="KNE5" s="325"/>
      <c r="KNF5" s="325"/>
      <c r="KNG5" s="325"/>
      <c r="KNH5" s="325"/>
      <c r="KNI5" s="325"/>
      <c r="KNJ5" s="325"/>
      <c r="KNK5" s="325"/>
      <c r="KNL5" s="325"/>
      <c r="KNM5" s="325"/>
      <c r="KNN5" s="325"/>
      <c r="KNO5" s="325"/>
      <c r="KNP5" s="325"/>
      <c r="KNQ5" s="325"/>
      <c r="KNR5" s="325"/>
      <c r="KNS5" s="325"/>
      <c r="KNT5" s="325"/>
      <c r="KNU5" s="325"/>
      <c r="KNV5" s="325"/>
      <c r="KNW5" s="325"/>
      <c r="KNX5" s="325"/>
      <c r="KNY5" s="325"/>
      <c r="KNZ5" s="325"/>
      <c r="KOA5" s="325"/>
      <c r="KOB5" s="325"/>
      <c r="KOC5" s="325"/>
      <c r="KOD5" s="325"/>
      <c r="KOE5" s="325"/>
      <c r="KOF5" s="325"/>
      <c r="KOG5" s="325"/>
      <c r="KOH5" s="325"/>
      <c r="KOI5" s="325"/>
      <c r="KOJ5" s="325"/>
      <c r="KOK5" s="325"/>
      <c r="KOL5" s="325"/>
      <c r="KOM5" s="325"/>
      <c r="KON5" s="325"/>
      <c r="KOO5" s="325"/>
      <c r="KOP5" s="325"/>
      <c r="KOQ5" s="325"/>
      <c r="KOR5" s="325"/>
      <c r="KOS5" s="325"/>
      <c r="KOT5" s="325"/>
      <c r="KOU5" s="325"/>
      <c r="KOV5" s="325"/>
      <c r="KOW5" s="325"/>
      <c r="KOX5" s="325"/>
      <c r="KOY5" s="325"/>
      <c r="KOZ5" s="325"/>
      <c r="KPA5" s="325"/>
      <c r="KPB5" s="325"/>
      <c r="KPC5" s="325"/>
      <c r="KPD5" s="325"/>
      <c r="KPE5" s="325"/>
      <c r="KPF5" s="325"/>
      <c r="KPG5" s="325"/>
      <c r="KPH5" s="325"/>
      <c r="KPI5" s="325"/>
      <c r="KPJ5" s="325"/>
      <c r="KPK5" s="325"/>
      <c r="KPL5" s="325"/>
      <c r="KPM5" s="325"/>
      <c r="KPN5" s="325"/>
      <c r="KPO5" s="325"/>
      <c r="KPP5" s="325"/>
      <c r="KPQ5" s="325"/>
      <c r="KPR5" s="325"/>
      <c r="KPS5" s="325"/>
      <c r="KPT5" s="325"/>
      <c r="KPU5" s="325"/>
      <c r="KPV5" s="325"/>
      <c r="KPW5" s="325"/>
      <c r="KPX5" s="325"/>
      <c r="KPY5" s="325"/>
      <c r="KPZ5" s="325"/>
      <c r="KQA5" s="325"/>
      <c r="KQB5" s="325"/>
      <c r="KQC5" s="325"/>
      <c r="KQD5" s="325"/>
      <c r="KQE5" s="325"/>
      <c r="KQF5" s="325"/>
      <c r="KQG5" s="325"/>
      <c r="KQH5" s="325"/>
      <c r="KQI5" s="325"/>
      <c r="KQJ5" s="325"/>
      <c r="KQK5" s="325"/>
      <c r="KQL5" s="325"/>
      <c r="KQM5" s="325"/>
      <c r="KQN5" s="325"/>
      <c r="KQO5" s="325"/>
      <c r="KQP5" s="325"/>
      <c r="KQQ5" s="325"/>
      <c r="KQR5" s="325"/>
      <c r="KQS5" s="325"/>
      <c r="KQT5" s="325"/>
      <c r="KQU5" s="325"/>
      <c r="KQV5" s="325"/>
      <c r="KQW5" s="325"/>
      <c r="KQX5" s="325"/>
      <c r="KQY5" s="325"/>
      <c r="KQZ5" s="325"/>
      <c r="KRA5" s="325"/>
      <c r="KRB5" s="325"/>
      <c r="KRC5" s="325"/>
      <c r="KRD5" s="325"/>
      <c r="KRE5" s="325"/>
      <c r="KRF5" s="325"/>
      <c r="KRG5" s="325"/>
      <c r="KRH5" s="325"/>
      <c r="KRI5" s="325"/>
      <c r="KRJ5" s="325"/>
      <c r="KRK5" s="325"/>
      <c r="KRL5" s="325"/>
      <c r="KRM5" s="325"/>
      <c r="KRN5" s="325"/>
      <c r="KRO5" s="325"/>
      <c r="KRP5" s="325"/>
      <c r="KRQ5" s="325"/>
      <c r="KRR5" s="325"/>
      <c r="KRS5" s="325"/>
      <c r="KRT5" s="325"/>
      <c r="KRU5" s="325"/>
      <c r="KRV5" s="325"/>
      <c r="KRW5" s="325"/>
      <c r="KRX5" s="325"/>
      <c r="KRY5" s="325"/>
      <c r="KRZ5" s="325"/>
      <c r="KSA5" s="325"/>
      <c r="KSB5" s="325"/>
      <c r="KSC5" s="325"/>
      <c r="KSD5" s="325"/>
      <c r="KSE5" s="325"/>
      <c r="KSF5" s="325"/>
      <c r="KSG5" s="325"/>
      <c r="KSH5" s="325"/>
      <c r="KSI5" s="325"/>
      <c r="KSJ5" s="325"/>
      <c r="KSK5" s="325"/>
      <c r="KSL5" s="325"/>
      <c r="KSM5" s="325"/>
      <c r="KSN5" s="325"/>
      <c r="KSO5" s="325"/>
      <c r="KSP5" s="325"/>
      <c r="KSQ5" s="325"/>
      <c r="KSR5" s="325"/>
      <c r="KSS5" s="325"/>
      <c r="KST5" s="325"/>
      <c r="KSU5" s="325"/>
      <c r="KSV5" s="325"/>
      <c r="KSW5" s="325"/>
      <c r="KSX5" s="325"/>
      <c r="KSY5" s="325"/>
      <c r="KSZ5" s="325"/>
      <c r="KTA5" s="325"/>
      <c r="KTB5" s="325"/>
      <c r="KTC5" s="325"/>
      <c r="KTD5" s="325"/>
      <c r="KTE5" s="325"/>
      <c r="KTF5" s="325"/>
      <c r="KTG5" s="325"/>
      <c r="KTH5" s="325"/>
      <c r="KTI5" s="325"/>
      <c r="KTJ5" s="325"/>
      <c r="KTK5" s="325"/>
      <c r="KTL5" s="325"/>
      <c r="KTM5" s="325"/>
      <c r="KTN5" s="325"/>
      <c r="KTO5" s="325"/>
      <c r="KTP5" s="325"/>
      <c r="KTQ5" s="325"/>
      <c r="KTR5" s="325"/>
      <c r="KTS5" s="325"/>
      <c r="KTT5" s="325"/>
      <c r="KTU5" s="325"/>
      <c r="KTV5" s="325"/>
      <c r="KTW5" s="325"/>
      <c r="KTX5" s="325"/>
      <c r="KTY5" s="325"/>
      <c r="KTZ5" s="325"/>
      <c r="KUA5" s="325"/>
      <c r="KUB5" s="325"/>
      <c r="KUC5" s="325"/>
      <c r="KUD5" s="325"/>
      <c r="KUE5" s="325"/>
      <c r="KUF5" s="325"/>
      <c r="KUG5" s="325"/>
      <c r="KUH5" s="325"/>
      <c r="KUI5" s="325"/>
      <c r="KUJ5" s="325"/>
      <c r="KUK5" s="325"/>
      <c r="KUL5" s="325"/>
      <c r="KUM5" s="325"/>
      <c r="KUN5" s="325"/>
      <c r="KUO5" s="325"/>
      <c r="KUP5" s="325"/>
      <c r="KUQ5" s="325"/>
      <c r="KUR5" s="325"/>
      <c r="KUS5" s="325"/>
      <c r="KUT5" s="325"/>
      <c r="KUU5" s="325"/>
      <c r="KUV5" s="325"/>
      <c r="KUW5" s="325"/>
      <c r="KUX5" s="325"/>
      <c r="KUY5" s="325"/>
      <c r="KUZ5" s="325"/>
      <c r="KVA5" s="325"/>
      <c r="KVB5" s="325"/>
      <c r="KVC5" s="325"/>
      <c r="KVD5" s="325"/>
      <c r="KVE5" s="325"/>
      <c r="KVF5" s="325"/>
      <c r="KVG5" s="325"/>
      <c r="KVH5" s="325"/>
      <c r="KVI5" s="325"/>
      <c r="KVJ5" s="325"/>
      <c r="KVK5" s="325"/>
      <c r="KVL5" s="325"/>
      <c r="KVM5" s="325"/>
      <c r="KVN5" s="325"/>
      <c r="KVO5" s="325"/>
      <c r="KVP5" s="325"/>
      <c r="KVQ5" s="325"/>
      <c r="KVR5" s="325"/>
      <c r="KVS5" s="325"/>
      <c r="KVT5" s="325"/>
      <c r="KVU5" s="325"/>
      <c r="KVV5" s="325"/>
      <c r="KVW5" s="325"/>
      <c r="KVX5" s="325"/>
      <c r="KVY5" s="325"/>
      <c r="KVZ5" s="325"/>
      <c r="KWA5" s="325"/>
      <c r="KWB5" s="325"/>
      <c r="KWC5" s="325"/>
      <c r="KWD5" s="325"/>
      <c r="KWE5" s="325"/>
      <c r="KWF5" s="325"/>
      <c r="KWG5" s="325"/>
      <c r="KWH5" s="325"/>
      <c r="KWI5" s="325"/>
      <c r="KWJ5" s="325"/>
      <c r="KWK5" s="325"/>
      <c r="KWL5" s="325"/>
      <c r="KWM5" s="325"/>
      <c r="KWN5" s="325"/>
      <c r="KWO5" s="325"/>
      <c r="KWP5" s="325"/>
      <c r="KWQ5" s="325"/>
      <c r="KWR5" s="325"/>
      <c r="KWS5" s="325"/>
      <c r="KWT5" s="325"/>
      <c r="KWU5" s="325"/>
      <c r="KWV5" s="325"/>
      <c r="KWW5" s="325"/>
      <c r="KWX5" s="325"/>
      <c r="KWY5" s="325"/>
      <c r="KWZ5" s="325"/>
      <c r="KXA5" s="325"/>
      <c r="KXB5" s="325"/>
      <c r="KXC5" s="325"/>
      <c r="KXD5" s="325"/>
      <c r="KXE5" s="325"/>
      <c r="KXF5" s="325"/>
      <c r="KXG5" s="325"/>
      <c r="KXH5" s="325"/>
      <c r="KXI5" s="325"/>
      <c r="KXJ5" s="325"/>
      <c r="KXK5" s="325"/>
      <c r="KXL5" s="325"/>
      <c r="KXM5" s="325"/>
      <c r="KXN5" s="325"/>
      <c r="KXO5" s="325"/>
      <c r="KXP5" s="325"/>
      <c r="KXQ5" s="325"/>
      <c r="KXR5" s="325"/>
      <c r="KXS5" s="325"/>
      <c r="KXT5" s="325"/>
      <c r="KXU5" s="325"/>
      <c r="KXV5" s="325"/>
      <c r="KXW5" s="325"/>
      <c r="KXX5" s="325"/>
      <c r="KXY5" s="325"/>
      <c r="KXZ5" s="325"/>
      <c r="KYA5" s="325"/>
      <c r="KYB5" s="325"/>
      <c r="KYC5" s="325"/>
      <c r="KYD5" s="325"/>
      <c r="KYE5" s="325"/>
      <c r="KYF5" s="325"/>
      <c r="KYG5" s="325"/>
      <c r="KYH5" s="325"/>
      <c r="KYI5" s="325"/>
      <c r="KYJ5" s="325"/>
      <c r="KYK5" s="325"/>
      <c r="KYL5" s="325"/>
      <c r="KYM5" s="325"/>
      <c r="KYN5" s="325"/>
      <c r="KYO5" s="325"/>
      <c r="KYP5" s="325"/>
      <c r="KYQ5" s="325"/>
      <c r="KYR5" s="325"/>
      <c r="KYS5" s="325"/>
      <c r="KYT5" s="325"/>
      <c r="KYU5" s="325"/>
      <c r="KYV5" s="325"/>
      <c r="KYW5" s="325"/>
      <c r="KYX5" s="325"/>
      <c r="KYY5" s="325"/>
      <c r="KYZ5" s="325"/>
      <c r="KZA5" s="325"/>
      <c r="KZB5" s="325"/>
      <c r="KZC5" s="325"/>
      <c r="KZD5" s="325"/>
      <c r="KZE5" s="325"/>
      <c r="KZF5" s="325"/>
      <c r="KZG5" s="325"/>
      <c r="KZH5" s="325"/>
      <c r="KZI5" s="325"/>
      <c r="KZJ5" s="325"/>
      <c r="KZK5" s="325"/>
      <c r="KZL5" s="325"/>
      <c r="KZM5" s="325"/>
      <c r="KZN5" s="325"/>
      <c r="KZO5" s="325"/>
      <c r="KZP5" s="325"/>
      <c r="KZQ5" s="325"/>
      <c r="KZR5" s="325"/>
      <c r="KZS5" s="325"/>
      <c r="KZT5" s="325"/>
      <c r="KZU5" s="325"/>
      <c r="KZV5" s="325"/>
      <c r="KZW5" s="325"/>
      <c r="KZX5" s="325"/>
      <c r="KZY5" s="325"/>
      <c r="KZZ5" s="325"/>
      <c r="LAA5" s="325"/>
      <c r="LAB5" s="325"/>
      <c r="LAC5" s="325"/>
      <c r="LAD5" s="325"/>
      <c r="LAE5" s="325"/>
      <c r="LAF5" s="325"/>
      <c r="LAG5" s="325"/>
      <c r="LAH5" s="325"/>
      <c r="LAI5" s="325"/>
      <c r="LAJ5" s="325"/>
      <c r="LAK5" s="325"/>
      <c r="LAL5" s="325"/>
      <c r="LAM5" s="325"/>
      <c r="LAN5" s="325"/>
      <c r="LAO5" s="325"/>
      <c r="LAP5" s="325"/>
      <c r="LAQ5" s="325"/>
      <c r="LAR5" s="325"/>
      <c r="LAS5" s="325"/>
      <c r="LAT5" s="325"/>
      <c r="LAU5" s="325"/>
      <c r="LAV5" s="325"/>
      <c r="LAW5" s="325"/>
      <c r="LAX5" s="325"/>
      <c r="LAY5" s="325"/>
      <c r="LAZ5" s="325"/>
      <c r="LBA5" s="325"/>
      <c r="LBB5" s="325"/>
      <c r="LBC5" s="325"/>
      <c r="LBD5" s="325"/>
      <c r="LBE5" s="325"/>
      <c r="LBF5" s="325"/>
      <c r="LBG5" s="325"/>
      <c r="LBH5" s="325"/>
      <c r="LBI5" s="325"/>
      <c r="LBJ5" s="325"/>
      <c r="LBK5" s="325"/>
      <c r="LBL5" s="325"/>
      <c r="LBM5" s="325"/>
      <c r="LBN5" s="325"/>
      <c r="LBO5" s="325"/>
      <c r="LBP5" s="325"/>
      <c r="LBQ5" s="325"/>
      <c r="LBR5" s="325"/>
      <c r="LBS5" s="325"/>
      <c r="LBT5" s="325"/>
      <c r="LBU5" s="325"/>
      <c r="LBV5" s="325"/>
      <c r="LBW5" s="325"/>
      <c r="LBX5" s="325"/>
      <c r="LBY5" s="325"/>
      <c r="LBZ5" s="325"/>
      <c r="LCA5" s="325"/>
      <c r="LCB5" s="325"/>
      <c r="LCC5" s="325"/>
      <c r="LCD5" s="325"/>
      <c r="LCE5" s="325"/>
      <c r="LCF5" s="325"/>
      <c r="LCG5" s="325"/>
      <c r="LCH5" s="325"/>
      <c r="LCI5" s="325"/>
      <c r="LCJ5" s="325"/>
      <c r="LCK5" s="325"/>
      <c r="LCL5" s="325"/>
      <c r="LCM5" s="325"/>
      <c r="LCN5" s="325"/>
      <c r="LCO5" s="325"/>
      <c r="LCP5" s="325"/>
      <c r="LCQ5" s="325"/>
      <c r="LCR5" s="325"/>
      <c r="LCS5" s="325"/>
      <c r="LCT5" s="325"/>
      <c r="LCU5" s="325"/>
      <c r="LCV5" s="325"/>
      <c r="LCW5" s="325"/>
      <c r="LCX5" s="325"/>
      <c r="LCY5" s="325"/>
      <c r="LCZ5" s="325"/>
      <c r="LDA5" s="325"/>
      <c r="LDB5" s="325"/>
      <c r="LDC5" s="325"/>
      <c r="LDD5" s="325"/>
      <c r="LDE5" s="325"/>
      <c r="LDF5" s="325"/>
      <c r="LDG5" s="325"/>
      <c r="LDH5" s="325"/>
      <c r="LDI5" s="325"/>
      <c r="LDJ5" s="325"/>
      <c r="LDK5" s="325"/>
      <c r="LDL5" s="325"/>
      <c r="LDM5" s="325"/>
      <c r="LDN5" s="325"/>
      <c r="LDO5" s="325"/>
      <c r="LDP5" s="325"/>
      <c r="LDQ5" s="325"/>
      <c r="LDR5" s="325"/>
      <c r="LDS5" s="325"/>
      <c r="LDT5" s="325"/>
      <c r="LDU5" s="325"/>
      <c r="LDV5" s="325"/>
      <c r="LDW5" s="325"/>
      <c r="LDX5" s="325"/>
      <c r="LDY5" s="325"/>
      <c r="LDZ5" s="325"/>
      <c r="LEA5" s="325"/>
      <c r="LEB5" s="325"/>
      <c r="LEC5" s="325"/>
      <c r="LED5" s="325"/>
      <c r="LEE5" s="325"/>
      <c r="LEF5" s="325"/>
      <c r="LEG5" s="325"/>
      <c r="LEH5" s="325"/>
      <c r="LEI5" s="325"/>
      <c r="LEJ5" s="325"/>
      <c r="LEK5" s="325"/>
      <c r="LEL5" s="325"/>
      <c r="LEM5" s="325"/>
      <c r="LEN5" s="325"/>
      <c r="LEO5" s="325"/>
      <c r="LEP5" s="325"/>
      <c r="LEQ5" s="325"/>
      <c r="LER5" s="325"/>
      <c r="LES5" s="325"/>
      <c r="LET5" s="325"/>
      <c r="LEU5" s="325"/>
      <c r="LEV5" s="325"/>
      <c r="LEW5" s="325"/>
      <c r="LEX5" s="325"/>
      <c r="LEY5" s="325"/>
      <c r="LEZ5" s="325"/>
      <c r="LFA5" s="325"/>
      <c r="LFB5" s="325"/>
      <c r="LFC5" s="325"/>
      <c r="LFD5" s="325"/>
      <c r="LFE5" s="325"/>
      <c r="LFF5" s="325"/>
      <c r="LFG5" s="325"/>
      <c r="LFH5" s="325"/>
      <c r="LFI5" s="325"/>
      <c r="LFJ5" s="325"/>
      <c r="LFK5" s="325"/>
      <c r="LFL5" s="325"/>
      <c r="LFM5" s="325"/>
      <c r="LFN5" s="325"/>
      <c r="LFO5" s="325"/>
      <c r="LFP5" s="325"/>
      <c r="LFQ5" s="325"/>
      <c r="LFR5" s="325"/>
      <c r="LFS5" s="325"/>
      <c r="LFT5" s="325"/>
      <c r="LFU5" s="325"/>
      <c r="LFV5" s="325"/>
      <c r="LFW5" s="325"/>
      <c r="LFX5" s="325"/>
      <c r="LFY5" s="325"/>
      <c r="LFZ5" s="325"/>
      <c r="LGA5" s="325"/>
      <c r="LGB5" s="325"/>
      <c r="LGC5" s="325"/>
      <c r="LGD5" s="325"/>
      <c r="LGE5" s="325"/>
      <c r="LGF5" s="325"/>
      <c r="LGG5" s="325"/>
      <c r="LGH5" s="325"/>
      <c r="LGI5" s="325"/>
      <c r="LGJ5" s="325"/>
      <c r="LGK5" s="325"/>
      <c r="LGL5" s="325"/>
      <c r="LGM5" s="325"/>
      <c r="LGN5" s="325"/>
      <c r="LGO5" s="325"/>
      <c r="LGP5" s="325"/>
      <c r="LGQ5" s="325"/>
      <c r="LGR5" s="325"/>
      <c r="LGS5" s="325"/>
      <c r="LGT5" s="325"/>
      <c r="LGU5" s="325"/>
      <c r="LGV5" s="325"/>
      <c r="LGW5" s="325"/>
      <c r="LGX5" s="325"/>
      <c r="LGY5" s="325"/>
      <c r="LGZ5" s="325"/>
      <c r="LHA5" s="325"/>
      <c r="LHB5" s="325"/>
      <c r="LHC5" s="325"/>
      <c r="LHD5" s="325"/>
      <c r="LHE5" s="325"/>
      <c r="LHF5" s="325"/>
      <c r="LHG5" s="325"/>
      <c r="LHH5" s="325"/>
      <c r="LHI5" s="325"/>
      <c r="LHJ5" s="325"/>
      <c r="LHK5" s="325"/>
      <c r="LHL5" s="325"/>
      <c r="LHM5" s="325"/>
      <c r="LHN5" s="325"/>
      <c r="LHO5" s="325"/>
      <c r="LHP5" s="325"/>
      <c r="LHQ5" s="325"/>
      <c r="LHR5" s="325"/>
      <c r="LHS5" s="325"/>
      <c r="LHT5" s="325"/>
      <c r="LHU5" s="325"/>
      <c r="LHV5" s="325"/>
      <c r="LHW5" s="325"/>
      <c r="LHX5" s="325"/>
      <c r="LHY5" s="325"/>
      <c r="LHZ5" s="325"/>
      <c r="LIA5" s="325"/>
      <c r="LIB5" s="325"/>
      <c r="LIC5" s="325"/>
      <c r="LID5" s="325"/>
      <c r="LIE5" s="325"/>
      <c r="LIF5" s="325"/>
      <c r="LIG5" s="325"/>
      <c r="LIH5" s="325"/>
      <c r="LII5" s="325"/>
      <c r="LIJ5" s="325"/>
      <c r="LIK5" s="325"/>
      <c r="LIL5" s="325"/>
      <c r="LIM5" s="325"/>
      <c r="LIN5" s="325"/>
      <c r="LIO5" s="325"/>
      <c r="LIP5" s="325"/>
      <c r="LIQ5" s="325"/>
      <c r="LIR5" s="325"/>
      <c r="LIS5" s="325"/>
      <c r="LIT5" s="325"/>
      <c r="LIU5" s="325"/>
      <c r="LIV5" s="325"/>
      <c r="LIW5" s="325"/>
      <c r="LIX5" s="325"/>
      <c r="LIY5" s="325"/>
      <c r="LIZ5" s="325"/>
      <c r="LJA5" s="325"/>
      <c r="LJB5" s="325"/>
      <c r="LJC5" s="325"/>
      <c r="LJD5" s="325"/>
      <c r="LJE5" s="325"/>
      <c r="LJF5" s="325"/>
      <c r="LJG5" s="325"/>
      <c r="LJH5" s="325"/>
      <c r="LJI5" s="325"/>
      <c r="LJJ5" s="325"/>
      <c r="LJK5" s="325"/>
      <c r="LJL5" s="325"/>
      <c r="LJM5" s="325"/>
      <c r="LJN5" s="325"/>
      <c r="LJO5" s="325"/>
      <c r="LJP5" s="325"/>
      <c r="LJQ5" s="325"/>
      <c r="LJR5" s="325"/>
      <c r="LJS5" s="325"/>
      <c r="LJT5" s="325"/>
      <c r="LJU5" s="325"/>
      <c r="LJV5" s="325"/>
      <c r="LJW5" s="325"/>
      <c r="LJX5" s="325"/>
      <c r="LJY5" s="325"/>
      <c r="LJZ5" s="325"/>
      <c r="LKA5" s="325"/>
      <c r="LKB5" s="325"/>
      <c r="LKC5" s="325"/>
      <c r="LKD5" s="325"/>
      <c r="LKE5" s="325"/>
      <c r="LKF5" s="325"/>
      <c r="LKG5" s="325"/>
      <c r="LKH5" s="325"/>
      <c r="LKI5" s="325"/>
      <c r="LKJ5" s="325"/>
      <c r="LKK5" s="325"/>
      <c r="LKL5" s="325"/>
      <c r="LKM5" s="325"/>
      <c r="LKN5" s="325"/>
      <c r="LKO5" s="325"/>
      <c r="LKP5" s="325"/>
      <c r="LKQ5" s="325"/>
      <c r="LKR5" s="325"/>
      <c r="LKS5" s="325"/>
      <c r="LKT5" s="325"/>
      <c r="LKU5" s="325"/>
      <c r="LKV5" s="325"/>
      <c r="LKW5" s="325"/>
      <c r="LKX5" s="325"/>
      <c r="LKY5" s="325"/>
      <c r="LKZ5" s="325"/>
      <c r="LLA5" s="325"/>
      <c r="LLB5" s="325"/>
      <c r="LLC5" s="325"/>
      <c r="LLD5" s="325"/>
      <c r="LLE5" s="325"/>
      <c r="LLF5" s="325"/>
      <c r="LLG5" s="325"/>
      <c r="LLH5" s="325"/>
      <c r="LLI5" s="325"/>
      <c r="LLJ5" s="325"/>
      <c r="LLK5" s="325"/>
      <c r="LLL5" s="325"/>
      <c r="LLM5" s="325"/>
      <c r="LLN5" s="325"/>
      <c r="LLO5" s="325"/>
      <c r="LLP5" s="325"/>
      <c r="LLQ5" s="325"/>
      <c r="LLR5" s="325"/>
      <c r="LLS5" s="325"/>
      <c r="LLT5" s="325"/>
      <c r="LLU5" s="325"/>
      <c r="LLV5" s="325"/>
      <c r="LLW5" s="325"/>
      <c r="LLX5" s="325"/>
      <c r="LLY5" s="325"/>
      <c r="LLZ5" s="325"/>
      <c r="LMA5" s="325"/>
      <c r="LMB5" s="325"/>
      <c r="LMC5" s="325"/>
      <c r="LMD5" s="325"/>
      <c r="LME5" s="325"/>
      <c r="LMF5" s="325"/>
      <c r="LMG5" s="325"/>
      <c r="LMH5" s="325"/>
      <c r="LMI5" s="325"/>
      <c r="LMJ5" s="325"/>
      <c r="LMK5" s="325"/>
      <c r="LML5" s="325"/>
      <c r="LMM5" s="325"/>
      <c r="LMN5" s="325"/>
      <c r="LMO5" s="325"/>
      <c r="LMP5" s="325"/>
      <c r="LMQ5" s="325"/>
      <c r="LMR5" s="325"/>
      <c r="LMS5" s="325"/>
      <c r="LMT5" s="325"/>
      <c r="LMU5" s="325"/>
      <c r="LMV5" s="325"/>
      <c r="LMW5" s="325"/>
      <c r="LMX5" s="325"/>
      <c r="LMY5" s="325"/>
      <c r="LMZ5" s="325"/>
      <c r="LNA5" s="325"/>
      <c r="LNB5" s="325"/>
      <c r="LNC5" s="325"/>
      <c r="LND5" s="325"/>
      <c r="LNE5" s="325"/>
      <c r="LNF5" s="325"/>
      <c r="LNG5" s="325"/>
      <c r="LNH5" s="325"/>
      <c r="LNI5" s="325"/>
      <c r="LNJ5" s="325"/>
      <c r="LNK5" s="325"/>
      <c r="LNL5" s="325"/>
      <c r="LNM5" s="325"/>
      <c r="LNN5" s="325"/>
      <c r="LNO5" s="325"/>
      <c r="LNP5" s="325"/>
      <c r="LNQ5" s="325"/>
      <c r="LNR5" s="325"/>
      <c r="LNS5" s="325"/>
      <c r="LNT5" s="325"/>
      <c r="LNU5" s="325"/>
      <c r="LNV5" s="325"/>
      <c r="LNW5" s="325"/>
      <c r="LNX5" s="325"/>
      <c r="LNY5" s="325"/>
      <c r="LNZ5" s="325"/>
      <c r="LOA5" s="325"/>
      <c r="LOB5" s="325"/>
      <c r="LOC5" s="325"/>
      <c r="LOD5" s="325"/>
      <c r="LOE5" s="325"/>
      <c r="LOF5" s="325"/>
      <c r="LOG5" s="325"/>
      <c r="LOH5" s="325"/>
      <c r="LOI5" s="325"/>
      <c r="LOJ5" s="325"/>
      <c r="LOK5" s="325"/>
      <c r="LOL5" s="325"/>
      <c r="LOM5" s="325"/>
      <c r="LON5" s="325"/>
      <c r="LOO5" s="325"/>
      <c r="LOP5" s="325"/>
      <c r="LOQ5" s="325"/>
      <c r="LOR5" s="325"/>
      <c r="LOS5" s="325"/>
      <c r="LOT5" s="325"/>
      <c r="LOU5" s="325"/>
      <c r="LOV5" s="325"/>
      <c r="LOW5" s="325"/>
      <c r="LOX5" s="325"/>
      <c r="LOY5" s="325"/>
      <c r="LOZ5" s="325"/>
      <c r="LPA5" s="325"/>
      <c r="LPB5" s="325"/>
      <c r="LPC5" s="325"/>
      <c r="LPD5" s="325"/>
      <c r="LPE5" s="325"/>
      <c r="LPF5" s="325"/>
      <c r="LPG5" s="325"/>
      <c r="LPH5" s="325"/>
      <c r="LPI5" s="325"/>
      <c r="LPJ5" s="325"/>
      <c r="LPK5" s="325"/>
      <c r="LPL5" s="325"/>
      <c r="LPM5" s="325"/>
      <c r="LPN5" s="325"/>
      <c r="LPO5" s="325"/>
      <c r="LPP5" s="325"/>
      <c r="LPQ5" s="325"/>
      <c r="LPR5" s="325"/>
      <c r="LPS5" s="325"/>
      <c r="LPT5" s="325"/>
      <c r="LPU5" s="325"/>
      <c r="LPV5" s="325"/>
      <c r="LPW5" s="325"/>
      <c r="LPX5" s="325"/>
      <c r="LPY5" s="325"/>
      <c r="LPZ5" s="325"/>
      <c r="LQA5" s="325"/>
      <c r="LQB5" s="325"/>
      <c r="LQC5" s="325"/>
      <c r="LQD5" s="325"/>
      <c r="LQE5" s="325"/>
      <c r="LQF5" s="325"/>
      <c r="LQG5" s="325"/>
      <c r="LQH5" s="325"/>
      <c r="LQI5" s="325"/>
      <c r="LQJ5" s="325"/>
      <c r="LQK5" s="325"/>
      <c r="LQL5" s="325"/>
      <c r="LQM5" s="325"/>
      <c r="LQN5" s="325"/>
      <c r="LQO5" s="325"/>
      <c r="LQP5" s="325"/>
      <c r="LQQ5" s="325"/>
      <c r="LQR5" s="325"/>
      <c r="LQS5" s="325"/>
      <c r="LQT5" s="325"/>
      <c r="LQU5" s="325"/>
      <c r="LQV5" s="325"/>
      <c r="LQW5" s="325"/>
      <c r="LQX5" s="325"/>
      <c r="LQY5" s="325"/>
      <c r="LQZ5" s="325"/>
      <c r="LRA5" s="325"/>
      <c r="LRB5" s="325"/>
      <c r="LRC5" s="325"/>
      <c r="LRD5" s="325"/>
      <c r="LRE5" s="325"/>
      <c r="LRF5" s="325"/>
      <c r="LRG5" s="325"/>
      <c r="LRH5" s="325"/>
      <c r="LRI5" s="325"/>
      <c r="LRJ5" s="325"/>
      <c r="LRK5" s="325"/>
      <c r="LRL5" s="325"/>
      <c r="LRM5" s="325"/>
      <c r="LRN5" s="325"/>
      <c r="LRO5" s="325"/>
      <c r="LRP5" s="325"/>
      <c r="LRQ5" s="325"/>
      <c r="LRR5" s="325"/>
      <c r="LRS5" s="325"/>
      <c r="LRT5" s="325"/>
      <c r="LRU5" s="325"/>
      <c r="LRV5" s="325"/>
      <c r="LRW5" s="325"/>
      <c r="LRX5" s="325"/>
      <c r="LRY5" s="325"/>
      <c r="LRZ5" s="325"/>
      <c r="LSA5" s="325"/>
      <c r="LSB5" s="325"/>
      <c r="LSC5" s="325"/>
      <c r="LSD5" s="325"/>
      <c r="LSE5" s="325"/>
      <c r="LSF5" s="325"/>
      <c r="LSG5" s="325"/>
      <c r="LSH5" s="325"/>
      <c r="LSI5" s="325"/>
      <c r="LSJ5" s="325"/>
      <c r="LSK5" s="325"/>
      <c r="LSL5" s="325"/>
      <c r="LSM5" s="325"/>
      <c r="LSN5" s="325"/>
      <c r="LSO5" s="325"/>
      <c r="LSP5" s="325"/>
      <c r="LSQ5" s="325"/>
      <c r="LSR5" s="325"/>
      <c r="LSS5" s="325"/>
      <c r="LST5" s="325"/>
      <c r="LSU5" s="325"/>
      <c r="LSV5" s="325"/>
      <c r="LSW5" s="325"/>
      <c r="LSX5" s="325"/>
      <c r="LSY5" s="325"/>
      <c r="LSZ5" s="325"/>
      <c r="LTA5" s="325"/>
      <c r="LTB5" s="325"/>
      <c r="LTC5" s="325"/>
      <c r="LTD5" s="325"/>
      <c r="LTE5" s="325"/>
      <c r="LTF5" s="325"/>
      <c r="LTG5" s="325"/>
      <c r="LTH5" s="325"/>
      <c r="LTI5" s="325"/>
      <c r="LTJ5" s="325"/>
      <c r="LTK5" s="325"/>
      <c r="LTL5" s="325"/>
      <c r="LTM5" s="325"/>
      <c r="LTN5" s="325"/>
      <c r="LTO5" s="325"/>
      <c r="LTP5" s="325"/>
      <c r="LTQ5" s="325"/>
      <c r="LTR5" s="325"/>
      <c r="LTS5" s="325"/>
      <c r="LTT5" s="325"/>
      <c r="LTU5" s="325"/>
      <c r="LTV5" s="325"/>
      <c r="LTW5" s="325"/>
      <c r="LTX5" s="325"/>
      <c r="LTY5" s="325"/>
      <c r="LTZ5" s="325"/>
      <c r="LUA5" s="325"/>
      <c r="LUB5" s="325"/>
      <c r="LUC5" s="325"/>
      <c r="LUD5" s="325"/>
      <c r="LUE5" s="325"/>
      <c r="LUF5" s="325"/>
      <c r="LUG5" s="325"/>
      <c r="LUH5" s="325"/>
      <c r="LUI5" s="325"/>
      <c r="LUJ5" s="325"/>
      <c r="LUK5" s="325"/>
      <c r="LUL5" s="325"/>
      <c r="LUM5" s="325"/>
      <c r="LUN5" s="325"/>
      <c r="LUO5" s="325"/>
      <c r="LUP5" s="325"/>
      <c r="LUQ5" s="325"/>
      <c r="LUR5" s="325"/>
      <c r="LUS5" s="325"/>
      <c r="LUT5" s="325"/>
      <c r="LUU5" s="325"/>
      <c r="LUV5" s="325"/>
      <c r="LUW5" s="325"/>
      <c r="LUX5" s="325"/>
      <c r="LUY5" s="325"/>
      <c r="LUZ5" s="325"/>
      <c r="LVA5" s="325"/>
      <c r="LVB5" s="325"/>
      <c r="LVC5" s="325"/>
      <c r="LVD5" s="325"/>
      <c r="LVE5" s="325"/>
      <c r="LVF5" s="325"/>
      <c r="LVG5" s="325"/>
      <c r="LVH5" s="325"/>
      <c r="LVI5" s="325"/>
      <c r="LVJ5" s="325"/>
      <c r="LVK5" s="325"/>
      <c r="LVL5" s="325"/>
      <c r="LVM5" s="325"/>
      <c r="LVN5" s="325"/>
      <c r="LVO5" s="325"/>
      <c r="LVP5" s="325"/>
      <c r="LVQ5" s="325"/>
      <c r="LVR5" s="325"/>
      <c r="LVS5" s="325"/>
      <c r="LVT5" s="325"/>
      <c r="LVU5" s="325"/>
      <c r="LVV5" s="325"/>
      <c r="LVW5" s="325"/>
      <c r="LVX5" s="325"/>
      <c r="LVY5" s="325"/>
      <c r="LVZ5" s="325"/>
      <c r="LWA5" s="325"/>
      <c r="LWB5" s="325"/>
      <c r="LWC5" s="325"/>
      <c r="LWD5" s="325"/>
      <c r="LWE5" s="325"/>
      <c r="LWF5" s="325"/>
      <c r="LWG5" s="325"/>
      <c r="LWH5" s="325"/>
      <c r="LWI5" s="325"/>
      <c r="LWJ5" s="325"/>
      <c r="LWK5" s="325"/>
      <c r="LWL5" s="325"/>
      <c r="LWM5" s="325"/>
      <c r="LWN5" s="325"/>
      <c r="LWO5" s="325"/>
      <c r="LWP5" s="325"/>
      <c r="LWQ5" s="325"/>
      <c r="LWR5" s="325"/>
      <c r="LWS5" s="325"/>
      <c r="LWT5" s="325"/>
      <c r="LWU5" s="325"/>
      <c r="LWV5" s="325"/>
      <c r="LWW5" s="325"/>
      <c r="LWX5" s="325"/>
      <c r="LWY5" s="325"/>
      <c r="LWZ5" s="325"/>
      <c r="LXA5" s="325"/>
      <c r="LXB5" s="325"/>
      <c r="LXC5" s="325"/>
      <c r="LXD5" s="325"/>
      <c r="LXE5" s="325"/>
      <c r="LXF5" s="325"/>
      <c r="LXG5" s="325"/>
      <c r="LXH5" s="325"/>
      <c r="LXI5" s="325"/>
      <c r="LXJ5" s="325"/>
      <c r="LXK5" s="325"/>
      <c r="LXL5" s="325"/>
      <c r="LXM5" s="325"/>
      <c r="LXN5" s="325"/>
      <c r="LXO5" s="325"/>
      <c r="LXP5" s="325"/>
      <c r="LXQ5" s="325"/>
      <c r="LXR5" s="325"/>
      <c r="LXS5" s="325"/>
      <c r="LXT5" s="325"/>
      <c r="LXU5" s="325"/>
      <c r="LXV5" s="325"/>
      <c r="LXW5" s="325"/>
      <c r="LXX5" s="325"/>
      <c r="LXY5" s="325"/>
      <c r="LXZ5" s="325"/>
      <c r="LYA5" s="325"/>
      <c r="LYB5" s="325"/>
      <c r="LYC5" s="325"/>
      <c r="LYD5" s="325"/>
      <c r="LYE5" s="325"/>
      <c r="LYF5" s="325"/>
      <c r="LYG5" s="325"/>
      <c r="LYH5" s="325"/>
      <c r="LYI5" s="325"/>
      <c r="LYJ5" s="325"/>
      <c r="LYK5" s="325"/>
      <c r="LYL5" s="325"/>
      <c r="LYM5" s="325"/>
      <c r="LYN5" s="325"/>
      <c r="LYO5" s="325"/>
      <c r="LYP5" s="325"/>
      <c r="LYQ5" s="325"/>
      <c r="LYR5" s="325"/>
      <c r="LYS5" s="325"/>
      <c r="LYT5" s="325"/>
      <c r="LYU5" s="325"/>
      <c r="LYV5" s="325"/>
      <c r="LYW5" s="325"/>
      <c r="LYX5" s="325"/>
      <c r="LYY5" s="325"/>
      <c r="LYZ5" s="325"/>
      <c r="LZA5" s="325"/>
      <c r="LZB5" s="325"/>
      <c r="LZC5" s="325"/>
      <c r="LZD5" s="325"/>
      <c r="LZE5" s="325"/>
      <c r="LZF5" s="325"/>
      <c r="LZG5" s="325"/>
      <c r="LZH5" s="325"/>
      <c r="LZI5" s="325"/>
      <c r="LZJ5" s="325"/>
      <c r="LZK5" s="325"/>
      <c r="LZL5" s="325"/>
      <c r="LZM5" s="325"/>
      <c r="LZN5" s="325"/>
      <c r="LZO5" s="325"/>
      <c r="LZP5" s="325"/>
      <c r="LZQ5" s="325"/>
      <c r="LZR5" s="325"/>
      <c r="LZS5" s="325"/>
      <c r="LZT5" s="325"/>
      <c r="LZU5" s="325"/>
      <c r="LZV5" s="325"/>
      <c r="LZW5" s="325"/>
      <c r="LZX5" s="325"/>
      <c r="LZY5" s="325"/>
      <c r="LZZ5" s="325"/>
      <c r="MAA5" s="325"/>
      <c r="MAB5" s="325"/>
      <c r="MAC5" s="325"/>
      <c r="MAD5" s="325"/>
      <c r="MAE5" s="325"/>
      <c r="MAF5" s="325"/>
      <c r="MAG5" s="325"/>
      <c r="MAH5" s="325"/>
      <c r="MAI5" s="325"/>
      <c r="MAJ5" s="325"/>
      <c r="MAK5" s="325"/>
      <c r="MAL5" s="325"/>
      <c r="MAM5" s="325"/>
      <c r="MAN5" s="325"/>
      <c r="MAO5" s="325"/>
      <c r="MAP5" s="325"/>
      <c r="MAQ5" s="325"/>
      <c r="MAR5" s="325"/>
      <c r="MAS5" s="325"/>
      <c r="MAT5" s="325"/>
      <c r="MAU5" s="325"/>
      <c r="MAV5" s="325"/>
      <c r="MAW5" s="325"/>
      <c r="MAX5" s="325"/>
      <c r="MAY5" s="325"/>
      <c r="MAZ5" s="325"/>
      <c r="MBA5" s="325"/>
      <c r="MBB5" s="325"/>
      <c r="MBC5" s="325"/>
      <c r="MBD5" s="325"/>
      <c r="MBE5" s="325"/>
      <c r="MBF5" s="325"/>
      <c r="MBG5" s="325"/>
      <c r="MBH5" s="325"/>
      <c r="MBI5" s="325"/>
      <c r="MBJ5" s="325"/>
      <c r="MBK5" s="325"/>
      <c r="MBL5" s="325"/>
      <c r="MBM5" s="325"/>
      <c r="MBN5" s="325"/>
      <c r="MBO5" s="325"/>
      <c r="MBP5" s="325"/>
      <c r="MBQ5" s="325"/>
      <c r="MBR5" s="325"/>
      <c r="MBS5" s="325"/>
      <c r="MBT5" s="325"/>
      <c r="MBU5" s="325"/>
      <c r="MBV5" s="325"/>
      <c r="MBW5" s="325"/>
      <c r="MBX5" s="325"/>
      <c r="MBY5" s="325"/>
      <c r="MBZ5" s="325"/>
      <c r="MCA5" s="325"/>
      <c r="MCB5" s="325"/>
      <c r="MCC5" s="325"/>
      <c r="MCD5" s="325"/>
      <c r="MCE5" s="325"/>
      <c r="MCF5" s="325"/>
      <c r="MCG5" s="325"/>
      <c r="MCH5" s="325"/>
      <c r="MCI5" s="325"/>
      <c r="MCJ5" s="325"/>
      <c r="MCK5" s="325"/>
      <c r="MCL5" s="325"/>
      <c r="MCM5" s="325"/>
      <c r="MCN5" s="325"/>
      <c r="MCO5" s="325"/>
      <c r="MCP5" s="325"/>
      <c r="MCQ5" s="325"/>
      <c r="MCR5" s="325"/>
      <c r="MCS5" s="325"/>
      <c r="MCT5" s="325"/>
      <c r="MCU5" s="325"/>
      <c r="MCV5" s="325"/>
      <c r="MCW5" s="325"/>
      <c r="MCX5" s="325"/>
      <c r="MCY5" s="325"/>
      <c r="MCZ5" s="325"/>
      <c r="MDA5" s="325"/>
      <c r="MDB5" s="325"/>
      <c r="MDC5" s="325"/>
      <c r="MDD5" s="325"/>
      <c r="MDE5" s="325"/>
      <c r="MDF5" s="325"/>
      <c r="MDG5" s="325"/>
      <c r="MDH5" s="325"/>
      <c r="MDI5" s="325"/>
      <c r="MDJ5" s="325"/>
      <c r="MDK5" s="325"/>
      <c r="MDL5" s="325"/>
      <c r="MDM5" s="325"/>
      <c r="MDN5" s="325"/>
      <c r="MDO5" s="325"/>
      <c r="MDP5" s="325"/>
      <c r="MDQ5" s="325"/>
      <c r="MDR5" s="325"/>
      <c r="MDS5" s="325"/>
      <c r="MDT5" s="325"/>
      <c r="MDU5" s="325"/>
      <c r="MDV5" s="325"/>
      <c r="MDW5" s="325"/>
      <c r="MDX5" s="325"/>
      <c r="MDY5" s="325"/>
      <c r="MDZ5" s="325"/>
      <c r="MEA5" s="325"/>
      <c r="MEB5" s="325"/>
      <c r="MEC5" s="325"/>
      <c r="MED5" s="325"/>
      <c r="MEE5" s="325"/>
      <c r="MEF5" s="325"/>
      <c r="MEG5" s="325"/>
      <c r="MEH5" s="325"/>
      <c r="MEI5" s="325"/>
      <c r="MEJ5" s="325"/>
      <c r="MEK5" s="325"/>
      <c r="MEL5" s="325"/>
      <c r="MEM5" s="325"/>
      <c r="MEN5" s="325"/>
      <c r="MEO5" s="325"/>
      <c r="MEP5" s="325"/>
      <c r="MEQ5" s="325"/>
      <c r="MER5" s="325"/>
      <c r="MES5" s="325"/>
      <c r="MET5" s="325"/>
      <c r="MEU5" s="325"/>
      <c r="MEV5" s="325"/>
      <c r="MEW5" s="325"/>
      <c r="MEX5" s="325"/>
      <c r="MEY5" s="325"/>
      <c r="MEZ5" s="325"/>
      <c r="MFA5" s="325"/>
      <c r="MFB5" s="325"/>
      <c r="MFC5" s="325"/>
      <c r="MFD5" s="325"/>
      <c r="MFE5" s="325"/>
      <c r="MFF5" s="325"/>
      <c r="MFG5" s="325"/>
      <c r="MFH5" s="325"/>
      <c r="MFI5" s="325"/>
      <c r="MFJ5" s="325"/>
      <c r="MFK5" s="325"/>
      <c r="MFL5" s="325"/>
      <c r="MFM5" s="325"/>
      <c r="MFN5" s="325"/>
      <c r="MFO5" s="325"/>
      <c r="MFP5" s="325"/>
      <c r="MFQ5" s="325"/>
      <c r="MFR5" s="325"/>
      <c r="MFS5" s="325"/>
      <c r="MFT5" s="325"/>
      <c r="MFU5" s="325"/>
      <c r="MFV5" s="325"/>
      <c r="MFW5" s="325"/>
      <c r="MFX5" s="325"/>
      <c r="MFY5" s="325"/>
      <c r="MFZ5" s="325"/>
      <c r="MGA5" s="325"/>
      <c r="MGB5" s="325"/>
      <c r="MGC5" s="325"/>
      <c r="MGD5" s="325"/>
      <c r="MGE5" s="325"/>
      <c r="MGF5" s="325"/>
      <c r="MGG5" s="325"/>
      <c r="MGH5" s="325"/>
      <c r="MGI5" s="325"/>
      <c r="MGJ5" s="325"/>
      <c r="MGK5" s="325"/>
      <c r="MGL5" s="325"/>
      <c r="MGM5" s="325"/>
      <c r="MGN5" s="325"/>
      <c r="MGO5" s="325"/>
      <c r="MGP5" s="325"/>
      <c r="MGQ5" s="325"/>
      <c r="MGR5" s="325"/>
      <c r="MGS5" s="325"/>
      <c r="MGT5" s="325"/>
      <c r="MGU5" s="325"/>
      <c r="MGV5" s="325"/>
      <c r="MGW5" s="325"/>
      <c r="MGX5" s="325"/>
      <c r="MGY5" s="325"/>
      <c r="MGZ5" s="325"/>
      <c r="MHA5" s="325"/>
      <c r="MHB5" s="325"/>
      <c r="MHC5" s="325"/>
      <c r="MHD5" s="325"/>
      <c r="MHE5" s="325"/>
      <c r="MHF5" s="325"/>
      <c r="MHG5" s="325"/>
      <c r="MHH5" s="325"/>
      <c r="MHI5" s="325"/>
      <c r="MHJ5" s="325"/>
      <c r="MHK5" s="325"/>
      <c r="MHL5" s="325"/>
      <c r="MHM5" s="325"/>
      <c r="MHN5" s="325"/>
      <c r="MHO5" s="325"/>
      <c r="MHP5" s="325"/>
      <c r="MHQ5" s="325"/>
      <c r="MHR5" s="325"/>
      <c r="MHS5" s="325"/>
      <c r="MHT5" s="325"/>
      <c r="MHU5" s="325"/>
      <c r="MHV5" s="325"/>
      <c r="MHW5" s="325"/>
      <c r="MHX5" s="325"/>
      <c r="MHY5" s="325"/>
      <c r="MHZ5" s="325"/>
      <c r="MIA5" s="325"/>
      <c r="MIB5" s="325"/>
      <c r="MIC5" s="325"/>
      <c r="MID5" s="325"/>
      <c r="MIE5" s="325"/>
      <c r="MIF5" s="325"/>
      <c r="MIG5" s="325"/>
      <c r="MIH5" s="325"/>
      <c r="MII5" s="325"/>
      <c r="MIJ5" s="325"/>
      <c r="MIK5" s="325"/>
      <c r="MIL5" s="325"/>
      <c r="MIM5" s="325"/>
      <c r="MIN5" s="325"/>
      <c r="MIO5" s="325"/>
      <c r="MIP5" s="325"/>
      <c r="MIQ5" s="325"/>
      <c r="MIR5" s="325"/>
      <c r="MIS5" s="325"/>
      <c r="MIT5" s="325"/>
      <c r="MIU5" s="325"/>
      <c r="MIV5" s="325"/>
      <c r="MIW5" s="325"/>
      <c r="MIX5" s="325"/>
      <c r="MIY5" s="325"/>
      <c r="MIZ5" s="325"/>
      <c r="MJA5" s="325"/>
      <c r="MJB5" s="325"/>
      <c r="MJC5" s="325"/>
      <c r="MJD5" s="325"/>
      <c r="MJE5" s="325"/>
      <c r="MJF5" s="325"/>
      <c r="MJG5" s="325"/>
      <c r="MJH5" s="325"/>
      <c r="MJI5" s="325"/>
      <c r="MJJ5" s="325"/>
      <c r="MJK5" s="325"/>
      <c r="MJL5" s="325"/>
      <c r="MJM5" s="325"/>
      <c r="MJN5" s="325"/>
      <c r="MJO5" s="325"/>
      <c r="MJP5" s="325"/>
      <c r="MJQ5" s="325"/>
      <c r="MJR5" s="325"/>
      <c r="MJS5" s="325"/>
      <c r="MJT5" s="325"/>
      <c r="MJU5" s="325"/>
      <c r="MJV5" s="325"/>
      <c r="MJW5" s="325"/>
      <c r="MJX5" s="325"/>
      <c r="MJY5" s="325"/>
      <c r="MJZ5" s="325"/>
      <c r="MKA5" s="325"/>
      <c r="MKB5" s="325"/>
      <c r="MKC5" s="325"/>
      <c r="MKD5" s="325"/>
      <c r="MKE5" s="325"/>
      <c r="MKF5" s="325"/>
      <c r="MKG5" s="325"/>
      <c r="MKH5" s="325"/>
      <c r="MKI5" s="325"/>
      <c r="MKJ5" s="325"/>
      <c r="MKK5" s="325"/>
      <c r="MKL5" s="325"/>
      <c r="MKM5" s="325"/>
      <c r="MKN5" s="325"/>
      <c r="MKO5" s="325"/>
      <c r="MKP5" s="325"/>
      <c r="MKQ5" s="325"/>
      <c r="MKR5" s="325"/>
      <c r="MKS5" s="325"/>
      <c r="MKT5" s="325"/>
      <c r="MKU5" s="325"/>
      <c r="MKV5" s="325"/>
      <c r="MKW5" s="325"/>
      <c r="MKX5" s="325"/>
      <c r="MKY5" s="325"/>
      <c r="MKZ5" s="325"/>
      <c r="MLA5" s="325"/>
      <c r="MLB5" s="325"/>
      <c r="MLC5" s="325"/>
      <c r="MLD5" s="325"/>
      <c r="MLE5" s="325"/>
      <c r="MLF5" s="325"/>
      <c r="MLG5" s="325"/>
      <c r="MLH5" s="325"/>
      <c r="MLI5" s="325"/>
      <c r="MLJ5" s="325"/>
      <c r="MLK5" s="325"/>
      <c r="MLL5" s="325"/>
      <c r="MLM5" s="325"/>
      <c r="MLN5" s="325"/>
      <c r="MLO5" s="325"/>
      <c r="MLP5" s="325"/>
      <c r="MLQ5" s="325"/>
      <c r="MLR5" s="325"/>
      <c r="MLS5" s="325"/>
      <c r="MLT5" s="325"/>
      <c r="MLU5" s="325"/>
      <c r="MLV5" s="325"/>
      <c r="MLW5" s="325"/>
      <c r="MLX5" s="325"/>
      <c r="MLY5" s="325"/>
      <c r="MLZ5" s="325"/>
      <c r="MMA5" s="325"/>
      <c r="MMB5" s="325"/>
      <c r="MMC5" s="325"/>
      <c r="MMD5" s="325"/>
      <c r="MME5" s="325"/>
      <c r="MMF5" s="325"/>
      <c r="MMG5" s="325"/>
      <c r="MMH5" s="325"/>
      <c r="MMI5" s="325"/>
      <c r="MMJ5" s="325"/>
      <c r="MMK5" s="325"/>
      <c r="MML5" s="325"/>
      <c r="MMM5" s="325"/>
      <c r="MMN5" s="325"/>
      <c r="MMO5" s="325"/>
      <c r="MMP5" s="325"/>
      <c r="MMQ5" s="325"/>
      <c r="MMR5" s="325"/>
      <c r="MMS5" s="325"/>
      <c r="MMT5" s="325"/>
      <c r="MMU5" s="325"/>
      <c r="MMV5" s="325"/>
      <c r="MMW5" s="325"/>
      <c r="MMX5" s="325"/>
      <c r="MMY5" s="325"/>
      <c r="MMZ5" s="325"/>
      <c r="MNA5" s="325"/>
      <c r="MNB5" s="325"/>
      <c r="MNC5" s="325"/>
      <c r="MND5" s="325"/>
      <c r="MNE5" s="325"/>
      <c r="MNF5" s="325"/>
      <c r="MNG5" s="325"/>
      <c r="MNH5" s="325"/>
      <c r="MNI5" s="325"/>
      <c r="MNJ5" s="325"/>
      <c r="MNK5" s="325"/>
      <c r="MNL5" s="325"/>
      <c r="MNM5" s="325"/>
      <c r="MNN5" s="325"/>
      <c r="MNO5" s="325"/>
      <c r="MNP5" s="325"/>
      <c r="MNQ5" s="325"/>
      <c r="MNR5" s="325"/>
      <c r="MNS5" s="325"/>
      <c r="MNT5" s="325"/>
      <c r="MNU5" s="325"/>
      <c r="MNV5" s="325"/>
      <c r="MNW5" s="325"/>
      <c r="MNX5" s="325"/>
      <c r="MNY5" s="325"/>
      <c r="MNZ5" s="325"/>
      <c r="MOA5" s="325"/>
      <c r="MOB5" s="325"/>
      <c r="MOC5" s="325"/>
      <c r="MOD5" s="325"/>
      <c r="MOE5" s="325"/>
      <c r="MOF5" s="325"/>
      <c r="MOG5" s="325"/>
      <c r="MOH5" s="325"/>
      <c r="MOI5" s="325"/>
      <c r="MOJ5" s="325"/>
      <c r="MOK5" s="325"/>
      <c r="MOL5" s="325"/>
      <c r="MOM5" s="325"/>
      <c r="MON5" s="325"/>
      <c r="MOO5" s="325"/>
      <c r="MOP5" s="325"/>
      <c r="MOQ5" s="325"/>
      <c r="MOR5" s="325"/>
      <c r="MOS5" s="325"/>
      <c r="MOT5" s="325"/>
      <c r="MOU5" s="325"/>
      <c r="MOV5" s="325"/>
      <c r="MOW5" s="325"/>
      <c r="MOX5" s="325"/>
      <c r="MOY5" s="325"/>
      <c r="MOZ5" s="325"/>
      <c r="MPA5" s="325"/>
      <c r="MPB5" s="325"/>
      <c r="MPC5" s="325"/>
      <c r="MPD5" s="325"/>
      <c r="MPE5" s="325"/>
      <c r="MPF5" s="325"/>
      <c r="MPG5" s="325"/>
      <c r="MPH5" s="325"/>
      <c r="MPI5" s="325"/>
      <c r="MPJ5" s="325"/>
      <c r="MPK5" s="325"/>
      <c r="MPL5" s="325"/>
      <c r="MPM5" s="325"/>
      <c r="MPN5" s="325"/>
      <c r="MPO5" s="325"/>
      <c r="MPP5" s="325"/>
      <c r="MPQ5" s="325"/>
      <c r="MPR5" s="325"/>
      <c r="MPS5" s="325"/>
      <c r="MPT5" s="325"/>
      <c r="MPU5" s="325"/>
      <c r="MPV5" s="325"/>
      <c r="MPW5" s="325"/>
      <c r="MPX5" s="325"/>
      <c r="MPY5" s="325"/>
      <c r="MPZ5" s="325"/>
      <c r="MQA5" s="325"/>
      <c r="MQB5" s="325"/>
      <c r="MQC5" s="325"/>
      <c r="MQD5" s="325"/>
      <c r="MQE5" s="325"/>
      <c r="MQF5" s="325"/>
      <c r="MQG5" s="325"/>
      <c r="MQH5" s="325"/>
      <c r="MQI5" s="325"/>
      <c r="MQJ5" s="325"/>
      <c r="MQK5" s="325"/>
      <c r="MQL5" s="325"/>
      <c r="MQM5" s="325"/>
      <c r="MQN5" s="325"/>
      <c r="MQO5" s="325"/>
      <c r="MQP5" s="325"/>
      <c r="MQQ5" s="325"/>
      <c r="MQR5" s="325"/>
      <c r="MQS5" s="325"/>
      <c r="MQT5" s="325"/>
      <c r="MQU5" s="325"/>
      <c r="MQV5" s="325"/>
      <c r="MQW5" s="325"/>
      <c r="MQX5" s="325"/>
      <c r="MQY5" s="325"/>
      <c r="MQZ5" s="325"/>
      <c r="MRA5" s="325"/>
      <c r="MRB5" s="325"/>
      <c r="MRC5" s="325"/>
      <c r="MRD5" s="325"/>
      <c r="MRE5" s="325"/>
      <c r="MRF5" s="325"/>
      <c r="MRG5" s="325"/>
      <c r="MRH5" s="325"/>
      <c r="MRI5" s="325"/>
      <c r="MRJ5" s="325"/>
      <c r="MRK5" s="325"/>
      <c r="MRL5" s="325"/>
      <c r="MRM5" s="325"/>
      <c r="MRN5" s="325"/>
      <c r="MRO5" s="325"/>
      <c r="MRP5" s="325"/>
      <c r="MRQ5" s="325"/>
      <c r="MRR5" s="325"/>
      <c r="MRS5" s="325"/>
      <c r="MRT5" s="325"/>
      <c r="MRU5" s="325"/>
      <c r="MRV5" s="325"/>
      <c r="MRW5" s="325"/>
      <c r="MRX5" s="325"/>
      <c r="MRY5" s="325"/>
      <c r="MRZ5" s="325"/>
      <c r="MSA5" s="325"/>
      <c r="MSB5" s="325"/>
      <c r="MSC5" s="325"/>
      <c r="MSD5" s="325"/>
      <c r="MSE5" s="325"/>
      <c r="MSF5" s="325"/>
      <c r="MSG5" s="325"/>
      <c r="MSH5" s="325"/>
      <c r="MSI5" s="325"/>
      <c r="MSJ5" s="325"/>
      <c r="MSK5" s="325"/>
      <c r="MSL5" s="325"/>
      <c r="MSM5" s="325"/>
      <c r="MSN5" s="325"/>
      <c r="MSO5" s="325"/>
      <c r="MSP5" s="325"/>
      <c r="MSQ5" s="325"/>
      <c r="MSR5" s="325"/>
      <c r="MSS5" s="325"/>
      <c r="MST5" s="325"/>
      <c r="MSU5" s="325"/>
      <c r="MSV5" s="325"/>
      <c r="MSW5" s="325"/>
      <c r="MSX5" s="325"/>
      <c r="MSY5" s="325"/>
      <c r="MSZ5" s="325"/>
      <c r="MTA5" s="325"/>
      <c r="MTB5" s="325"/>
      <c r="MTC5" s="325"/>
      <c r="MTD5" s="325"/>
      <c r="MTE5" s="325"/>
      <c r="MTF5" s="325"/>
      <c r="MTG5" s="325"/>
      <c r="MTH5" s="325"/>
      <c r="MTI5" s="325"/>
      <c r="MTJ5" s="325"/>
      <c r="MTK5" s="325"/>
      <c r="MTL5" s="325"/>
      <c r="MTM5" s="325"/>
      <c r="MTN5" s="325"/>
      <c r="MTO5" s="325"/>
      <c r="MTP5" s="325"/>
      <c r="MTQ5" s="325"/>
      <c r="MTR5" s="325"/>
      <c r="MTS5" s="325"/>
      <c r="MTT5" s="325"/>
      <c r="MTU5" s="325"/>
      <c r="MTV5" s="325"/>
      <c r="MTW5" s="325"/>
      <c r="MTX5" s="325"/>
      <c r="MTY5" s="325"/>
      <c r="MTZ5" s="325"/>
      <c r="MUA5" s="325"/>
      <c r="MUB5" s="325"/>
      <c r="MUC5" s="325"/>
      <c r="MUD5" s="325"/>
      <c r="MUE5" s="325"/>
      <c r="MUF5" s="325"/>
      <c r="MUG5" s="325"/>
      <c r="MUH5" s="325"/>
      <c r="MUI5" s="325"/>
      <c r="MUJ5" s="325"/>
      <c r="MUK5" s="325"/>
      <c r="MUL5" s="325"/>
      <c r="MUM5" s="325"/>
      <c r="MUN5" s="325"/>
      <c r="MUO5" s="325"/>
      <c r="MUP5" s="325"/>
      <c r="MUQ5" s="325"/>
      <c r="MUR5" s="325"/>
      <c r="MUS5" s="325"/>
      <c r="MUT5" s="325"/>
      <c r="MUU5" s="325"/>
      <c r="MUV5" s="325"/>
      <c r="MUW5" s="325"/>
      <c r="MUX5" s="325"/>
      <c r="MUY5" s="325"/>
      <c r="MUZ5" s="325"/>
      <c r="MVA5" s="325"/>
      <c r="MVB5" s="325"/>
      <c r="MVC5" s="325"/>
      <c r="MVD5" s="325"/>
      <c r="MVE5" s="325"/>
      <c r="MVF5" s="325"/>
      <c r="MVG5" s="325"/>
      <c r="MVH5" s="325"/>
      <c r="MVI5" s="325"/>
      <c r="MVJ5" s="325"/>
      <c r="MVK5" s="325"/>
      <c r="MVL5" s="325"/>
      <c r="MVM5" s="325"/>
      <c r="MVN5" s="325"/>
      <c r="MVO5" s="325"/>
      <c r="MVP5" s="325"/>
      <c r="MVQ5" s="325"/>
      <c r="MVR5" s="325"/>
      <c r="MVS5" s="325"/>
      <c r="MVT5" s="325"/>
      <c r="MVU5" s="325"/>
      <c r="MVV5" s="325"/>
      <c r="MVW5" s="325"/>
      <c r="MVX5" s="325"/>
      <c r="MVY5" s="325"/>
      <c r="MVZ5" s="325"/>
      <c r="MWA5" s="325"/>
      <c r="MWB5" s="325"/>
      <c r="MWC5" s="325"/>
      <c r="MWD5" s="325"/>
      <c r="MWE5" s="325"/>
      <c r="MWF5" s="325"/>
      <c r="MWG5" s="325"/>
      <c r="MWH5" s="325"/>
      <c r="MWI5" s="325"/>
      <c r="MWJ5" s="325"/>
      <c r="MWK5" s="325"/>
      <c r="MWL5" s="325"/>
      <c r="MWM5" s="325"/>
      <c r="MWN5" s="325"/>
      <c r="MWO5" s="325"/>
      <c r="MWP5" s="325"/>
      <c r="MWQ5" s="325"/>
      <c r="MWR5" s="325"/>
      <c r="MWS5" s="325"/>
      <c r="MWT5" s="325"/>
      <c r="MWU5" s="325"/>
      <c r="MWV5" s="325"/>
      <c r="MWW5" s="325"/>
      <c r="MWX5" s="325"/>
      <c r="MWY5" s="325"/>
      <c r="MWZ5" s="325"/>
      <c r="MXA5" s="325"/>
      <c r="MXB5" s="325"/>
      <c r="MXC5" s="325"/>
      <c r="MXD5" s="325"/>
      <c r="MXE5" s="325"/>
      <c r="MXF5" s="325"/>
      <c r="MXG5" s="325"/>
      <c r="MXH5" s="325"/>
      <c r="MXI5" s="325"/>
      <c r="MXJ5" s="325"/>
      <c r="MXK5" s="325"/>
      <c r="MXL5" s="325"/>
      <c r="MXM5" s="325"/>
      <c r="MXN5" s="325"/>
      <c r="MXO5" s="325"/>
      <c r="MXP5" s="325"/>
      <c r="MXQ5" s="325"/>
      <c r="MXR5" s="325"/>
      <c r="MXS5" s="325"/>
      <c r="MXT5" s="325"/>
      <c r="MXU5" s="325"/>
      <c r="MXV5" s="325"/>
      <c r="MXW5" s="325"/>
      <c r="MXX5" s="325"/>
      <c r="MXY5" s="325"/>
      <c r="MXZ5" s="325"/>
      <c r="MYA5" s="325"/>
      <c r="MYB5" s="325"/>
      <c r="MYC5" s="325"/>
      <c r="MYD5" s="325"/>
      <c r="MYE5" s="325"/>
      <c r="MYF5" s="325"/>
      <c r="MYG5" s="325"/>
      <c r="MYH5" s="325"/>
      <c r="MYI5" s="325"/>
      <c r="MYJ5" s="325"/>
      <c r="MYK5" s="325"/>
      <c r="MYL5" s="325"/>
      <c r="MYM5" s="325"/>
      <c r="MYN5" s="325"/>
      <c r="MYO5" s="325"/>
      <c r="MYP5" s="325"/>
      <c r="MYQ5" s="325"/>
      <c r="MYR5" s="325"/>
      <c r="MYS5" s="325"/>
      <c r="MYT5" s="325"/>
      <c r="MYU5" s="325"/>
      <c r="MYV5" s="325"/>
      <c r="MYW5" s="325"/>
      <c r="MYX5" s="325"/>
      <c r="MYY5" s="325"/>
      <c r="MYZ5" s="325"/>
      <c r="MZA5" s="325"/>
      <c r="MZB5" s="325"/>
      <c r="MZC5" s="325"/>
      <c r="MZD5" s="325"/>
      <c r="MZE5" s="325"/>
      <c r="MZF5" s="325"/>
      <c r="MZG5" s="325"/>
      <c r="MZH5" s="325"/>
      <c r="MZI5" s="325"/>
      <c r="MZJ5" s="325"/>
      <c r="MZK5" s="325"/>
      <c r="MZL5" s="325"/>
      <c r="MZM5" s="325"/>
      <c r="MZN5" s="325"/>
      <c r="MZO5" s="325"/>
      <c r="MZP5" s="325"/>
      <c r="MZQ5" s="325"/>
      <c r="MZR5" s="325"/>
      <c r="MZS5" s="325"/>
      <c r="MZT5" s="325"/>
      <c r="MZU5" s="325"/>
      <c r="MZV5" s="325"/>
      <c r="MZW5" s="325"/>
      <c r="MZX5" s="325"/>
      <c r="MZY5" s="325"/>
      <c r="MZZ5" s="325"/>
      <c r="NAA5" s="325"/>
      <c r="NAB5" s="325"/>
      <c r="NAC5" s="325"/>
      <c r="NAD5" s="325"/>
      <c r="NAE5" s="325"/>
      <c r="NAF5" s="325"/>
      <c r="NAG5" s="325"/>
      <c r="NAH5" s="325"/>
      <c r="NAI5" s="325"/>
      <c r="NAJ5" s="325"/>
      <c r="NAK5" s="325"/>
      <c r="NAL5" s="325"/>
      <c r="NAM5" s="325"/>
      <c r="NAN5" s="325"/>
      <c r="NAO5" s="325"/>
      <c r="NAP5" s="325"/>
      <c r="NAQ5" s="325"/>
      <c r="NAR5" s="325"/>
      <c r="NAS5" s="325"/>
      <c r="NAT5" s="325"/>
      <c r="NAU5" s="325"/>
      <c r="NAV5" s="325"/>
      <c r="NAW5" s="325"/>
      <c r="NAX5" s="325"/>
      <c r="NAY5" s="325"/>
      <c r="NAZ5" s="325"/>
      <c r="NBA5" s="325"/>
      <c r="NBB5" s="325"/>
      <c r="NBC5" s="325"/>
      <c r="NBD5" s="325"/>
      <c r="NBE5" s="325"/>
      <c r="NBF5" s="325"/>
      <c r="NBG5" s="325"/>
      <c r="NBH5" s="325"/>
      <c r="NBI5" s="325"/>
      <c r="NBJ5" s="325"/>
      <c r="NBK5" s="325"/>
      <c r="NBL5" s="325"/>
      <c r="NBM5" s="325"/>
      <c r="NBN5" s="325"/>
      <c r="NBO5" s="325"/>
      <c r="NBP5" s="325"/>
      <c r="NBQ5" s="325"/>
      <c r="NBR5" s="325"/>
      <c r="NBS5" s="325"/>
      <c r="NBT5" s="325"/>
      <c r="NBU5" s="325"/>
      <c r="NBV5" s="325"/>
      <c r="NBW5" s="325"/>
      <c r="NBX5" s="325"/>
      <c r="NBY5" s="325"/>
      <c r="NBZ5" s="325"/>
      <c r="NCA5" s="325"/>
      <c r="NCB5" s="325"/>
      <c r="NCC5" s="325"/>
      <c r="NCD5" s="325"/>
      <c r="NCE5" s="325"/>
      <c r="NCF5" s="325"/>
      <c r="NCG5" s="325"/>
      <c r="NCH5" s="325"/>
      <c r="NCI5" s="325"/>
      <c r="NCJ5" s="325"/>
      <c r="NCK5" s="325"/>
      <c r="NCL5" s="325"/>
      <c r="NCM5" s="325"/>
      <c r="NCN5" s="325"/>
      <c r="NCO5" s="325"/>
      <c r="NCP5" s="325"/>
      <c r="NCQ5" s="325"/>
      <c r="NCR5" s="325"/>
      <c r="NCS5" s="325"/>
      <c r="NCT5" s="325"/>
      <c r="NCU5" s="325"/>
      <c r="NCV5" s="325"/>
      <c r="NCW5" s="325"/>
      <c r="NCX5" s="325"/>
      <c r="NCY5" s="325"/>
      <c r="NCZ5" s="325"/>
      <c r="NDA5" s="325"/>
      <c r="NDB5" s="325"/>
      <c r="NDC5" s="325"/>
      <c r="NDD5" s="325"/>
      <c r="NDE5" s="325"/>
      <c r="NDF5" s="325"/>
      <c r="NDG5" s="325"/>
      <c r="NDH5" s="325"/>
      <c r="NDI5" s="325"/>
      <c r="NDJ5" s="325"/>
      <c r="NDK5" s="325"/>
      <c r="NDL5" s="325"/>
      <c r="NDM5" s="325"/>
      <c r="NDN5" s="325"/>
      <c r="NDO5" s="325"/>
      <c r="NDP5" s="325"/>
      <c r="NDQ5" s="325"/>
      <c r="NDR5" s="325"/>
      <c r="NDS5" s="325"/>
      <c r="NDT5" s="325"/>
      <c r="NDU5" s="325"/>
      <c r="NDV5" s="325"/>
      <c r="NDW5" s="325"/>
      <c r="NDX5" s="325"/>
      <c r="NDY5" s="325"/>
      <c r="NDZ5" s="325"/>
      <c r="NEA5" s="325"/>
      <c r="NEB5" s="325"/>
      <c r="NEC5" s="325"/>
      <c r="NED5" s="325"/>
      <c r="NEE5" s="325"/>
      <c r="NEF5" s="325"/>
      <c r="NEG5" s="325"/>
      <c r="NEH5" s="325"/>
      <c r="NEI5" s="325"/>
      <c r="NEJ5" s="325"/>
      <c r="NEK5" s="325"/>
      <c r="NEL5" s="325"/>
      <c r="NEM5" s="325"/>
      <c r="NEN5" s="325"/>
      <c r="NEO5" s="325"/>
      <c r="NEP5" s="325"/>
      <c r="NEQ5" s="325"/>
      <c r="NER5" s="325"/>
      <c r="NES5" s="325"/>
      <c r="NET5" s="325"/>
      <c r="NEU5" s="325"/>
      <c r="NEV5" s="325"/>
      <c r="NEW5" s="325"/>
      <c r="NEX5" s="325"/>
      <c r="NEY5" s="325"/>
      <c r="NEZ5" s="325"/>
      <c r="NFA5" s="325"/>
      <c r="NFB5" s="325"/>
      <c r="NFC5" s="325"/>
      <c r="NFD5" s="325"/>
      <c r="NFE5" s="325"/>
      <c r="NFF5" s="325"/>
      <c r="NFG5" s="325"/>
      <c r="NFH5" s="325"/>
      <c r="NFI5" s="325"/>
      <c r="NFJ5" s="325"/>
      <c r="NFK5" s="325"/>
      <c r="NFL5" s="325"/>
      <c r="NFM5" s="325"/>
      <c r="NFN5" s="325"/>
      <c r="NFO5" s="325"/>
      <c r="NFP5" s="325"/>
      <c r="NFQ5" s="325"/>
      <c r="NFR5" s="325"/>
      <c r="NFS5" s="325"/>
      <c r="NFT5" s="325"/>
      <c r="NFU5" s="325"/>
      <c r="NFV5" s="325"/>
      <c r="NFW5" s="325"/>
      <c r="NFX5" s="325"/>
      <c r="NFY5" s="325"/>
      <c r="NFZ5" s="325"/>
      <c r="NGA5" s="325"/>
      <c r="NGB5" s="325"/>
      <c r="NGC5" s="325"/>
      <c r="NGD5" s="325"/>
      <c r="NGE5" s="325"/>
      <c r="NGF5" s="325"/>
      <c r="NGG5" s="325"/>
      <c r="NGH5" s="325"/>
      <c r="NGI5" s="325"/>
      <c r="NGJ5" s="325"/>
      <c r="NGK5" s="325"/>
      <c r="NGL5" s="325"/>
      <c r="NGM5" s="325"/>
      <c r="NGN5" s="325"/>
      <c r="NGO5" s="325"/>
      <c r="NGP5" s="325"/>
      <c r="NGQ5" s="325"/>
      <c r="NGR5" s="325"/>
      <c r="NGS5" s="325"/>
      <c r="NGT5" s="325"/>
      <c r="NGU5" s="325"/>
      <c r="NGV5" s="325"/>
      <c r="NGW5" s="325"/>
      <c r="NGX5" s="325"/>
      <c r="NGY5" s="325"/>
      <c r="NGZ5" s="325"/>
      <c r="NHA5" s="325"/>
      <c r="NHB5" s="325"/>
      <c r="NHC5" s="325"/>
      <c r="NHD5" s="325"/>
      <c r="NHE5" s="325"/>
      <c r="NHF5" s="325"/>
      <c r="NHG5" s="325"/>
      <c r="NHH5" s="325"/>
      <c r="NHI5" s="325"/>
      <c r="NHJ5" s="325"/>
      <c r="NHK5" s="325"/>
      <c r="NHL5" s="325"/>
      <c r="NHM5" s="325"/>
      <c r="NHN5" s="325"/>
      <c r="NHO5" s="325"/>
      <c r="NHP5" s="325"/>
      <c r="NHQ5" s="325"/>
      <c r="NHR5" s="325"/>
      <c r="NHS5" s="325"/>
      <c r="NHT5" s="325"/>
      <c r="NHU5" s="325"/>
      <c r="NHV5" s="325"/>
      <c r="NHW5" s="325"/>
      <c r="NHX5" s="325"/>
      <c r="NHY5" s="325"/>
      <c r="NHZ5" s="325"/>
      <c r="NIA5" s="325"/>
      <c r="NIB5" s="325"/>
      <c r="NIC5" s="325"/>
      <c r="NID5" s="325"/>
      <c r="NIE5" s="325"/>
      <c r="NIF5" s="325"/>
      <c r="NIG5" s="325"/>
      <c r="NIH5" s="325"/>
      <c r="NII5" s="325"/>
      <c r="NIJ5" s="325"/>
      <c r="NIK5" s="325"/>
      <c r="NIL5" s="325"/>
      <c r="NIM5" s="325"/>
      <c r="NIN5" s="325"/>
      <c r="NIO5" s="325"/>
      <c r="NIP5" s="325"/>
      <c r="NIQ5" s="325"/>
      <c r="NIR5" s="325"/>
      <c r="NIS5" s="325"/>
      <c r="NIT5" s="325"/>
      <c r="NIU5" s="325"/>
      <c r="NIV5" s="325"/>
      <c r="NIW5" s="325"/>
      <c r="NIX5" s="325"/>
      <c r="NIY5" s="325"/>
      <c r="NIZ5" s="325"/>
      <c r="NJA5" s="325"/>
      <c r="NJB5" s="325"/>
      <c r="NJC5" s="325"/>
      <c r="NJD5" s="325"/>
      <c r="NJE5" s="325"/>
      <c r="NJF5" s="325"/>
      <c r="NJG5" s="325"/>
      <c r="NJH5" s="325"/>
      <c r="NJI5" s="325"/>
      <c r="NJJ5" s="325"/>
      <c r="NJK5" s="325"/>
      <c r="NJL5" s="325"/>
      <c r="NJM5" s="325"/>
      <c r="NJN5" s="325"/>
      <c r="NJO5" s="325"/>
      <c r="NJP5" s="325"/>
      <c r="NJQ5" s="325"/>
      <c r="NJR5" s="325"/>
      <c r="NJS5" s="325"/>
      <c r="NJT5" s="325"/>
      <c r="NJU5" s="325"/>
      <c r="NJV5" s="325"/>
      <c r="NJW5" s="325"/>
      <c r="NJX5" s="325"/>
      <c r="NJY5" s="325"/>
      <c r="NJZ5" s="325"/>
      <c r="NKA5" s="325"/>
      <c r="NKB5" s="325"/>
      <c r="NKC5" s="325"/>
      <c r="NKD5" s="325"/>
      <c r="NKE5" s="325"/>
      <c r="NKF5" s="325"/>
      <c r="NKG5" s="325"/>
      <c r="NKH5" s="325"/>
      <c r="NKI5" s="325"/>
      <c r="NKJ5" s="325"/>
      <c r="NKK5" s="325"/>
      <c r="NKL5" s="325"/>
      <c r="NKM5" s="325"/>
      <c r="NKN5" s="325"/>
      <c r="NKO5" s="325"/>
      <c r="NKP5" s="325"/>
      <c r="NKQ5" s="325"/>
      <c r="NKR5" s="325"/>
      <c r="NKS5" s="325"/>
      <c r="NKT5" s="325"/>
      <c r="NKU5" s="325"/>
      <c r="NKV5" s="325"/>
      <c r="NKW5" s="325"/>
      <c r="NKX5" s="325"/>
      <c r="NKY5" s="325"/>
      <c r="NKZ5" s="325"/>
      <c r="NLA5" s="325"/>
      <c r="NLB5" s="325"/>
      <c r="NLC5" s="325"/>
      <c r="NLD5" s="325"/>
      <c r="NLE5" s="325"/>
      <c r="NLF5" s="325"/>
      <c r="NLG5" s="325"/>
      <c r="NLH5" s="325"/>
      <c r="NLI5" s="325"/>
      <c r="NLJ5" s="325"/>
      <c r="NLK5" s="325"/>
      <c r="NLL5" s="325"/>
      <c r="NLM5" s="325"/>
      <c r="NLN5" s="325"/>
      <c r="NLO5" s="325"/>
      <c r="NLP5" s="325"/>
      <c r="NLQ5" s="325"/>
      <c r="NLR5" s="325"/>
      <c r="NLS5" s="325"/>
      <c r="NLT5" s="325"/>
      <c r="NLU5" s="325"/>
      <c r="NLV5" s="325"/>
      <c r="NLW5" s="325"/>
      <c r="NLX5" s="325"/>
      <c r="NLY5" s="325"/>
      <c r="NLZ5" s="325"/>
      <c r="NMA5" s="325"/>
      <c r="NMB5" s="325"/>
      <c r="NMC5" s="325"/>
      <c r="NMD5" s="325"/>
      <c r="NME5" s="325"/>
      <c r="NMF5" s="325"/>
      <c r="NMG5" s="325"/>
      <c r="NMH5" s="325"/>
      <c r="NMI5" s="325"/>
      <c r="NMJ5" s="325"/>
      <c r="NMK5" s="325"/>
      <c r="NML5" s="325"/>
      <c r="NMM5" s="325"/>
      <c r="NMN5" s="325"/>
      <c r="NMO5" s="325"/>
      <c r="NMP5" s="325"/>
      <c r="NMQ5" s="325"/>
      <c r="NMR5" s="325"/>
      <c r="NMS5" s="325"/>
      <c r="NMT5" s="325"/>
      <c r="NMU5" s="325"/>
      <c r="NMV5" s="325"/>
      <c r="NMW5" s="325"/>
      <c r="NMX5" s="325"/>
      <c r="NMY5" s="325"/>
      <c r="NMZ5" s="325"/>
      <c r="NNA5" s="325"/>
      <c r="NNB5" s="325"/>
      <c r="NNC5" s="325"/>
      <c r="NND5" s="325"/>
      <c r="NNE5" s="325"/>
      <c r="NNF5" s="325"/>
      <c r="NNG5" s="325"/>
      <c r="NNH5" s="325"/>
      <c r="NNI5" s="325"/>
      <c r="NNJ5" s="325"/>
      <c r="NNK5" s="325"/>
      <c r="NNL5" s="325"/>
      <c r="NNM5" s="325"/>
      <c r="NNN5" s="325"/>
      <c r="NNO5" s="325"/>
      <c r="NNP5" s="325"/>
      <c r="NNQ5" s="325"/>
      <c r="NNR5" s="325"/>
      <c r="NNS5" s="325"/>
      <c r="NNT5" s="325"/>
      <c r="NNU5" s="325"/>
      <c r="NNV5" s="325"/>
      <c r="NNW5" s="325"/>
      <c r="NNX5" s="325"/>
      <c r="NNY5" s="325"/>
      <c r="NNZ5" s="325"/>
      <c r="NOA5" s="325"/>
      <c r="NOB5" s="325"/>
      <c r="NOC5" s="325"/>
      <c r="NOD5" s="325"/>
      <c r="NOE5" s="325"/>
      <c r="NOF5" s="325"/>
      <c r="NOG5" s="325"/>
      <c r="NOH5" s="325"/>
      <c r="NOI5" s="325"/>
      <c r="NOJ5" s="325"/>
      <c r="NOK5" s="325"/>
      <c r="NOL5" s="325"/>
      <c r="NOM5" s="325"/>
      <c r="NON5" s="325"/>
      <c r="NOO5" s="325"/>
      <c r="NOP5" s="325"/>
      <c r="NOQ5" s="325"/>
      <c r="NOR5" s="325"/>
      <c r="NOS5" s="325"/>
      <c r="NOT5" s="325"/>
      <c r="NOU5" s="325"/>
      <c r="NOV5" s="325"/>
      <c r="NOW5" s="325"/>
      <c r="NOX5" s="325"/>
      <c r="NOY5" s="325"/>
      <c r="NOZ5" s="325"/>
      <c r="NPA5" s="325"/>
      <c r="NPB5" s="325"/>
      <c r="NPC5" s="325"/>
      <c r="NPD5" s="325"/>
      <c r="NPE5" s="325"/>
      <c r="NPF5" s="325"/>
      <c r="NPG5" s="325"/>
      <c r="NPH5" s="325"/>
      <c r="NPI5" s="325"/>
      <c r="NPJ5" s="325"/>
      <c r="NPK5" s="325"/>
      <c r="NPL5" s="325"/>
      <c r="NPM5" s="325"/>
      <c r="NPN5" s="325"/>
      <c r="NPO5" s="325"/>
      <c r="NPP5" s="325"/>
      <c r="NPQ5" s="325"/>
      <c r="NPR5" s="325"/>
      <c r="NPS5" s="325"/>
      <c r="NPT5" s="325"/>
      <c r="NPU5" s="325"/>
      <c r="NPV5" s="325"/>
      <c r="NPW5" s="325"/>
      <c r="NPX5" s="325"/>
      <c r="NPY5" s="325"/>
      <c r="NPZ5" s="325"/>
      <c r="NQA5" s="325"/>
      <c r="NQB5" s="325"/>
      <c r="NQC5" s="325"/>
      <c r="NQD5" s="325"/>
      <c r="NQE5" s="325"/>
      <c r="NQF5" s="325"/>
      <c r="NQG5" s="325"/>
      <c r="NQH5" s="325"/>
      <c r="NQI5" s="325"/>
      <c r="NQJ5" s="325"/>
      <c r="NQK5" s="325"/>
      <c r="NQL5" s="325"/>
      <c r="NQM5" s="325"/>
      <c r="NQN5" s="325"/>
      <c r="NQO5" s="325"/>
      <c r="NQP5" s="325"/>
      <c r="NQQ5" s="325"/>
      <c r="NQR5" s="325"/>
      <c r="NQS5" s="325"/>
      <c r="NQT5" s="325"/>
      <c r="NQU5" s="325"/>
      <c r="NQV5" s="325"/>
      <c r="NQW5" s="325"/>
      <c r="NQX5" s="325"/>
      <c r="NQY5" s="325"/>
      <c r="NQZ5" s="325"/>
      <c r="NRA5" s="325"/>
      <c r="NRB5" s="325"/>
      <c r="NRC5" s="325"/>
      <c r="NRD5" s="325"/>
      <c r="NRE5" s="325"/>
      <c r="NRF5" s="325"/>
      <c r="NRG5" s="325"/>
      <c r="NRH5" s="325"/>
      <c r="NRI5" s="325"/>
      <c r="NRJ5" s="325"/>
      <c r="NRK5" s="325"/>
      <c r="NRL5" s="325"/>
      <c r="NRM5" s="325"/>
      <c r="NRN5" s="325"/>
      <c r="NRO5" s="325"/>
      <c r="NRP5" s="325"/>
      <c r="NRQ5" s="325"/>
      <c r="NRR5" s="325"/>
      <c r="NRS5" s="325"/>
      <c r="NRT5" s="325"/>
      <c r="NRU5" s="325"/>
      <c r="NRV5" s="325"/>
      <c r="NRW5" s="325"/>
      <c r="NRX5" s="325"/>
      <c r="NRY5" s="325"/>
      <c r="NRZ5" s="325"/>
      <c r="NSA5" s="325"/>
      <c r="NSB5" s="325"/>
      <c r="NSC5" s="325"/>
      <c r="NSD5" s="325"/>
      <c r="NSE5" s="325"/>
      <c r="NSF5" s="325"/>
      <c r="NSG5" s="325"/>
      <c r="NSH5" s="325"/>
      <c r="NSI5" s="325"/>
      <c r="NSJ5" s="325"/>
      <c r="NSK5" s="325"/>
      <c r="NSL5" s="325"/>
      <c r="NSM5" s="325"/>
      <c r="NSN5" s="325"/>
      <c r="NSO5" s="325"/>
      <c r="NSP5" s="325"/>
      <c r="NSQ5" s="325"/>
      <c r="NSR5" s="325"/>
      <c r="NSS5" s="325"/>
      <c r="NST5" s="325"/>
      <c r="NSU5" s="325"/>
      <c r="NSV5" s="325"/>
      <c r="NSW5" s="325"/>
      <c r="NSX5" s="325"/>
      <c r="NSY5" s="325"/>
      <c r="NSZ5" s="325"/>
      <c r="NTA5" s="325"/>
      <c r="NTB5" s="325"/>
      <c r="NTC5" s="325"/>
      <c r="NTD5" s="325"/>
      <c r="NTE5" s="325"/>
      <c r="NTF5" s="325"/>
      <c r="NTG5" s="325"/>
      <c r="NTH5" s="325"/>
      <c r="NTI5" s="325"/>
      <c r="NTJ5" s="325"/>
      <c r="NTK5" s="325"/>
      <c r="NTL5" s="325"/>
      <c r="NTM5" s="325"/>
      <c r="NTN5" s="325"/>
      <c r="NTO5" s="325"/>
      <c r="NTP5" s="325"/>
      <c r="NTQ5" s="325"/>
      <c r="NTR5" s="325"/>
      <c r="NTS5" s="325"/>
      <c r="NTT5" s="325"/>
      <c r="NTU5" s="325"/>
      <c r="NTV5" s="325"/>
      <c r="NTW5" s="325"/>
      <c r="NTX5" s="325"/>
      <c r="NTY5" s="325"/>
      <c r="NTZ5" s="325"/>
      <c r="NUA5" s="325"/>
      <c r="NUB5" s="325"/>
      <c r="NUC5" s="325"/>
      <c r="NUD5" s="325"/>
      <c r="NUE5" s="325"/>
      <c r="NUF5" s="325"/>
      <c r="NUG5" s="325"/>
      <c r="NUH5" s="325"/>
      <c r="NUI5" s="325"/>
      <c r="NUJ5" s="325"/>
      <c r="NUK5" s="325"/>
      <c r="NUL5" s="325"/>
      <c r="NUM5" s="325"/>
      <c r="NUN5" s="325"/>
      <c r="NUO5" s="325"/>
      <c r="NUP5" s="325"/>
      <c r="NUQ5" s="325"/>
      <c r="NUR5" s="325"/>
      <c r="NUS5" s="325"/>
      <c r="NUT5" s="325"/>
      <c r="NUU5" s="325"/>
      <c r="NUV5" s="325"/>
      <c r="NUW5" s="325"/>
      <c r="NUX5" s="325"/>
      <c r="NUY5" s="325"/>
      <c r="NUZ5" s="325"/>
      <c r="NVA5" s="325"/>
      <c r="NVB5" s="325"/>
      <c r="NVC5" s="325"/>
      <c r="NVD5" s="325"/>
      <c r="NVE5" s="325"/>
      <c r="NVF5" s="325"/>
      <c r="NVG5" s="325"/>
      <c r="NVH5" s="325"/>
      <c r="NVI5" s="325"/>
      <c r="NVJ5" s="325"/>
      <c r="NVK5" s="325"/>
      <c r="NVL5" s="325"/>
      <c r="NVM5" s="325"/>
      <c r="NVN5" s="325"/>
      <c r="NVO5" s="325"/>
      <c r="NVP5" s="325"/>
      <c r="NVQ5" s="325"/>
      <c r="NVR5" s="325"/>
      <c r="NVS5" s="325"/>
      <c r="NVT5" s="325"/>
      <c r="NVU5" s="325"/>
      <c r="NVV5" s="325"/>
      <c r="NVW5" s="325"/>
      <c r="NVX5" s="325"/>
      <c r="NVY5" s="325"/>
      <c r="NVZ5" s="325"/>
      <c r="NWA5" s="325"/>
      <c r="NWB5" s="325"/>
      <c r="NWC5" s="325"/>
      <c r="NWD5" s="325"/>
      <c r="NWE5" s="325"/>
      <c r="NWF5" s="325"/>
      <c r="NWG5" s="325"/>
      <c r="NWH5" s="325"/>
      <c r="NWI5" s="325"/>
      <c r="NWJ5" s="325"/>
      <c r="NWK5" s="325"/>
      <c r="NWL5" s="325"/>
      <c r="NWM5" s="325"/>
      <c r="NWN5" s="325"/>
      <c r="NWO5" s="325"/>
      <c r="NWP5" s="325"/>
      <c r="NWQ5" s="325"/>
      <c r="NWR5" s="325"/>
      <c r="NWS5" s="325"/>
      <c r="NWT5" s="325"/>
      <c r="NWU5" s="325"/>
      <c r="NWV5" s="325"/>
      <c r="NWW5" s="325"/>
      <c r="NWX5" s="325"/>
      <c r="NWY5" s="325"/>
      <c r="NWZ5" s="325"/>
      <c r="NXA5" s="325"/>
      <c r="NXB5" s="325"/>
      <c r="NXC5" s="325"/>
      <c r="NXD5" s="325"/>
      <c r="NXE5" s="325"/>
      <c r="NXF5" s="325"/>
      <c r="NXG5" s="325"/>
      <c r="NXH5" s="325"/>
      <c r="NXI5" s="325"/>
      <c r="NXJ5" s="325"/>
      <c r="NXK5" s="325"/>
      <c r="NXL5" s="325"/>
      <c r="NXM5" s="325"/>
      <c r="NXN5" s="325"/>
      <c r="NXO5" s="325"/>
      <c r="NXP5" s="325"/>
      <c r="NXQ5" s="325"/>
      <c r="NXR5" s="325"/>
      <c r="NXS5" s="325"/>
      <c r="NXT5" s="325"/>
      <c r="NXU5" s="325"/>
      <c r="NXV5" s="325"/>
      <c r="NXW5" s="325"/>
      <c r="NXX5" s="325"/>
      <c r="NXY5" s="325"/>
      <c r="NXZ5" s="325"/>
      <c r="NYA5" s="325"/>
      <c r="NYB5" s="325"/>
      <c r="NYC5" s="325"/>
      <c r="NYD5" s="325"/>
      <c r="NYE5" s="325"/>
      <c r="NYF5" s="325"/>
      <c r="NYG5" s="325"/>
      <c r="NYH5" s="325"/>
      <c r="NYI5" s="325"/>
      <c r="NYJ5" s="325"/>
      <c r="NYK5" s="325"/>
      <c r="NYL5" s="325"/>
      <c r="NYM5" s="325"/>
      <c r="NYN5" s="325"/>
      <c r="NYO5" s="325"/>
      <c r="NYP5" s="325"/>
      <c r="NYQ5" s="325"/>
      <c r="NYR5" s="325"/>
      <c r="NYS5" s="325"/>
      <c r="NYT5" s="325"/>
      <c r="NYU5" s="325"/>
      <c r="NYV5" s="325"/>
      <c r="NYW5" s="325"/>
      <c r="NYX5" s="325"/>
      <c r="NYY5" s="325"/>
      <c r="NYZ5" s="325"/>
      <c r="NZA5" s="325"/>
      <c r="NZB5" s="325"/>
      <c r="NZC5" s="325"/>
      <c r="NZD5" s="325"/>
      <c r="NZE5" s="325"/>
      <c r="NZF5" s="325"/>
      <c r="NZG5" s="325"/>
      <c r="NZH5" s="325"/>
      <c r="NZI5" s="325"/>
      <c r="NZJ5" s="325"/>
      <c r="NZK5" s="325"/>
      <c r="NZL5" s="325"/>
      <c r="NZM5" s="325"/>
      <c r="NZN5" s="325"/>
      <c r="NZO5" s="325"/>
      <c r="NZP5" s="325"/>
      <c r="NZQ5" s="325"/>
      <c r="NZR5" s="325"/>
      <c r="NZS5" s="325"/>
      <c r="NZT5" s="325"/>
      <c r="NZU5" s="325"/>
      <c r="NZV5" s="325"/>
      <c r="NZW5" s="325"/>
      <c r="NZX5" s="325"/>
      <c r="NZY5" s="325"/>
      <c r="NZZ5" s="325"/>
      <c r="OAA5" s="325"/>
      <c r="OAB5" s="325"/>
      <c r="OAC5" s="325"/>
      <c r="OAD5" s="325"/>
      <c r="OAE5" s="325"/>
      <c r="OAF5" s="325"/>
      <c r="OAG5" s="325"/>
      <c r="OAH5" s="325"/>
      <c r="OAI5" s="325"/>
      <c r="OAJ5" s="325"/>
      <c r="OAK5" s="325"/>
      <c r="OAL5" s="325"/>
      <c r="OAM5" s="325"/>
      <c r="OAN5" s="325"/>
      <c r="OAO5" s="325"/>
      <c r="OAP5" s="325"/>
      <c r="OAQ5" s="325"/>
      <c r="OAR5" s="325"/>
      <c r="OAS5" s="325"/>
      <c r="OAT5" s="325"/>
      <c r="OAU5" s="325"/>
      <c r="OAV5" s="325"/>
      <c r="OAW5" s="325"/>
      <c r="OAX5" s="325"/>
      <c r="OAY5" s="325"/>
      <c r="OAZ5" s="325"/>
      <c r="OBA5" s="325"/>
      <c r="OBB5" s="325"/>
      <c r="OBC5" s="325"/>
      <c r="OBD5" s="325"/>
      <c r="OBE5" s="325"/>
      <c r="OBF5" s="325"/>
      <c r="OBG5" s="325"/>
      <c r="OBH5" s="325"/>
      <c r="OBI5" s="325"/>
      <c r="OBJ5" s="325"/>
      <c r="OBK5" s="325"/>
      <c r="OBL5" s="325"/>
      <c r="OBM5" s="325"/>
      <c r="OBN5" s="325"/>
      <c r="OBO5" s="325"/>
      <c r="OBP5" s="325"/>
      <c r="OBQ5" s="325"/>
      <c r="OBR5" s="325"/>
      <c r="OBS5" s="325"/>
      <c r="OBT5" s="325"/>
      <c r="OBU5" s="325"/>
      <c r="OBV5" s="325"/>
      <c r="OBW5" s="325"/>
      <c r="OBX5" s="325"/>
      <c r="OBY5" s="325"/>
      <c r="OBZ5" s="325"/>
      <c r="OCA5" s="325"/>
      <c r="OCB5" s="325"/>
      <c r="OCC5" s="325"/>
      <c r="OCD5" s="325"/>
      <c r="OCE5" s="325"/>
      <c r="OCF5" s="325"/>
      <c r="OCG5" s="325"/>
      <c r="OCH5" s="325"/>
      <c r="OCI5" s="325"/>
      <c r="OCJ5" s="325"/>
      <c r="OCK5" s="325"/>
      <c r="OCL5" s="325"/>
      <c r="OCM5" s="325"/>
      <c r="OCN5" s="325"/>
      <c r="OCO5" s="325"/>
      <c r="OCP5" s="325"/>
      <c r="OCQ5" s="325"/>
      <c r="OCR5" s="325"/>
      <c r="OCS5" s="325"/>
      <c r="OCT5" s="325"/>
      <c r="OCU5" s="325"/>
      <c r="OCV5" s="325"/>
      <c r="OCW5" s="325"/>
      <c r="OCX5" s="325"/>
      <c r="OCY5" s="325"/>
      <c r="OCZ5" s="325"/>
      <c r="ODA5" s="325"/>
      <c r="ODB5" s="325"/>
      <c r="ODC5" s="325"/>
      <c r="ODD5" s="325"/>
      <c r="ODE5" s="325"/>
      <c r="ODF5" s="325"/>
      <c r="ODG5" s="325"/>
      <c r="ODH5" s="325"/>
      <c r="ODI5" s="325"/>
      <c r="ODJ5" s="325"/>
      <c r="ODK5" s="325"/>
      <c r="ODL5" s="325"/>
      <c r="ODM5" s="325"/>
      <c r="ODN5" s="325"/>
      <c r="ODO5" s="325"/>
      <c r="ODP5" s="325"/>
      <c r="ODQ5" s="325"/>
      <c r="ODR5" s="325"/>
      <c r="ODS5" s="325"/>
      <c r="ODT5" s="325"/>
      <c r="ODU5" s="325"/>
      <c r="ODV5" s="325"/>
      <c r="ODW5" s="325"/>
      <c r="ODX5" s="325"/>
      <c r="ODY5" s="325"/>
      <c r="ODZ5" s="325"/>
      <c r="OEA5" s="325"/>
      <c r="OEB5" s="325"/>
      <c r="OEC5" s="325"/>
      <c r="OED5" s="325"/>
      <c r="OEE5" s="325"/>
      <c r="OEF5" s="325"/>
      <c r="OEG5" s="325"/>
      <c r="OEH5" s="325"/>
      <c r="OEI5" s="325"/>
      <c r="OEJ5" s="325"/>
      <c r="OEK5" s="325"/>
      <c r="OEL5" s="325"/>
      <c r="OEM5" s="325"/>
      <c r="OEN5" s="325"/>
      <c r="OEO5" s="325"/>
      <c r="OEP5" s="325"/>
      <c r="OEQ5" s="325"/>
      <c r="OER5" s="325"/>
      <c r="OES5" s="325"/>
      <c r="OET5" s="325"/>
      <c r="OEU5" s="325"/>
      <c r="OEV5" s="325"/>
      <c r="OEW5" s="325"/>
      <c r="OEX5" s="325"/>
      <c r="OEY5" s="325"/>
      <c r="OEZ5" s="325"/>
      <c r="OFA5" s="325"/>
      <c r="OFB5" s="325"/>
      <c r="OFC5" s="325"/>
      <c r="OFD5" s="325"/>
      <c r="OFE5" s="325"/>
      <c r="OFF5" s="325"/>
      <c r="OFG5" s="325"/>
      <c r="OFH5" s="325"/>
      <c r="OFI5" s="325"/>
      <c r="OFJ5" s="325"/>
      <c r="OFK5" s="325"/>
      <c r="OFL5" s="325"/>
      <c r="OFM5" s="325"/>
      <c r="OFN5" s="325"/>
      <c r="OFO5" s="325"/>
      <c r="OFP5" s="325"/>
      <c r="OFQ5" s="325"/>
      <c r="OFR5" s="325"/>
      <c r="OFS5" s="325"/>
      <c r="OFT5" s="325"/>
      <c r="OFU5" s="325"/>
      <c r="OFV5" s="325"/>
      <c r="OFW5" s="325"/>
      <c r="OFX5" s="325"/>
      <c r="OFY5" s="325"/>
      <c r="OFZ5" s="325"/>
      <c r="OGA5" s="325"/>
      <c r="OGB5" s="325"/>
      <c r="OGC5" s="325"/>
      <c r="OGD5" s="325"/>
      <c r="OGE5" s="325"/>
      <c r="OGF5" s="325"/>
      <c r="OGG5" s="325"/>
      <c r="OGH5" s="325"/>
      <c r="OGI5" s="325"/>
      <c r="OGJ5" s="325"/>
      <c r="OGK5" s="325"/>
      <c r="OGL5" s="325"/>
      <c r="OGM5" s="325"/>
      <c r="OGN5" s="325"/>
      <c r="OGO5" s="325"/>
      <c r="OGP5" s="325"/>
      <c r="OGQ5" s="325"/>
      <c r="OGR5" s="325"/>
      <c r="OGS5" s="325"/>
      <c r="OGT5" s="325"/>
      <c r="OGU5" s="325"/>
      <c r="OGV5" s="325"/>
      <c r="OGW5" s="325"/>
      <c r="OGX5" s="325"/>
      <c r="OGY5" s="325"/>
      <c r="OGZ5" s="325"/>
      <c r="OHA5" s="325"/>
      <c r="OHB5" s="325"/>
      <c r="OHC5" s="325"/>
      <c r="OHD5" s="325"/>
      <c r="OHE5" s="325"/>
      <c r="OHF5" s="325"/>
      <c r="OHG5" s="325"/>
      <c r="OHH5" s="325"/>
      <c r="OHI5" s="325"/>
      <c r="OHJ5" s="325"/>
      <c r="OHK5" s="325"/>
      <c r="OHL5" s="325"/>
      <c r="OHM5" s="325"/>
      <c r="OHN5" s="325"/>
      <c r="OHO5" s="325"/>
      <c r="OHP5" s="325"/>
      <c r="OHQ5" s="325"/>
      <c r="OHR5" s="325"/>
      <c r="OHS5" s="325"/>
      <c r="OHT5" s="325"/>
      <c r="OHU5" s="325"/>
      <c r="OHV5" s="325"/>
      <c r="OHW5" s="325"/>
      <c r="OHX5" s="325"/>
      <c r="OHY5" s="325"/>
      <c r="OHZ5" s="325"/>
      <c r="OIA5" s="325"/>
      <c r="OIB5" s="325"/>
      <c r="OIC5" s="325"/>
      <c r="OID5" s="325"/>
      <c r="OIE5" s="325"/>
      <c r="OIF5" s="325"/>
      <c r="OIG5" s="325"/>
      <c r="OIH5" s="325"/>
      <c r="OII5" s="325"/>
      <c r="OIJ5" s="325"/>
      <c r="OIK5" s="325"/>
      <c r="OIL5" s="325"/>
      <c r="OIM5" s="325"/>
      <c r="OIN5" s="325"/>
      <c r="OIO5" s="325"/>
      <c r="OIP5" s="325"/>
      <c r="OIQ5" s="325"/>
      <c r="OIR5" s="325"/>
      <c r="OIS5" s="325"/>
      <c r="OIT5" s="325"/>
      <c r="OIU5" s="325"/>
      <c r="OIV5" s="325"/>
      <c r="OIW5" s="325"/>
      <c r="OIX5" s="325"/>
      <c r="OIY5" s="325"/>
      <c r="OIZ5" s="325"/>
      <c r="OJA5" s="325"/>
      <c r="OJB5" s="325"/>
      <c r="OJC5" s="325"/>
      <c r="OJD5" s="325"/>
      <c r="OJE5" s="325"/>
      <c r="OJF5" s="325"/>
      <c r="OJG5" s="325"/>
      <c r="OJH5" s="325"/>
      <c r="OJI5" s="325"/>
      <c r="OJJ5" s="325"/>
      <c r="OJK5" s="325"/>
      <c r="OJL5" s="325"/>
      <c r="OJM5" s="325"/>
      <c r="OJN5" s="325"/>
      <c r="OJO5" s="325"/>
      <c r="OJP5" s="325"/>
      <c r="OJQ5" s="325"/>
      <c r="OJR5" s="325"/>
      <c r="OJS5" s="325"/>
      <c r="OJT5" s="325"/>
      <c r="OJU5" s="325"/>
      <c r="OJV5" s="325"/>
      <c r="OJW5" s="325"/>
      <c r="OJX5" s="325"/>
      <c r="OJY5" s="325"/>
      <c r="OJZ5" s="325"/>
      <c r="OKA5" s="325"/>
      <c r="OKB5" s="325"/>
      <c r="OKC5" s="325"/>
      <c r="OKD5" s="325"/>
      <c r="OKE5" s="325"/>
      <c r="OKF5" s="325"/>
      <c r="OKG5" s="325"/>
      <c r="OKH5" s="325"/>
      <c r="OKI5" s="325"/>
      <c r="OKJ5" s="325"/>
      <c r="OKK5" s="325"/>
      <c r="OKL5" s="325"/>
      <c r="OKM5" s="325"/>
      <c r="OKN5" s="325"/>
      <c r="OKO5" s="325"/>
      <c r="OKP5" s="325"/>
      <c r="OKQ5" s="325"/>
      <c r="OKR5" s="325"/>
      <c r="OKS5" s="325"/>
      <c r="OKT5" s="325"/>
      <c r="OKU5" s="325"/>
      <c r="OKV5" s="325"/>
      <c r="OKW5" s="325"/>
      <c r="OKX5" s="325"/>
      <c r="OKY5" s="325"/>
      <c r="OKZ5" s="325"/>
      <c r="OLA5" s="325"/>
      <c r="OLB5" s="325"/>
      <c r="OLC5" s="325"/>
      <c r="OLD5" s="325"/>
      <c r="OLE5" s="325"/>
      <c r="OLF5" s="325"/>
      <c r="OLG5" s="325"/>
      <c r="OLH5" s="325"/>
      <c r="OLI5" s="325"/>
      <c r="OLJ5" s="325"/>
      <c r="OLK5" s="325"/>
      <c r="OLL5" s="325"/>
      <c r="OLM5" s="325"/>
      <c r="OLN5" s="325"/>
      <c r="OLO5" s="325"/>
      <c r="OLP5" s="325"/>
      <c r="OLQ5" s="325"/>
      <c r="OLR5" s="325"/>
      <c r="OLS5" s="325"/>
      <c r="OLT5" s="325"/>
      <c r="OLU5" s="325"/>
      <c r="OLV5" s="325"/>
      <c r="OLW5" s="325"/>
      <c r="OLX5" s="325"/>
      <c r="OLY5" s="325"/>
      <c r="OLZ5" s="325"/>
      <c r="OMA5" s="325"/>
      <c r="OMB5" s="325"/>
      <c r="OMC5" s="325"/>
      <c r="OMD5" s="325"/>
      <c r="OME5" s="325"/>
      <c r="OMF5" s="325"/>
      <c r="OMG5" s="325"/>
      <c r="OMH5" s="325"/>
      <c r="OMI5" s="325"/>
      <c r="OMJ5" s="325"/>
      <c r="OMK5" s="325"/>
      <c r="OML5" s="325"/>
      <c r="OMM5" s="325"/>
      <c r="OMN5" s="325"/>
      <c r="OMO5" s="325"/>
      <c r="OMP5" s="325"/>
      <c r="OMQ5" s="325"/>
      <c r="OMR5" s="325"/>
      <c r="OMS5" s="325"/>
      <c r="OMT5" s="325"/>
      <c r="OMU5" s="325"/>
      <c r="OMV5" s="325"/>
      <c r="OMW5" s="325"/>
      <c r="OMX5" s="325"/>
      <c r="OMY5" s="325"/>
      <c r="OMZ5" s="325"/>
      <c r="ONA5" s="325"/>
      <c r="ONB5" s="325"/>
      <c r="ONC5" s="325"/>
      <c r="OND5" s="325"/>
      <c r="ONE5" s="325"/>
      <c r="ONF5" s="325"/>
      <c r="ONG5" s="325"/>
      <c r="ONH5" s="325"/>
      <c r="ONI5" s="325"/>
      <c r="ONJ5" s="325"/>
      <c r="ONK5" s="325"/>
      <c r="ONL5" s="325"/>
      <c r="ONM5" s="325"/>
      <c r="ONN5" s="325"/>
      <c r="ONO5" s="325"/>
      <c r="ONP5" s="325"/>
      <c r="ONQ5" s="325"/>
      <c r="ONR5" s="325"/>
      <c r="ONS5" s="325"/>
      <c r="ONT5" s="325"/>
      <c r="ONU5" s="325"/>
      <c r="ONV5" s="325"/>
      <c r="ONW5" s="325"/>
      <c r="ONX5" s="325"/>
      <c r="ONY5" s="325"/>
      <c r="ONZ5" s="325"/>
      <c r="OOA5" s="325"/>
      <c r="OOB5" s="325"/>
      <c r="OOC5" s="325"/>
      <c r="OOD5" s="325"/>
      <c r="OOE5" s="325"/>
      <c r="OOF5" s="325"/>
      <c r="OOG5" s="325"/>
      <c r="OOH5" s="325"/>
      <c r="OOI5" s="325"/>
      <c r="OOJ5" s="325"/>
      <c r="OOK5" s="325"/>
      <c r="OOL5" s="325"/>
      <c r="OOM5" s="325"/>
      <c r="OON5" s="325"/>
      <c r="OOO5" s="325"/>
      <c r="OOP5" s="325"/>
      <c r="OOQ5" s="325"/>
      <c r="OOR5" s="325"/>
      <c r="OOS5" s="325"/>
      <c r="OOT5" s="325"/>
      <c r="OOU5" s="325"/>
      <c r="OOV5" s="325"/>
      <c r="OOW5" s="325"/>
      <c r="OOX5" s="325"/>
      <c r="OOY5" s="325"/>
      <c r="OOZ5" s="325"/>
      <c r="OPA5" s="325"/>
      <c r="OPB5" s="325"/>
      <c r="OPC5" s="325"/>
      <c r="OPD5" s="325"/>
      <c r="OPE5" s="325"/>
      <c r="OPF5" s="325"/>
      <c r="OPG5" s="325"/>
      <c r="OPH5" s="325"/>
      <c r="OPI5" s="325"/>
      <c r="OPJ5" s="325"/>
      <c r="OPK5" s="325"/>
      <c r="OPL5" s="325"/>
      <c r="OPM5" s="325"/>
      <c r="OPN5" s="325"/>
      <c r="OPO5" s="325"/>
      <c r="OPP5" s="325"/>
      <c r="OPQ5" s="325"/>
      <c r="OPR5" s="325"/>
      <c r="OPS5" s="325"/>
      <c r="OPT5" s="325"/>
      <c r="OPU5" s="325"/>
      <c r="OPV5" s="325"/>
      <c r="OPW5" s="325"/>
      <c r="OPX5" s="325"/>
      <c r="OPY5" s="325"/>
      <c r="OPZ5" s="325"/>
      <c r="OQA5" s="325"/>
      <c r="OQB5" s="325"/>
      <c r="OQC5" s="325"/>
      <c r="OQD5" s="325"/>
      <c r="OQE5" s="325"/>
      <c r="OQF5" s="325"/>
      <c r="OQG5" s="325"/>
      <c r="OQH5" s="325"/>
      <c r="OQI5" s="325"/>
      <c r="OQJ5" s="325"/>
      <c r="OQK5" s="325"/>
      <c r="OQL5" s="325"/>
      <c r="OQM5" s="325"/>
      <c r="OQN5" s="325"/>
      <c r="OQO5" s="325"/>
      <c r="OQP5" s="325"/>
      <c r="OQQ5" s="325"/>
      <c r="OQR5" s="325"/>
      <c r="OQS5" s="325"/>
      <c r="OQT5" s="325"/>
      <c r="OQU5" s="325"/>
      <c r="OQV5" s="325"/>
      <c r="OQW5" s="325"/>
      <c r="OQX5" s="325"/>
      <c r="OQY5" s="325"/>
      <c r="OQZ5" s="325"/>
      <c r="ORA5" s="325"/>
      <c r="ORB5" s="325"/>
      <c r="ORC5" s="325"/>
      <c r="ORD5" s="325"/>
      <c r="ORE5" s="325"/>
      <c r="ORF5" s="325"/>
      <c r="ORG5" s="325"/>
      <c r="ORH5" s="325"/>
      <c r="ORI5" s="325"/>
      <c r="ORJ5" s="325"/>
      <c r="ORK5" s="325"/>
      <c r="ORL5" s="325"/>
      <c r="ORM5" s="325"/>
      <c r="ORN5" s="325"/>
      <c r="ORO5" s="325"/>
      <c r="ORP5" s="325"/>
      <c r="ORQ5" s="325"/>
      <c r="ORR5" s="325"/>
      <c r="ORS5" s="325"/>
      <c r="ORT5" s="325"/>
      <c r="ORU5" s="325"/>
      <c r="ORV5" s="325"/>
      <c r="ORW5" s="325"/>
      <c r="ORX5" s="325"/>
      <c r="ORY5" s="325"/>
      <c r="ORZ5" s="325"/>
      <c r="OSA5" s="325"/>
      <c r="OSB5" s="325"/>
      <c r="OSC5" s="325"/>
      <c r="OSD5" s="325"/>
      <c r="OSE5" s="325"/>
      <c r="OSF5" s="325"/>
      <c r="OSG5" s="325"/>
      <c r="OSH5" s="325"/>
      <c r="OSI5" s="325"/>
      <c r="OSJ5" s="325"/>
      <c r="OSK5" s="325"/>
      <c r="OSL5" s="325"/>
      <c r="OSM5" s="325"/>
      <c r="OSN5" s="325"/>
      <c r="OSO5" s="325"/>
      <c r="OSP5" s="325"/>
      <c r="OSQ5" s="325"/>
      <c r="OSR5" s="325"/>
      <c r="OSS5" s="325"/>
      <c r="OST5" s="325"/>
      <c r="OSU5" s="325"/>
      <c r="OSV5" s="325"/>
      <c r="OSW5" s="325"/>
      <c r="OSX5" s="325"/>
      <c r="OSY5" s="325"/>
      <c r="OSZ5" s="325"/>
      <c r="OTA5" s="325"/>
      <c r="OTB5" s="325"/>
      <c r="OTC5" s="325"/>
      <c r="OTD5" s="325"/>
      <c r="OTE5" s="325"/>
      <c r="OTF5" s="325"/>
      <c r="OTG5" s="325"/>
      <c r="OTH5" s="325"/>
      <c r="OTI5" s="325"/>
      <c r="OTJ5" s="325"/>
      <c r="OTK5" s="325"/>
      <c r="OTL5" s="325"/>
      <c r="OTM5" s="325"/>
      <c r="OTN5" s="325"/>
      <c r="OTO5" s="325"/>
      <c r="OTP5" s="325"/>
      <c r="OTQ5" s="325"/>
      <c r="OTR5" s="325"/>
      <c r="OTS5" s="325"/>
      <c r="OTT5" s="325"/>
      <c r="OTU5" s="325"/>
      <c r="OTV5" s="325"/>
      <c r="OTW5" s="325"/>
      <c r="OTX5" s="325"/>
      <c r="OTY5" s="325"/>
      <c r="OTZ5" s="325"/>
      <c r="OUA5" s="325"/>
      <c r="OUB5" s="325"/>
      <c r="OUC5" s="325"/>
      <c r="OUD5" s="325"/>
      <c r="OUE5" s="325"/>
      <c r="OUF5" s="325"/>
      <c r="OUG5" s="325"/>
      <c r="OUH5" s="325"/>
      <c r="OUI5" s="325"/>
      <c r="OUJ5" s="325"/>
      <c r="OUK5" s="325"/>
      <c r="OUL5" s="325"/>
      <c r="OUM5" s="325"/>
      <c r="OUN5" s="325"/>
      <c r="OUO5" s="325"/>
      <c r="OUP5" s="325"/>
      <c r="OUQ5" s="325"/>
      <c r="OUR5" s="325"/>
      <c r="OUS5" s="325"/>
      <c r="OUT5" s="325"/>
      <c r="OUU5" s="325"/>
      <c r="OUV5" s="325"/>
      <c r="OUW5" s="325"/>
      <c r="OUX5" s="325"/>
      <c r="OUY5" s="325"/>
      <c r="OUZ5" s="325"/>
      <c r="OVA5" s="325"/>
      <c r="OVB5" s="325"/>
      <c r="OVC5" s="325"/>
      <c r="OVD5" s="325"/>
      <c r="OVE5" s="325"/>
      <c r="OVF5" s="325"/>
      <c r="OVG5" s="325"/>
      <c r="OVH5" s="325"/>
      <c r="OVI5" s="325"/>
      <c r="OVJ5" s="325"/>
      <c r="OVK5" s="325"/>
      <c r="OVL5" s="325"/>
      <c r="OVM5" s="325"/>
      <c r="OVN5" s="325"/>
      <c r="OVO5" s="325"/>
      <c r="OVP5" s="325"/>
      <c r="OVQ5" s="325"/>
      <c r="OVR5" s="325"/>
      <c r="OVS5" s="325"/>
      <c r="OVT5" s="325"/>
      <c r="OVU5" s="325"/>
      <c r="OVV5" s="325"/>
      <c r="OVW5" s="325"/>
      <c r="OVX5" s="325"/>
      <c r="OVY5" s="325"/>
      <c r="OVZ5" s="325"/>
      <c r="OWA5" s="325"/>
      <c r="OWB5" s="325"/>
      <c r="OWC5" s="325"/>
      <c r="OWD5" s="325"/>
      <c r="OWE5" s="325"/>
      <c r="OWF5" s="325"/>
      <c r="OWG5" s="325"/>
      <c r="OWH5" s="325"/>
      <c r="OWI5" s="325"/>
      <c r="OWJ5" s="325"/>
      <c r="OWK5" s="325"/>
      <c r="OWL5" s="325"/>
      <c r="OWM5" s="325"/>
      <c r="OWN5" s="325"/>
      <c r="OWO5" s="325"/>
      <c r="OWP5" s="325"/>
      <c r="OWQ5" s="325"/>
      <c r="OWR5" s="325"/>
      <c r="OWS5" s="325"/>
      <c r="OWT5" s="325"/>
      <c r="OWU5" s="325"/>
      <c r="OWV5" s="325"/>
      <c r="OWW5" s="325"/>
      <c r="OWX5" s="325"/>
      <c r="OWY5" s="325"/>
      <c r="OWZ5" s="325"/>
      <c r="OXA5" s="325"/>
      <c r="OXB5" s="325"/>
      <c r="OXC5" s="325"/>
      <c r="OXD5" s="325"/>
      <c r="OXE5" s="325"/>
      <c r="OXF5" s="325"/>
      <c r="OXG5" s="325"/>
      <c r="OXH5" s="325"/>
      <c r="OXI5" s="325"/>
      <c r="OXJ5" s="325"/>
      <c r="OXK5" s="325"/>
      <c r="OXL5" s="325"/>
      <c r="OXM5" s="325"/>
      <c r="OXN5" s="325"/>
      <c r="OXO5" s="325"/>
      <c r="OXP5" s="325"/>
      <c r="OXQ5" s="325"/>
      <c r="OXR5" s="325"/>
      <c r="OXS5" s="325"/>
      <c r="OXT5" s="325"/>
      <c r="OXU5" s="325"/>
      <c r="OXV5" s="325"/>
      <c r="OXW5" s="325"/>
      <c r="OXX5" s="325"/>
      <c r="OXY5" s="325"/>
      <c r="OXZ5" s="325"/>
      <c r="OYA5" s="325"/>
      <c r="OYB5" s="325"/>
      <c r="OYC5" s="325"/>
      <c r="OYD5" s="325"/>
      <c r="OYE5" s="325"/>
      <c r="OYF5" s="325"/>
      <c r="OYG5" s="325"/>
      <c r="OYH5" s="325"/>
      <c r="OYI5" s="325"/>
      <c r="OYJ5" s="325"/>
      <c r="OYK5" s="325"/>
      <c r="OYL5" s="325"/>
      <c r="OYM5" s="325"/>
      <c r="OYN5" s="325"/>
      <c r="OYO5" s="325"/>
      <c r="OYP5" s="325"/>
      <c r="OYQ5" s="325"/>
      <c r="OYR5" s="325"/>
      <c r="OYS5" s="325"/>
      <c r="OYT5" s="325"/>
      <c r="OYU5" s="325"/>
      <c r="OYV5" s="325"/>
      <c r="OYW5" s="325"/>
      <c r="OYX5" s="325"/>
      <c r="OYY5" s="325"/>
      <c r="OYZ5" s="325"/>
      <c r="OZA5" s="325"/>
      <c r="OZB5" s="325"/>
      <c r="OZC5" s="325"/>
      <c r="OZD5" s="325"/>
      <c r="OZE5" s="325"/>
      <c r="OZF5" s="325"/>
      <c r="OZG5" s="325"/>
      <c r="OZH5" s="325"/>
      <c r="OZI5" s="325"/>
      <c r="OZJ5" s="325"/>
      <c r="OZK5" s="325"/>
      <c r="OZL5" s="325"/>
      <c r="OZM5" s="325"/>
      <c r="OZN5" s="325"/>
      <c r="OZO5" s="325"/>
      <c r="OZP5" s="325"/>
      <c r="OZQ5" s="325"/>
      <c r="OZR5" s="325"/>
      <c r="OZS5" s="325"/>
      <c r="OZT5" s="325"/>
      <c r="OZU5" s="325"/>
      <c r="OZV5" s="325"/>
      <c r="OZW5" s="325"/>
      <c r="OZX5" s="325"/>
      <c r="OZY5" s="325"/>
      <c r="OZZ5" s="325"/>
      <c r="PAA5" s="325"/>
      <c r="PAB5" s="325"/>
      <c r="PAC5" s="325"/>
      <c r="PAD5" s="325"/>
      <c r="PAE5" s="325"/>
      <c r="PAF5" s="325"/>
      <c r="PAG5" s="325"/>
      <c r="PAH5" s="325"/>
      <c r="PAI5" s="325"/>
      <c r="PAJ5" s="325"/>
      <c r="PAK5" s="325"/>
      <c r="PAL5" s="325"/>
      <c r="PAM5" s="325"/>
      <c r="PAN5" s="325"/>
      <c r="PAO5" s="325"/>
      <c r="PAP5" s="325"/>
      <c r="PAQ5" s="325"/>
      <c r="PAR5" s="325"/>
      <c r="PAS5" s="325"/>
      <c r="PAT5" s="325"/>
      <c r="PAU5" s="325"/>
      <c r="PAV5" s="325"/>
      <c r="PAW5" s="325"/>
      <c r="PAX5" s="325"/>
      <c r="PAY5" s="325"/>
      <c r="PAZ5" s="325"/>
      <c r="PBA5" s="325"/>
      <c r="PBB5" s="325"/>
      <c r="PBC5" s="325"/>
      <c r="PBD5" s="325"/>
      <c r="PBE5" s="325"/>
      <c r="PBF5" s="325"/>
      <c r="PBG5" s="325"/>
      <c r="PBH5" s="325"/>
      <c r="PBI5" s="325"/>
      <c r="PBJ5" s="325"/>
      <c r="PBK5" s="325"/>
      <c r="PBL5" s="325"/>
      <c r="PBM5" s="325"/>
      <c r="PBN5" s="325"/>
      <c r="PBO5" s="325"/>
      <c r="PBP5" s="325"/>
      <c r="PBQ5" s="325"/>
      <c r="PBR5" s="325"/>
      <c r="PBS5" s="325"/>
      <c r="PBT5" s="325"/>
      <c r="PBU5" s="325"/>
      <c r="PBV5" s="325"/>
      <c r="PBW5" s="325"/>
      <c r="PBX5" s="325"/>
      <c r="PBY5" s="325"/>
      <c r="PBZ5" s="325"/>
      <c r="PCA5" s="325"/>
      <c r="PCB5" s="325"/>
      <c r="PCC5" s="325"/>
      <c r="PCD5" s="325"/>
      <c r="PCE5" s="325"/>
      <c r="PCF5" s="325"/>
      <c r="PCG5" s="325"/>
      <c r="PCH5" s="325"/>
      <c r="PCI5" s="325"/>
      <c r="PCJ5" s="325"/>
      <c r="PCK5" s="325"/>
      <c r="PCL5" s="325"/>
      <c r="PCM5" s="325"/>
      <c r="PCN5" s="325"/>
      <c r="PCO5" s="325"/>
      <c r="PCP5" s="325"/>
      <c r="PCQ5" s="325"/>
      <c r="PCR5" s="325"/>
      <c r="PCS5" s="325"/>
      <c r="PCT5" s="325"/>
      <c r="PCU5" s="325"/>
      <c r="PCV5" s="325"/>
      <c r="PCW5" s="325"/>
      <c r="PCX5" s="325"/>
      <c r="PCY5" s="325"/>
      <c r="PCZ5" s="325"/>
      <c r="PDA5" s="325"/>
      <c r="PDB5" s="325"/>
      <c r="PDC5" s="325"/>
      <c r="PDD5" s="325"/>
      <c r="PDE5" s="325"/>
      <c r="PDF5" s="325"/>
      <c r="PDG5" s="325"/>
      <c r="PDH5" s="325"/>
      <c r="PDI5" s="325"/>
      <c r="PDJ5" s="325"/>
      <c r="PDK5" s="325"/>
      <c r="PDL5" s="325"/>
      <c r="PDM5" s="325"/>
      <c r="PDN5" s="325"/>
      <c r="PDO5" s="325"/>
      <c r="PDP5" s="325"/>
      <c r="PDQ5" s="325"/>
      <c r="PDR5" s="325"/>
      <c r="PDS5" s="325"/>
      <c r="PDT5" s="325"/>
      <c r="PDU5" s="325"/>
      <c r="PDV5" s="325"/>
      <c r="PDW5" s="325"/>
      <c r="PDX5" s="325"/>
      <c r="PDY5" s="325"/>
      <c r="PDZ5" s="325"/>
      <c r="PEA5" s="325"/>
      <c r="PEB5" s="325"/>
      <c r="PEC5" s="325"/>
      <c r="PED5" s="325"/>
      <c r="PEE5" s="325"/>
      <c r="PEF5" s="325"/>
      <c r="PEG5" s="325"/>
      <c r="PEH5" s="325"/>
      <c r="PEI5" s="325"/>
      <c r="PEJ5" s="325"/>
      <c r="PEK5" s="325"/>
      <c r="PEL5" s="325"/>
      <c r="PEM5" s="325"/>
      <c r="PEN5" s="325"/>
      <c r="PEO5" s="325"/>
      <c r="PEP5" s="325"/>
      <c r="PEQ5" s="325"/>
      <c r="PER5" s="325"/>
      <c r="PES5" s="325"/>
      <c r="PET5" s="325"/>
      <c r="PEU5" s="325"/>
      <c r="PEV5" s="325"/>
      <c r="PEW5" s="325"/>
      <c r="PEX5" s="325"/>
      <c r="PEY5" s="325"/>
      <c r="PEZ5" s="325"/>
      <c r="PFA5" s="325"/>
      <c r="PFB5" s="325"/>
      <c r="PFC5" s="325"/>
      <c r="PFD5" s="325"/>
      <c r="PFE5" s="325"/>
      <c r="PFF5" s="325"/>
      <c r="PFG5" s="325"/>
      <c r="PFH5" s="325"/>
      <c r="PFI5" s="325"/>
      <c r="PFJ5" s="325"/>
      <c r="PFK5" s="325"/>
      <c r="PFL5" s="325"/>
      <c r="PFM5" s="325"/>
      <c r="PFN5" s="325"/>
      <c r="PFO5" s="325"/>
      <c r="PFP5" s="325"/>
      <c r="PFQ5" s="325"/>
      <c r="PFR5" s="325"/>
      <c r="PFS5" s="325"/>
      <c r="PFT5" s="325"/>
      <c r="PFU5" s="325"/>
      <c r="PFV5" s="325"/>
      <c r="PFW5" s="325"/>
      <c r="PFX5" s="325"/>
      <c r="PFY5" s="325"/>
      <c r="PFZ5" s="325"/>
      <c r="PGA5" s="325"/>
      <c r="PGB5" s="325"/>
      <c r="PGC5" s="325"/>
      <c r="PGD5" s="325"/>
      <c r="PGE5" s="325"/>
      <c r="PGF5" s="325"/>
      <c r="PGG5" s="325"/>
      <c r="PGH5" s="325"/>
      <c r="PGI5" s="325"/>
      <c r="PGJ5" s="325"/>
      <c r="PGK5" s="325"/>
      <c r="PGL5" s="325"/>
      <c r="PGM5" s="325"/>
      <c r="PGN5" s="325"/>
      <c r="PGO5" s="325"/>
      <c r="PGP5" s="325"/>
      <c r="PGQ5" s="325"/>
      <c r="PGR5" s="325"/>
      <c r="PGS5" s="325"/>
      <c r="PGT5" s="325"/>
      <c r="PGU5" s="325"/>
      <c r="PGV5" s="325"/>
      <c r="PGW5" s="325"/>
      <c r="PGX5" s="325"/>
      <c r="PGY5" s="325"/>
      <c r="PGZ5" s="325"/>
      <c r="PHA5" s="325"/>
      <c r="PHB5" s="325"/>
      <c r="PHC5" s="325"/>
      <c r="PHD5" s="325"/>
      <c r="PHE5" s="325"/>
      <c r="PHF5" s="325"/>
      <c r="PHG5" s="325"/>
      <c r="PHH5" s="325"/>
      <c r="PHI5" s="325"/>
      <c r="PHJ5" s="325"/>
      <c r="PHK5" s="325"/>
      <c r="PHL5" s="325"/>
      <c r="PHM5" s="325"/>
      <c r="PHN5" s="325"/>
      <c r="PHO5" s="325"/>
      <c r="PHP5" s="325"/>
      <c r="PHQ5" s="325"/>
      <c r="PHR5" s="325"/>
      <c r="PHS5" s="325"/>
      <c r="PHT5" s="325"/>
      <c r="PHU5" s="325"/>
      <c r="PHV5" s="325"/>
      <c r="PHW5" s="325"/>
      <c r="PHX5" s="325"/>
      <c r="PHY5" s="325"/>
      <c r="PHZ5" s="325"/>
      <c r="PIA5" s="325"/>
      <c r="PIB5" s="325"/>
      <c r="PIC5" s="325"/>
      <c r="PID5" s="325"/>
      <c r="PIE5" s="325"/>
      <c r="PIF5" s="325"/>
      <c r="PIG5" s="325"/>
      <c r="PIH5" s="325"/>
      <c r="PII5" s="325"/>
      <c r="PIJ5" s="325"/>
      <c r="PIK5" s="325"/>
      <c r="PIL5" s="325"/>
      <c r="PIM5" s="325"/>
      <c r="PIN5" s="325"/>
      <c r="PIO5" s="325"/>
      <c r="PIP5" s="325"/>
      <c r="PIQ5" s="325"/>
      <c r="PIR5" s="325"/>
      <c r="PIS5" s="325"/>
      <c r="PIT5" s="325"/>
      <c r="PIU5" s="325"/>
      <c r="PIV5" s="325"/>
      <c r="PIW5" s="325"/>
      <c r="PIX5" s="325"/>
      <c r="PIY5" s="325"/>
      <c r="PIZ5" s="325"/>
      <c r="PJA5" s="325"/>
      <c r="PJB5" s="325"/>
      <c r="PJC5" s="325"/>
      <c r="PJD5" s="325"/>
      <c r="PJE5" s="325"/>
      <c r="PJF5" s="325"/>
      <c r="PJG5" s="325"/>
      <c r="PJH5" s="325"/>
      <c r="PJI5" s="325"/>
      <c r="PJJ5" s="325"/>
      <c r="PJK5" s="325"/>
      <c r="PJL5" s="325"/>
      <c r="PJM5" s="325"/>
      <c r="PJN5" s="325"/>
      <c r="PJO5" s="325"/>
      <c r="PJP5" s="325"/>
      <c r="PJQ5" s="325"/>
      <c r="PJR5" s="325"/>
      <c r="PJS5" s="325"/>
      <c r="PJT5" s="325"/>
      <c r="PJU5" s="325"/>
      <c r="PJV5" s="325"/>
      <c r="PJW5" s="325"/>
      <c r="PJX5" s="325"/>
      <c r="PJY5" s="325"/>
      <c r="PJZ5" s="325"/>
      <c r="PKA5" s="325"/>
      <c r="PKB5" s="325"/>
      <c r="PKC5" s="325"/>
      <c r="PKD5" s="325"/>
      <c r="PKE5" s="325"/>
      <c r="PKF5" s="325"/>
      <c r="PKG5" s="325"/>
      <c r="PKH5" s="325"/>
      <c r="PKI5" s="325"/>
      <c r="PKJ5" s="325"/>
      <c r="PKK5" s="325"/>
      <c r="PKL5" s="325"/>
      <c r="PKM5" s="325"/>
      <c r="PKN5" s="325"/>
      <c r="PKO5" s="325"/>
      <c r="PKP5" s="325"/>
      <c r="PKQ5" s="325"/>
      <c r="PKR5" s="325"/>
      <c r="PKS5" s="325"/>
      <c r="PKT5" s="325"/>
      <c r="PKU5" s="325"/>
      <c r="PKV5" s="325"/>
      <c r="PKW5" s="325"/>
      <c r="PKX5" s="325"/>
      <c r="PKY5" s="325"/>
      <c r="PKZ5" s="325"/>
      <c r="PLA5" s="325"/>
      <c r="PLB5" s="325"/>
      <c r="PLC5" s="325"/>
      <c r="PLD5" s="325"/>
      <c r="PLE5" s="325"/>
      <c r="PLF5" s="325"/>
      <c r="PLG5" s="325"/>
      <c r="PLH5" s="325"/>
      <c r="PLI5" s="325"/>
      <c r="PLJ5" s="325"/>
      <c r="PLK5" s="325"/>
      <c r="PLL5" s="325"/>
      <c r="PLM5" s="325"/>
      <c r="PLN5" s="325"/>
      <c r="PLO5" s="325"/>
      <c r="PLP5" s="325"/>
      <c r="PLQ5" s="325"/>
      <c r="PLR5" s="325"/>
      <c r="PLS5" s="325"/>
      <c r="PLT5" s="325"/>
      <c r="PLU5" s="325"/>
      <c r="PLV5" s="325"/>
      <c r="PLW5" s="325"/>
      <c r="PLX5" s="325"/>
      <c r="PLY5" s="325"/>
      <c r="PLZ5" s="325"/>
      <c r="PMA5" s="325"/>
      <c r="PMB5" s="325"/>
      <c r="PMC5" s="325"/>
      <c r="PMD5" s="325"/>
      <c r="PME5" s="325"/>
      <c r="PMF5" s="325"/>
      <c r="PMG5" s="325"/>
      <c r="PMH5" s="325"/>
      <c r="PMI5" s="325"/>
      <c r="PMJ5" s="325"/>
      <c r="PMK5" s="325"/>
      <c r="PML5" s="325"/>
      <c r="PMM5" s="325"/>
      <c r="PMN5" s="325"/>
      <c r="PMO5" s="325"/>
      <c r="PMP5" s="325"/>
      <c r="PMQ5" s="325"/>
      <c r="PMR5" s="325"/>
      <c r="PMS5" s="325"/>
      <c r="PMT5" s="325"/>
      <c r="PMU5" s="325"/>
      <c r="PMV5" s="325"/>
      <c r="PMW5" s="325"/>
      <c r="PMX5" s="325"/>
      <c r="PMY5" s="325"/>
      <c r="PMZ5" s="325"/>
      <c r="PNA5" s="325"/>
      <c r="PNB5" s="325"/>
      <c r="PNC5" s="325"/>
      <c r="PND5" s="325"/>
      <c r="PNE5" s="325"/>
      <c r="PNF5" s="325"/>
      <c r="PNG5" s="325"/>
      <c r="PNH5" s="325"/>
      <c r="PNI5" s="325"/>
      <c r="PNJ5" s="325"/>
      <c r="PNK5" s="325"/>
      <c r="PNL5" s="325"/>
      <c r="PNM5" s="325"/>
      <c r="PNN5" s="325"/>
      <c r="PNO5" s="325"/>
      <c r="PNP5" s="325"/>
      <c r="PNQ5" s="325"/>
      <c r="PNR5" s="325"/>
      <c r="PNS5" s="325"/>
      <c r="PNT5" s="325"/>
      <c r="PNU5" s="325"/>
      <c r="PNV5" s="325"/>
      <c r="PNW5" s="325"/>
      <c r="PNX5" s="325"/>
      <c r="PNY5" s="325"/>
      <c r="PNZ5" s="325"/>
      <c r="POA5" s="325"/>
      <c r="POB5" s="325"/>
      <c r="POC5" s="325"/>
      <c r="POD5" s="325"/>
      <c r="POE5" s="325"/>
      <c r="POF5" s="325"/>
      <c r="POG5" s="325"/>
      <c r="POH5" s="325"/>
      <c r="POI5" s="325"/>
      <c r="POJ5" s="325"/>
      <c r="POK5" s="325"/>
      <c r="POL5" s="325"/>
      <c r="POM5" s="325"/>
      <c r="PON5" s="325"/>
      <c r="POO5" s="325"/>
      <c r="POP5" s="325"/>
      <c r="POQ5" s="325"/>
      <c r="POR5" s="325"/>
      <c r="POS5" s="325"/>
      <c r="POT5" s="325"/>
      <c r="POU5" s="325"/>
      <c r="POV5" s="325"/>
      <c r="POW5" s="325"/>
      <c r="POX5" s="325"/>
      <c r="POY5" s="325"/>
      <c r="POZ5" s="325"/>
      <c r="PPA5" s="325"/>
      <c r="PPB5" s="325"/>
      <c r="PPC5" s="325"/>
      <c r="PPD5" s="325"/>
      <c r="PPE5" s="325"/>
      <c r="PPF5" s="325"/>
      <c r="PPG5" s="325"/>
      <c r="PPH5" s="325"/>
      <c r="PPI5" s="325"/>
      <c r="PPJ5" s="325"/>
      <c r="PPK5" s="325"/>
      <c r="PPL5" s="325"/>
      <c r="PPM5" s="325"/>
      <c r="PPN5" s="325"/>
      <c r="PPO5" s="325"/>
      <c r="PPP5" s="325"/>
      <c r="PPQ5" s="325"/>
      <c r="PPR5" s="325"/>
      <c r="PPS5" s="325"/>
      <c r="PPT5" s="325"/>
      <c r="PPU5" s="325"/>
      <c r="PPV5" s="325"/>
      <c r="PPW5" s="325"/>
      <c r="PPX5" s="325"/>
      <c r="PPY5" s="325"/>
      <c r="PPZ5" s="325"/>
      <c r="PQA5" s="325"/>
      <c r="PQB5" s="325"/>
      <c r="PQC5" s="325"/>
      <c r="PQD5" s="325"/>
      <c r="PQE5" s="325"/>
      <c r="PQF5" s="325"/>
      <c r="PQG5" s="325"/>
      <c r="PQH5" s="325"/>
      <c r="PQI5" s="325"/>
      <c r="PQJ5" s="325"/>
      <c r="PQK5" s="325"/>
      <c r="PQL5" s="325"/>
      <c r="PQM5" s="325"/>
      <c r="PQN5" s="325"/>
      <c r="PQO5" s="325"/>
      <c r="PQP5" s="325"/>
      <c r="PQQ5" s="325"/>
      <c r="PQR5" s="325"/>
      <c r="PQS5" s="325"/>
      <c r="PQT5" s="325"/>
      <c r="PQU5" s="325"/>
      <c r="PQV5" s="325"/>
      <c r="PQW5" s="325"/>
      <c r="PQX5" s="325"/>
      <c r="PQY5" s="325"/>
      <c r="PQZ5" s="325"/>
      <c r="PRA5" s="325"/>
      <c r="PRB5" s="325"/>
      <c r="PRC5" s="325"/>
      <c r="PRD5" s="325"/>
      <c r="PRE5" s="325"/>
      <c r="PRF5" s="325"/>
      <c r="PRG5" s="325"/>
      <c r="PRH5" s="325"/>
      <c r="PRI5" s="325"/>
      <c r="PRJ5" s="325"/>
      <c r="PRK5" s="325"/>
      <c r="PRL5" s="325"/>
      <c r="PRM5" s="325"/>
      <c r="PRN5" s="325"/>
      <c r="PRO5" s="325"/>
      <c r="PRP5" s="325"/>
      <c r="PRQ5" s="325"/>
      <c r="PRR5" s="325"/>
      <c r="PRS5" s="325"/>
      <c r="PRT5" s="325"/>
      <c r="PRU5" s="325"/>
      <c r="PRV5" s="325"/>
      <c r="PRW5" s="325"/>
      <c r="PRX5" s="325"/>
      <c r="PRY5" s="325"/>
      <c r="PRZ5" s="325"/>
      <c r="PSA5" s="325"/>
      <c r="PSB5" s="325"/>
      <c r="PSC5" s="325"/>
      <c r="PSD5" s="325"/>
      <c r="PSE5" s="325"/>
      <c r="PSF5" s="325"/>
      <c r="PSG5" s="325"/>
      <c r="PSH5" s="325"/>
      <c r="PSI5" s="325"/>
      <c r="PSJ5" s="325"/>
      <c r="PSK5" s="325"/>
      <c r="PSL5" s="325"/>
      <c r="PSM5" s="325"/>
      <c r="PSN5" s="325"/>
      <c r="PSO5" s="325"/>
      <c r="PSP5" s="325"/>
      <c r="PSQ5" s="325"/>
      <c r="PSR5" s="325"/>
      <c r="PSS5" s="325"/>
      <c r="PST5" s="325"/>
      <c r="PSU5" s="325"/>
      <c r="PSV5" s="325"/>
      <c r="PSW5" s="325"/>
      <c r="PSX5" s="325"/>
      <c r="PSY5" s="325"/>
      <c r="PSZ5" s="325"/>
      <c r="PTA5" s="325"/>
      <c r="PTB5" s="325"/>
      <c r="PTC5" s="325"/>
      <c r="PTD5" s="325"/>
      <c r="PTE5" s="325"/>
      <c r="PTF5" s="325"/>
      <c r="PTG5" s="325"/>
      <c r="PTH5" s="325"/>
      <c r="PTI5" s="325"/>
      <c r="PTJ5" s="325"/>
      <c r="PTK5" s="325"/>
      <c r="PTL5" s="325"/>
      <c r="PTM5" s="325"/>
      <c r="PTN5" s="325"/>
      <c r="PTO5" s="325"/>
      <c r="PTP5" s="325"/>
      <c r="PTQ5" s="325"/>
      <c r="PTR5" s="325"/>
      <c r="PTS5" s="325"/>
      <c r="PTT5" s="325"/>
      <c r="PTU5" s="325"/>
      <c r="PTV5" s="325"/>
      <c r="PTW5" s="325"/>
      <c r="PTX5" s="325"/>
      <c r="PTY5" s="325"/>
      <c r="PTZ5" s="325"/>
      <c r="PUA5" s="325"/>
      <c r="PUB5" s="325"/>
      <c r="PUC5" s="325"/>
      <c r="PUD5" s="325"/>
      <c r="PUE5" s="325"/>
      <c r="PUF5" s="325"/>
      <c r="PUG5" s="325"/>
      <c r="PUH5" s="325"/>
      <c r="PUI5" s="325"/>
      <c r="PUJ5" s="325"/>
      <c r="PUK5" s="325"/>
      <c r="PUL5" s="325"/>
      <c r="PUM5" s="325"/>
      <c r="PUN5" s="325"/>
      <c r="PUO5" s="325"/>
      <c r="PUP5" s="325"/>
      <c r="PUQ5" s="325"/>
      <c r="PUR5" s="325"/>
      <c r="PUS5" s="325"/>
      <c r="PUT5" s="325"/>
      <c r="PUU5" s="325"/>
      <c r="PUV5" s="325"/>
      <c r="PUW5" s="325"/>
      <c r="PUX5" s="325"/>
      <c r="PUY5" s="325"/>
      <c r="PUZ5" s="325"/>
      <c r="PVA5" s="325"/>
      <c r="PVB5" s="325"/>
      <c r="PVC5" s="325"/>
      <c r="PVD5" s="325"/>
      <c r="PVE5" s="325"/>
      <c r="PVF5" s="325"/>
      <c r="PVG5" s="325"/>
      <c r="PVH5" s="325"/>
      <c r="PVI5" s="325"/>
      <c r="PVJ5" s="325"/>
      <c r="PVK5" s="325"/>
      <c r="PVL5" s="325"/>
      <c r="PVM5" s="325"/>
      <c r="PVN5" s="325"/>
      <c r="PVO5" s="325"/>
      <c r="PVP5" s="325"/>
      <c r="PVQ5" s="325"/>
      <c r="PVR5" s="325"/>
      <c r="PVS5" s="325"/>
      <c r="PVT5" s="325"/>
      <c r="PVU5" s="325"/>
      <c r="PVV5" s="325"/>
      <c r="PVW5" s="325"/>
      <c r="PVX5" s="325"/>
      <c r="PVY5" s="325"/>
      <c r="PVZ5" s="325"/>
      <c r="PWA5" s="325"/>
      <c r="PWB5" s="325"/>
      <c r="PWC5" s="325"/>
      <c r="PWD5" s="325"/>
      <c r="PWE5" s="325"/>
      <c r="PWF5" s="325"/>
      <c r="PWG5" s="325"/>
      <c r="PWH5" s="325"/>
      <c r="PWI5" s="325"/>
      <c r="PWJ5" s="325"/>
      <c r="PWK5" s="325"/>
      <c r="PWL5" s="325"/>
      <c r="PWM5" s="325"/>
      <c r="PWN5" s="325"/>
      <c r="PWO5" s="325"/>
      <c r="PWP5" s="325"/>
      <c r="PWQ5" s="325"/>
      <c r="PWR5" s="325"/>
      <c r="PWS5" s="325"/>
      <c r="PWT5" s="325"/>
      <c r="PWU5" s="325"/>
      <c r="PWV5" s="325"/>
      <c r="PWW5" s="325"/>
      <c r="PWX5" s="325"/>
      <c r="PWY5" s="325"/>
      <c r="PWZ5" s="325"/>
      <c r="PXA5" s="325"/>
      <c r="PXB5" s="325"/>
      <c r="PXC5" s="325"/>
      <c r="PXD5" s="325"/>
      <c r="PXE5" s="325"/>
      <c r="PXF5" s="325"/>
      <c r="PXG5" s="325"/>
      <c r="PXH5" s="325"/>
      <c r="PXI5" s="325"/>
      <c r="PXJ5" s="325"/>
      <c r="PXK5" s="325"/>
      <c r="PXL5" s="325"/>
      <c r="PXM5" s="325"/>
      <c r="PXN5" s="325"/>
      <c r="PXO5" s="325"/>
      <c r="PXP5" s="325"/>
      <c r="PXQ5" s="325"/>
      <c r="PXR5" s="325"/>
      <c r="PXS5" s="325"/>
      <c r="PXT5" s="325"/>
      <c r="PXU5" s="325"/>
      <c r="PXV5" s="325"/>
      <c r="PXW5" s="325"/>
      <c r="PXX5" s="325"/>
      <c r="PXY5" s="325"/>
      <c r="PXZ5" s="325"/>
      <c r="PYA5" s="325"/>
      <c r="PYB5" s="325"/>
      <c r="PYC5" s="325"/>
      <c r="PYD5" s="325"/>
      <c r="PYE5" s="325"/>
      <c r="PYF5" s="325"/>
      <c r="PYG5" s="325"/>
      <c r="PYH5" s="325"/>
      <c r="PYI5" s="325"/>
      <c r="PYJ5" s="325"/>
      <c r="PYK5" s="325"/>
      <c r="PYL5" s="325"/>
      <c r="PYM5" s="325"/>
      <c r="PYN5" s="325"/>
      <c r="PYO5" s="325"/>
      <c r="PYP5" s="325"/>
      <c r="PYQ5" s="325"/>
      <c r="PYR5" s="325"/>
      <c r="PYS5" s="325"/>
      <c r="PYT5" s="325"/>
      <c r="PYU5" s="325"/>
      <c r="PYV5" s="325"/>
      <c r="PYW5" s="325"/>
      <c r="PYX5" s="325"/>
      <c r="PYY5" s="325"/>
      <c r="PYZ5" s="325"/>
      <c r="PZA5" s="325"/>
      <c r="PZB5" s="325"/>
      <c r="PZC5" s="325"/>
      <c r="PZD5" s="325"/>
      <c r="PZE5" s="325"/>
      <c r="PZF5" s="325"/>
      <c r="PZG5" s="325"/>
      <c r="PZH5" s="325"/>
      <c r="PZI5" s="325"/>
      <c r="PZJ5" s="325"/>
      <c r="PZK5" s="325"/>
      <c r="PZL5" s="325"/>
      <c r="PZM5" s="325"/>
      <c r="PZN5" s="325"/>
      <c r="PZO5" s="325"/>
      <c r="PZP5" s="325"/>
      <c r="PZQ5" s="325"/>
      <c r="PZR5" s="325"/>
      <c r="PZS5" s="325"/>
      <c r="PZT5" s="325"/>
      <c r="PZU5" s="325"/>
      <c r="PZV5" s="325"/>
      <c r="PZW5" s="325"/>
      <c r="PZX5" s="325"/>
      <c r="PZY5" s="325"/>
      <c r="PZZ5" s="325"/>
      <c r="QAA5" s="325"/>
      <c r="QAB5" s="325"/>
      <c r="QAC5" s="325"/>
      <c r="QAD5" s="325"/>
      <c r="QAE5" s="325"/>
      <c r="QAF5" s="325"/>
      <c r="QAG5" s="325"/>
      <c r="QAH5" s="325"/>
      <c r="QAI5" s="325"/>
      <c r="QAJ5" s="325"/>
      <c r="QAK5" s="325"/>
      <c r="QAL5" s="325"/>
      <c r="QAM5" s="325"/>
      <c r="QAN5" s="325"/>
      <c r="QAO5" s="325"/>
      <c r="QAP5" s="325"/>
      <c r="QAQ5" s="325"/>
      <c r="QAR5" s="325"/>
      <c r="QAS5" s="325"/>
      <c r="QAT5" s="325"/>
      <c r="QAU5" s="325"/>
      <c r="QAV5" s="325"/>
      <c r="QAW5" s="325"/>
      <c r="QAX5" s="325"/>
      <c r="QAY5" s="325"/>
      <c r="QAZ5" s="325"/>
      <c r="QBA5" s="325"/>
      <c r="QBB5" s="325"/>
      <c r="QBC5" s="325"/>
      <c r="QBD5" s="325"/>
      <c r="QBE5" s="325"/>
      <c r="QBF5" s="325"/>
      <c r="QBG5" s="325"/>
      <c r="QBH5" s="325"/>
      <c r="QBI5" s="325"/>
      <c r="QBJ5" s="325"/>
      <c r="QBK5" s="325"/>
      <c r="QBL5" s="325"/>
      <c r="QBM5" s="325"/>
      <c r="QBN5" s="325"/>
      <c r="QBO5" s="325"/>
      <c r="QBP5" s="325"/>
      <c r="QBQ5" s="325"/>
      <c r="QBR5" s="325"/>
      <c r="QBS5" s="325"/>
      <c r="QBT5" s="325"/>
      <c r="QBU5" s="325"/>
      <c r="QBV5" s="325"/>
      <c r="QBW5" s="325"/>
      <c r="QBX5" s="325"/>
      <c r="QBY5" s="325"/>
      <c r="QBZ5" s="325"/>
      <c r="QCA5" s="325"/>
      <c r="QCB5" s="325"/>
      <c r="QCC5" s="325"/>
      <c r="QCD5" s="325"/>
      <c r="QCE5" s="325"/>
      <c r="QCF5" s="325"/>
      <c r="QCG5" s="325"/>
      <c r="QCH5" s="325"/>
      <c r="QCI5" s="325"/>
      <c r="QCJ5" s="325"/>
      <c r="QCK5" s="325"/>
      <c r="QCL5" s="325"/>
      <c r="QCM5" s="325"/>
      <c r="QCN5" s="325"/>
      <c r="QCO5" s="325"/>
      <c r="QCP5" s="325"/>
      <c r="QCQ5" s="325"/>
      <c r="QCR5" s="325"/>
      <c r="QCS5" s="325"/>
      <c r="QCT5" s="325"/>
      <c r="QCU5" s="325"/>
      <c r="QCV5" s="325"/>
      <c r="QCW5" s="325"/>
      <c r="QCX5" s="325"/>
      <c r="QCY5" s="325"/>
      <c r="QCZ5" s="325"/>
      <c r="QDA5" s="325"/>
      <c r="QDB5" s="325"/>
      <c r="QDC5" s="325"/>
      <c r="QDD5" s="325"/>
      <c r="QDE5" s="325"/>
      <c r="QDF5" s="325"/>
      <c r="QDG5" s="325"/>
      <c r="QDH5" s="325"/>
      <c r="QDI5" s="325"/>
      <c r="QDJ5" s="325"/>
      <c r="QDK5" s="325"/>
      <c r="QDL5" s="325"/>
      <c r="QDM5" s="325"/>
      <c r="QDN5" s="325"/>
      <c r="QDO5" s="325"/>
      <c r="QDP5" s="325"/>
      <c r="QDQ5" s="325"/>
      <c r="QDR5" s="325"/>
      <c r="QDS5" s="325"/>
      <c r="QDT5" s="325"/>
      <c r="QDU5" s="325"/>
      <c r="QDV5" s="325"/>
      <c r="QDW5" s="325"/>
      <c r="QDX5" s="325"/>
      <c r="QDY5" s="325"/>
      <c r="QDZ5" s="325"/>
      <c r="QEA5" s="325"/>
      <c r="QEB5" s="325"/>
      <c r="QEC5" s="325"/>
      <c r="QED5" s="325"/>
      <c r="QEE5" s="325"/>
      <c r="QEF5" s="325"/>
      <c r="QEG5" s="325"/>
      <c r="QEH5" s="325"/>
      <c r="QEI5" s="325"/>
      <c r="QEJ5" s="325"/>
      <c r="QEK5" s="325"/>
      <c r="QEL5" s="325"/>
      <c r="QEM5" s="325"/>
      <c r="QEN5" s="325"/>
      <c r="QEO5" s="325"/>
      <c r="QEP5" s="325"/>
      <c r="QEQ5" s="325"/>
      <c r="QER5" s="325"/>
      <c r="QES5" s="325"/>
      <c r="QET5" s="325"/>
      <c r="QEU5" s="325"/>
      <c r="QEV5" s="325"/>
      <c r="QEW5" s="325"/>
      <c r="QEX5" s="325"/>
      <c r="QEY5" s="325"/>
      <c r="QEZ5" s="325"/>
      <c r="QFA5" s="325"/>
      <c r="QFB5" s="325"/>
      <c r="QFC5" s="325"/>
      <c r="QFD5" s="325"/>
      <c r="QFE5" s="325"/>
      <c r="QFF5" s="325"/>
      <c r="QFG5" s="325"/>
      <c r="QFH5" s="325"/>
      <c r="QFI5" s="325"/>
      <c r="QFJ5" s="325"/>
      <c r="QFK5" s="325"/>
      <c r="QFL5" s="325"/>
      <c r="QFM5" s="325"/>
      <c r="QFN5" s="325"/>
      <c r="QFO5" s="325"/>
      <c r="QFP5" s="325"/>
      <c r="QFQ5" s="325"/>
      <c r="QFR5" s="325"/>
      <c r="QFS5" s="325"/>
      <c r="QFT5" s="325"/>
      <c r="QFU5" s="325"/>
      <c r="QFV5" s="325"/>
      <c r="QFW5" s="325"/>
      <c r="QFX5" s="325"/>
      <c r="QFY5" s="325"/>
      <c r="QFZ5" s="325"/>
      <c r="QGA5" s="325"/>
      <c r="QGB5" s="325"/>
      <c r="QGC5" s="325"/>
      <c r="QGD5" s="325"/>
      <c r="QGE5" s="325"/>
      <c r="QGF5" s="325"/>
      <c r="QGG5" s="325"/>
      <c r="QGH5" s="325"/>
      <c r="QGI5" s="325"/>
      <c r="QGJ5" s="325"/>
      <c r="QGK5" s="325"/>
      <c r="QGL5" s="325"/>
      <c r="QGM5" s="325"/>
      <c r="QGN5" s="325"/>
      <c r="QGO5" s="325"/>
      <c r="QGP5" s="325"/>
      <c r="QGQ5" s="325"/>
      <c r="QGR5" s="325"/>
      <c r="QGS5" s="325"/>
      <c r="QGT5" s="325"/>
      <c r="QGU5" s="325"/>
      <c r="QGV5" s="325"/>
      <c r="QGW5" s="325"/>
      <c r="QGX5" s="325"/>
      <c r="QGY5" s="325"/>
      <c r="QGZ5" s="325"/>
      <c r="QHA5" s="325"/>
      <c r="QHB5" s="325"/>
      <c r="QHC5" s="325"/>
      <c r="QHD5" s="325"/>
      <c r="QHE5" s="325"/>
      <c r="QHF5" s="325"/>
      <c r="QHG5" s="325"/>
      <c r="QHH5" s="325"/>
      <c r="QHI5" s="325"/>
      <c r="QHJ5" s="325"/>
      <c r="QHK5" s="325"/>
      <c r="QHL5" s="325"/>
      <c r="QHM5" s="325"/>
      <c r="QHN5" s="325"/>
      <c r="QHO5" s="325"/>
      <c r="QHP5" s="325"/>
      <c r="QHQ5" s="325"/>
      <c r="QHR5" s="325"/>
      <c r="QHS5" s="325"/>
      <c r="QHT5" s="325"/>
      <c r="QHU5" s="325"/>
      <c r="QHV5" s="325"/>
      <c r="QHW5" s="325"/>
      <c r="QHX5" s="325"/>
      <c r="QHY5" s="325"/>
      <c r="QHZ5" s="325"/>
      <c r="QIA5" s="325"/>
      <c r="QIB5" s="325"/>
      <c r="QIC5" s="325"/>
      <c r="QID5" s="325"/>
      <c r="QIE5" s="325"/>
      <c r="QIF5" s="325"/>
      <c r="QIG5" s="325"/>
      <c r="QIH5" s="325"/>
      <c r="QII5" s="325"/>
      <c r="QIJ5" s="325"/>
      <c r="QIK5" s="325"/>
      <c r="QIL5" s="325"/>
      <c r="QIM5" s="325"/>
      <c r="QIN5" s="325"/>
      <c r="QIO5" s="325"/>
      <c r="QIP5" s="325"/>
      <c r="QIQ5" s="325"/>
      <c r="QIR5" s="325"/>
      <c r="QIS5" s="325"/>
      <c r="QIT5" s="325"/>
      <c r="QIU5" s="325"/>
      <c r="QIV5" s="325"/>
      <c r="QIW5" s="325"/>
      <c r="QIX5" s="325"/>
      <c r="QIY5" s="325"/>
      <c r="QIZ5" s="325"/>
      <c r="QJA5" s="325"/>
      <c r="QJB5" s="325"/>
      <c r="QJC5" s="325"/>
      <c r="QJD5" s="325"/>
      <c r="QJE5" s="325"/>
      <c r="QJF5" s="325"/>
      <c r="QJG5" s="325"/>
      <c r="QJH5" s="325"/>
      <c r="QJI5" s="325"/>
      <c r="QJJ5" s="325"/>
      <c r="QJK5" s="325"/>
      <c r="QJL5" s="325"/>
      <c r="QJM5" s="325"/>
      <c r="QJN5" s="325"/>
      <c r="QJO5" s="325"/>
      <c r="QJP5" s="325"/>
      <c r="QJQ5" s="325"/>
      <c r="QJR5" s="325"/>
      <c r="QJS5" s="325"/>
      <c r="QJT5" s="325"/>
      <c r="QJU5" s="325"/>
      <c r="QJV5" s="325"/>
      <c r="QJW5" s="325"/>
      <c r="QJX5" s="325"/>
      <c r="QJY5" s="325"/>
      <c r="QJZ5" s="325"/>
      <c r="QKA5" s="325"/>
      <c r="QKB5" s="325"/>
      <c r="QKC5" s="325"/>
      <c r="QKD5" s="325"/>
      <c r="QKE5" s="325"/>
      <c r="QKF5" s="325"/>
      <c r="QKG5" s="325"/>
      <c r="QKH5" s="325"/>
      <c r="QKI5" s="325"/>
      <c r="QKJ5" s="325"/>
      <c r="QKK5" s="325"/>
      <c r="QKL5" s="325"/>
      <c r="QKM5" s="325"/>
      <c r="QKN5" s="325"/>
      <c r="QKO5" s="325"/>
      <c r="QKP5" s="325"/>
      <c r="QKQ5" s="325"/>
      <c r="QKR5" s="325"/>
      <c r="QKS5" s="325"/>
      <c r="QKT5" s="325"/>
      <c r="QKU5" s="325"/>
      <c r="QKV5" s="325"/>
      <c r="QKW5" s="325"/>
      <c r="QKX5" s="325"/>
      <c r="QKY5" s="325"/>
      <c r="QKZ5" s="325"/>
      <c r="QLA5" s="325"/>
      <c r="QLB5" s="325"/>
      <c r="QLC5" s="325"/>
      <c r="QLD5" s="325"/>
      <c r="QLE5" s="325"/>
      <c r="QLF5" s="325"/>
      <c r="QLG5" s="325"/>
      <c r="QLH5" s="325"/>
      <c r="QLI5" s="325"/>
      <c r="QLJ5" s="325"/>
      <c r="QLK5" s="325"/>
      <c r="QLL5" s="325"/>
      <c r="QLM5" s="325"/>
      <c r="QLN5" s="325"/>
      <c r="QLO5" s="325"/>
      <c r="QLP5" s="325"/>
      <c r="QLQ5" s="325"/>
      <c r="QLR5" s="325"/>
      <c r="QLS5" s="325"/>
      <c r="QLT5" s="325"/>
      <c r="QLU5" s="325"/>
      <c r="QLV5" s="325"/>
      <c r="QLW5" s="325"/>
      <c r="QLX5" s="325"/>
      <c r="QLY5" s="325"/>
      <c r="QLZ5" s="325"/>
      <c r="QMA5" s="325"/>
      <c r="QMB5" s="325"/>
      <c r="QMC5" s="325"/>
      <c r="QMD5" s="325"/>
      <c r="QME5" s="325"/>
      <c r="QMF5" s="325"/>
      <c r="QMG5" s="325"/>
      <c r="QMH5" s="325"/>
      <c r="QMI5" s="325"/>
      <c r="QMJ5" s="325"/>
      <c r="QMK5" s="325"/>
      <c r="QML5" s="325"/>
      <c r="QMM5" s="325"/>
      <c r="QMN5" s="325"/>
      <c r="QMO5" s="325"/>
      <c r="QMP5" s="325"/>
      <c r="QMQ5" s="325"/>
      <c r="QMR5" s="325"/>
      <c r="QMS5" s="325"/>
      <c r="QMT5" s="325"/>
      <c r="QMU5" s="325"/>
      <c r="QMV5" s="325"/>
      <c r="QMW5" s="325"/>
      <c r="QMX5" s="325"/>
      <c r="QMY5" s="325"/>
      <c r="QMZ5" s="325"/>
      <c r="QNA5" s="325"/>
      <c r="QNB5" s="325"/>
      <c r="QNC5" s="325"/>
      <c r="QND5" s="325"/>
      <c r="QNE5" s="325"/>
      <c r="QNF5" s="325"/>
      <c r="QNG5" s="325"/>
      <c r="QNH5" s="325"/>
      <c r="QNI5" s="325"/>
      <c r="QNJ5" s="325"/>
      <c r="QNK5" s="325"/>
      <c r="QNL5" s="325"/>
      <c r="QNM5" s="325"/>
      <c r="QNN5" s="325"/>
      <c r="QNO5" s="325"/>
      <c r="QNP5" s="325"/>
      <c r="QNQ5" s="325"/>
      <c r="QNR5" s="325"/>
      <c r="QNS5" s="325"/>
      <c r="QNT5" s="325"/>
      <c r="QNU5" s="325"/>
      <c r="QNV5" s="325"/>
      <c r="QNW5" s="325"/>
      <c r="QNX5" s="325"/>
      <c r="QNY5" s="325"/>
      <c r="QNZ5" s="325"/>
      <c r="QOA5" s="325"/>
      <c r="QOB5" s="325"/>
      <c r="QOC5" s="325"/>
      <c r="QOD5" s="325"/>
      <c r="QOE5" s="325"/>
      <c r="QOF5" s="325"/>
      <c r="QOG5" s="325"/>
      <c r="QOH5" s="325"/>
      <c r="QOI5" s="325"/>
      <c r="QOJ5" s="325"/>
      <c r="QOK5" s="325"/>
      <c r="QOL5" s="325"/>
      <c r="QOM5" s="325"/>
      <c r="QON5" s="325"/>
      <c r="QOO5" s="325"/>
      <c r="QOP5" s="325"/>
      <c r="QOQ5" s="325"/>
      <c r="QOR5" s="325"/>
      <c r="QOS5" s="325"/>
      <c r="QOT5" s="325"/>
      <c r="QOU5" s="325"/>
      <c r="QOV5" s="325"/>
      <c r="QOW5" s="325"/>
      <c r="QOX5" s="325"/>
      <c r="QOY5" s="325"/>
      <c r="QOZ5" s="325"/>
      <c r="QPA5" s="325"/>
      <c r="QPB5" s="325"/>
      <c r="QPC5" s="325"/>
      <c r="QPD5" s="325"/>
      <c r="QPE5" s="325"/>
      <c r="QPF5" s="325"/>
      <c r="QPG5" s="325"/>
      <c r="QPH5" s="325"/>
      <c r="QPI5" s="325"/>
      <c r="QPJ5" s="325"/>
      <c r="QPK5" s="325"/>
      <c r="QPL5" s="325"/>
      <c r="QPM5" s="325"/>
      <c r="QPN5" s="325"/>
      <c r="QPO5" s="325"/>
      <c r="QPP5" s="325"/>
      <c r="QPQ5" s="325"/>
      <c r="QPR5" s="325"/>
      <c r="QPS5" s="325"/>
      <c r="QPT5" s="325"/>
      <c r="QPU5" s="325"/>
      <c r="QPV5" s="325"/>
      <c r="QPW5" s="325"/>
      <c r="QPX5" s="325"/>
      <c r="QPY5" s="325"/>
      <c r="QPZ5" s="325"/>
      <c r="QQA5" s="325"/>
      <c r="QQB5" s="325"/>
      <c r="QQC5" s="325"/>
      <c r="QQD5" s="325"/>
      <c r="QQE5" s="325"/>
      <c r="QQF5" s="325"/>
      <c r="QQG5" s="325"/>
      <c r="QQH5" s="325"/>
      <c r="QQI5" s="325"/>
      <c r="QQJ5" s="325"/>
      <c r="QQK5" s="325"/>
      <c r="QQL5" s="325"/>
      <c r="QQM5" s="325"/>
      <c r="QQN5" s="325"/>
      <c r="QQO5" s="325"/>
      <c r="QQP5" s="325"/>
      <c r="QQQ5" s="325"/>
      <c r="QQR5" s="325"/>
      <c r="QQS5" s="325"/>
      <c r="QQT5" s="325"/>
      <c r="QQU5" s="325"/>
      <c r="QQV5" s="325"/>
      <c r="QQW5" s="325"/>
      <c r="QQX5" s="325"/>
      <c r="QQY5" s="325"/>
      <c r="QQZ5" s="325"/>
      <c r="QRA5" s="325"/>
      <c r="QRB5" s="325"/>
      <c r="QRC5" s="325"/>
      <c r="QRD5" s="325"/>
      <c r="QRE5" s="325"/>
      <c r="QRF5" s="325"/>
      <c r="QRG5" s="325"/>
      <c r="QRH5" s="325"/>
      <c r="QRI5" s="325"/>
      <c r="QRJ5" s="325"/>
      <c r="QRK5" s="325"/>
      <c r="QRL5" s="325"/>
      <c r="QRM5" s="325"/>
      <c r="QRN5" s="325"/>
      <c r="QRO5" s="325"/>
      <c r="QRP5" s="325"/>
      <c r="QRQ5" s="325"/>
      <c r="QRR5" s="325"/>
      <c r="QRS5" s="325"/>
      <c r="QRT5" s="325"/>
      <c r="QRU5" s="325"/>
      <c r="QRV5" s="325"/>
      <c r="QRW5" s="325"/>
      <c r="QRX5" s="325"/>
      <c r="QRY5" s="325"/>
      <c r="QRZ5" s="325"/>
      <c r="QSA5" s="325"/>
      <c r="QSB5" s="325"/>
      <c r="QSC5" s="325"/>
      <c r="QSD5" s="325"/>
      <c r="QSE5" s="325"/>
      <c r="QSF5" s="325"/>
      <c r="QSG5" s="325"/>
      <c r="QSH5" s="325"/>
      <c r="QSI5" s="325"/>
      <c r="QSJ5" s="325"/>
      <c r="QSK5" s="325"/>
      <c r="QSL5" s="325"/>
      <c r="QSM5" s="325"/>
      <c r="QSN5" s="325"/>
      <c r="QSO5" s="325"/>
      <c r="QSP5" s="325"/>
      <c r="QSQ5" s="325"/>
      <c r="QSR5" s="325"/>
      <c r="QSS5" s="325"/>
      <c r="QST5" s="325"/>
      <c r="QSU5" s="325"/>
      <c r="QSV5" s="325"/>
      <c r="QSW5" s="325"/>
      <c r="QSX5" s="325"/>
      <c r="QSY5" s="325"/>
      <c r="QSZ5" s="325"/>
      <c r="QTA5" s="325"/>
      <c r="QTB5" s="325"/>
      <c r="QTC5" s="325"/>
      <c r="QTD5" s="325"/>
      <c r="QTE5" s="325"/>
      <c r="QTF5" s="325"/>
      <c r="QTG5" s="325"/>
      <c r="QTH5" s="325"/>
      <c r="QTI5" s="325"/>
      <c r="QTJ5" s="325"/>
      <c r="QTK5" s="325"/>
      <c r="QTL5" s="325"/>
      <c r="QTM5" s="325"/>
      <c r="QTN5" s="325"/>
      <c r="QTO5" s="325"/>
      <c r="QTP5" s="325"/>
      <c r="QTQ5" s="325"/>
      <c r="QTR5" s="325"/>
      <c r="QTS5" s="325"/>
      <c r="QTT5" s="325"/>
      <c r="QTU5" s="325"/>
      <c r="QTV5" s="325"/>
      <c r="QTW5" s="325"/>
      <c r="QTX5" s="325"/>
      <c r="QTY5" s="325"/>
      <c r="QTZ5" s="325"/>
      <c r="QUA5" s="325"/>
      <c r="QUB5" s="325"/>
      <c r="QUC5" s="325"/>
      <c r="QUD5" s="325"/>
      <c r="QUE5" s="325"/>
      <c r="QUF5" s="325"/>
      <c r="QUG5" s="325"/>
      <c r="QUH5" s="325"/>
      <c r="QUI5" s="325"/>
      <c r="QUJ5" s="325"/>
      <c r="QUK5" s="325"/>
      <c r="QUL5" s="325"/>
      <c r="QUM5" s="325"/>
      <c r="QUN5" s="325"/>
      <c r="QUO5" s="325"/>
      <c r="QUP5" s="325"/>
      <c r="QUQ5" s="325"/>
      <c r="QUR5" s="325"/>
      <c r="QUS5" s="325"/>
      <c r="QUT5" s="325"/>
      <c r="QUU5" s="325"/>
      <c r="QUV5" s="325"/>
      <c r="QUW5" s="325"/>
      <c r="QUX5" s="325"/>
      <c r="QUY5" s="325"/>
      <c r="QUZ5" s="325"/>
      <c r="QVA5" s="325"/>
      <c r="QVB5" s="325"/>
      <c r="QVC5" s="325"/>
      <c r="QVD5" s="325"/>
      <c r="QVE5" s="325"/>
      <c r="QVF5" s="325"/>
      <c r="QVG5" s="325"/>
      <c r="QVH5" s="325"/>
      <c r="QVI5" s="325"/>
      <c r="QVJ5" s="325"/>
      <c r="QVK5" s="325"/>
      <c r="QVL5" s="325"/>
      <c r="QVM5" s="325"/>
      <c r="QVN5" s="325"/>
      <c r="QVO5" s="325"/>
      <c r="QVP5" s="325"/>
      <c r="QVQ5" s="325"/>
      <c r="QVR5" s="325"/>
      <c r="QVS5" s="325"/>
      <c r="QVT5" s="325"/>
      <c r="QVU5" s="325"/>
      <c r="QVV5" s="325"/>
      <c r="QVW5" s="325"/>
      <c r="QVX5" s="325"/>
      <c r="QVY5" s="325"/>
      <c r="QVZ5" s="325"/>
      <c r="QWA5" s="325"/>
      <c r="QWB5" s="325"/>
      <c r="QWC5" s="325"/>
      <c r="QWD5" s="325"/>
      <c r="QWE5" s="325"/>
      <c r="QWF5" s="325"/>
      <c r="QWG5" s="325"/>
      <c r="QWH5" s="325"/>
      <c r="QWI5" s="325"/>
      <c r="QWJ5" s="325"/>
      <c r="QWK5" s="325"/>
      <c r="QWL5" s="325"/>
      <c r="QWM5" s="325"/>
      <c r="QWN5" s="325"/>
      <c r="QWO5" s="325"/>
      <c r="QWP5" s="325"/>
      <c r="QWQ5" s="325"/>
      <c r="QWR5" s="325"/>
      <c r="QWS5" s="325"/>
      <c r="QWT5" s="325"/>
      <c r="QWU5" s="325"/>
      <c r="QWV5" s="325"/>
      <c r="QWW5" s="325"/>
      <c r="QWX5" s="325"/>
      <c r="QWY5" s="325"/>
      <c r="QWZ5" s="325"/>
      <c r="QXA5" s="325"/>
      <c r="QXB5" s="325"/>
      <c r="QXC5" s="325"/>
      <c r="QXD5" s="325"/>
      <c r="QXE5" s="325"/>
      <c r="QXF5" s="325"/>
      <c r="QXG5" s="325"/>
      <c r="QXH5" s="325"/>
      <c r="QXI5" s="325"/>
      <c r="QXJ5" s="325"/>
      <c r="QXK5" s="325"/>
      <c r="QXL5" s="325"/>
      <c r="QXM5" s="325"/>
      <c r="QXN5" s="325"/>
      <c r="QXO5" s="325"/>
      <c r="QXP5" s="325"/>
      <c r="QXQ5" s="325"/>
      <c r="QXR5" s="325"/>
      <c r="QXS5" s="325"/>
      <c r="QXT5" s="325"/>
      <c r="QXU5" s="325"/>
      <c r="QXV5" s="325"/>
      <c r="QXW5" s="325"/>
      <c r="QXX5" s="325"/>
      <c r="QXY5" s="325"/>
      <c r="QXZ5" s="325"/>
      <c r="QYA5" s="325"/>
      <c r="QYB5" s="325"/>
      <c r="QYC5" s="325"/>
      <c r="QYD5" s="325"/>
      <c r="QYE5" s="325"/>
      <c r="QYF5" s="325"/>
      <c r="QYG5" s="325"/>
      <c r="QYH5" s="325"/>
      <c r="QYI5" s="325"/>
      <c r="QYJ5" s="325"/>
      <c r="QYK5" s="325"/>
      <c r="QYL5" s="325"/>
      <c r="QYM5" s="325"/>
      <c r="QYN5" s="325"/>
      <c r="QYO5" s="325"/>
      <c r="QYP5" s="325"/>
      <c r="QYQ5" s="325"/>
      <c r="QYR5" s="325"/>
      <c r="QYS5" s="325"/>
      <c r="QYT5" s="325"/>
      <c r="QYU5" s="325"/>
      <c r="QYV5" s="325"/>
      <c r="QYW5" s="325"/>
      <c r="QYX5" s="325"/>
      <c r="QYY5" s="325"/>
      <c r="QYZ5" s="325"/>
      <c r="QZA5" s="325"/>
      <c r="QZB5" s="325"/>
      <c r="QZC5" s="325"/>
      <c r="QZD5" s="325"/>
      <c r="QZE5" s="325"/>
      <c r="QZF5" s="325"/>
      <c r="QZG5" s="325"/>
      <c r="QZH5" s="325"/>
      <c r="QZI5" s="325"/>
      <c r="QZJ5" s="325"/>
      <c r="QZK5" s="325"/>
      <c r="QZL5" s="325"/>
      <c r="QZM5" s="325"/>
      <c r="QZN5" s="325"/>
      <c r="QZO5" s="325"/>
      <c r="QZP5" s="325"/>
      <c r="QZQ5" s="325"/>
      <c r="QZR5" s="325"/>
      <c r="QZS5" s="325"/>
      <c r="QZT5" s="325"/>
      <c r="QZU5" s="325"/>
      <c r="QZV5" s="325"/>
      <c r="QZW5" s="325"/>
      <c r="QZX5" s="325"/>
      <c r="QZY5" s="325"/>
      <c r="QZZ5" s="325"/>
      <c r="RAA5" s="325"/>
      <c r="RAB5" s="325"/>
      <c r="RAC5" s="325"/>
      <c r="RAD5" s="325"/>
      <c r="RAE5" s="325"/>
      <c r="RAF5" s="325"/>
      <c r="RAG5" s="325"/>
      <c r="RAH5" s="325"/>
      <c r="RAI5" s="325"/>
      <c r="RAJ5" s="325"/>
      <c r="RAK5" s="325"/>
      <c r="RAL5" s="325"/>
      <c r="RAM5" s="325"/>
      <c r="RAN5" s="325"/>
      <c r="RAO5" s="325"/>
      <c r="RAP5" s="325"/>
      <c r="RAQ5" s="325"/>
      <c r="RAR5" s="325"/>
      <c r="RAS5" s="325"/>
      <c r="RAT5" s="325"/>
      <c r="RAU5" s="325"/>
      <c r="RAV5" s="325"/>
      <c r="RAW5" s="325"/>
      <c r="RAX5" s="325"/>
      <c r="RAY5" s="325"/>
      <c r="RAZ5" s="325"/>
      <c r="RBA5" s="325"/>
      <c r="RBB5" s="325"/>
      <c r="RBC5" s="325"/>
      <c r="RBD5" s="325"/>
      <c r="RBE5" s="325"/>
      <c r="RBF5" s="325"/>
      <c r="RBG5" s="325"/>
      <c r="RBH5" s="325"/>
      <c r="RBI5" s="325"/>
      <c r="RBJ5" s="325"/>
      <c r="RBK5" s="325"/>
      <c r="RBL5" s="325"/>
      <c r="RBM5" s="325"/>
      <c r="RBN5" s="325"/>
      <c r="RBO5" s="325"/>
      <c r="RBP5" s="325"/>
      <c r="RBQ5" s="325"/>
      <c r="RBR5" s="325"/>
      <c r="RBS5" s="325"/>
      <c r="RBT5" s="325"/>
      <c r="RBU5" s="325"/>
      <c r="RBV5" s="325"/>
      <c r="RBW5" s="325"/>
      <c r="RBX5" s="325"/>
      <c r="RBY5" s="325"/>
      <c r="RBZ5" s="325"/>
      <c r="RCA5" s="325"/>
      <c r="RCB5" s="325"/>
      <c r="RCC5" s="325"/>
      <c r="RCD5" s="325"/>
      <c r="RCE5" s="325"/>
      <c r="RCF5" s="325"/>
      <c r="RCG5" s="325"/>
      <c r="RCH5" s="325"/>
      <c r="RCI5" s="325"/>
      <c r="RCJ5" s="325"/>
      <c r="RCK5" s="325"/>
      <c r="RCL5" s="325"/>
      <c r="RCM5" s="325"/>
      <c r="RCN5" s="325"/>
      <c r="RCO5" s="325"/>
      <c r="RCP5" s="325"/>
      <c r="RCQ5" s="325"/>
      <c r="RCR5" s="325"/>
      <c r="RCS5" s="325"/>
      <c r="RCT5" s="325"/>
      <c r="RCU5" s="325"/>
      <c r="RCV5" s="325"/>
      <c r="RCW5" s="325"/>
      <c r="RCX5" s="325"/>
      <c r="RCY5" s="325"/>
      <c r="RCZ5" s="325"/>
      <c r="RDA5" s="325"/>
      <c r="RDB5" s="325"/>
      <c r="RDC5" s="325"/>
      <c r="RDD5" s="325"/>
      <c r="RDE5" s="325"/>
      <c r="RDF5" s="325"/>
      <c r="RDG5" s="325"/>
      <c r="RDH5" s="325"/>
      <c r="RDI5" s="325"/>
      <c r="RDJ5" s="325"/>
      <c r="RDK5" s="325"/>
      <c r="RDL5" s="325"/>
      <c r="RDM5" s="325"/>
      <c r="RDN5" s="325"/>
      <c r="RDO5" s="325"/>
      <c r="RDP5" s="325"/>
      <c r="RDQ5" s="325"/>
      <c r="RDR5" s="325"/>
      <c r="RDS5" s="325"/>
      <c r="RDT5" s="325"/>
      <c r="RDU5" s="325"/>
      <c r="RDV5" s="325"/>
      <c r="RDW5" s="325"/>
      <c r="RDX5" s="325"/>
      <c r="RDY5" s="325"/>
      <c r="RDZ5" s="325"/>
      <c r="REA5" s="325"/>
      <c r="REB5" s="325"/>
      <c r="REC5" s="325"/>
      <c r="RED5" s="325"/>
      <c r="REE5" s="325"/>
      <c r="REF5" s="325"/>
      <c r="REG5" s="325"/>
      <c r="REH5" s="325"/>
      <c r="REI5" s="325"/>
      <c r="REJ5" s="325"/>
      <c r="REK5" s="325"/>
      <c r="REL5" s="325"/>
      <c r="REM5" s="325"/>
      <c r="REN5" s="325"/>
      <c r="REO5" s="325"/>
      <c r="REP5" s="325"/>
      <c r="REQ5" s="325"/>
      <c r="RER5" s="325"/>
      <c r="RES5" s="325"/>
      <c r="RET5" s="325"/>
      <c r="REU5" s="325"/>
      <c r="REV5" s="325"/>
      <c r="REW5" s="325"/>
      <c r="REX5" s="325"/>
      <c r="REY5" s="325"/>
      <c r="REZ5" s="325"/>
      <c r="RFA5" s="325"/>
      <c r="RFB5" s="325"/>
      <c r="RFC5" s="325"/>
      <c r="RFD5" s="325"/>
      <c r="RFE5" s="325"/>
      <c r="RFF5" s="325"/>
      <c r="RFG5" s="325"/>
      <c r="RFH5" s="325"/>
      <c r="RFI5" s="325"/>
      <c r="RFJ5" s="325"/>
      <c r="RFK5" s="325"/>
      <c r="RFL5" s="325"/>
      <c r="RFM5" s="325"/>
      <c r="RFN5" s="325"/>
      <c r="RFO5" s="325"/>
      <c r="RFP5" s="325"/>
      <c r="RFQ5" s="325"/>
      <c r="RFR5" s="325"/>
      <c r="RFS5" s="325"/>
      <c r="RFT5" s="325"/>
      <c r="RFU5" s="325"/>
      <c r="RFV5" s="325"/>
      <c r="RFW5" s="325"/>
      <c r="RFX5" s="325"/>
      <c r="RFY5" s="325"/>
      <c r="RFZ5" s="325"/>
      <c r="RGA5" s="325"/>
      <c r="RGB5" s="325"/>
      <c r="RGC5" s="325"/>
      <c r="RGD5" s="325"/>
      <c r="RGE5" s="325"/>
      <c r="RGF5" s="325"/>
      <c r="RGG5" s="325"/>
      <c r="RGH5" s="325"/>
      <c r="RGI5" s="325"/>
      <c r="RGJ5" s="325"/>
      <c r="RGK5" s="325"/>
      <c r="RGL5" s="325"/>
      <c r="RGM5" s="325"/>
      <c r="RGN5" s="325"/>
      <c r="RGO5" s="325"/>
      <c r="RGP5" s="325"/>
      <c r="RGQ5" s="325"/>
      <c r="RGR5" s="325"/>
      <c r="RGS5" s="325"/>
      <c r="RGT5" s="325"/>
      <c r="RGU5" s="325"/>
      <c r="RGV5" s="325"/>
      <c r="RGW5" s="325"/>
      <c r="RGX5" s="325"/>
      <c r="RGY5" s="325"/>
      <c r="RGZ5" s="325"/>
      <c r="RHA5" s="325"/>
      <c r="RHB5" s="325"/>
      <c r="RHC5" s="325"/>
      <c r="RHD5" s="325"/>
      <c r="RHE5" s="325"/>
      <c r="RHF5" s="325"/>
      <c r="RHG5" s="325"/>
      <c r="RHH5" s="325"/>
      <c r="RHI5" s="325"/>
      <c r="RHJ5" s="325"/>
      <c r="RHK5" s="325"/>
      <c r="RHL5" s="325"/>
      <c r="RHM5" s="325"/>
      <c r="RHN5" s="325"/>
      <c r="RHO5" s="325"/>
      <c r="RHP5" s="325"/>
      <c r="RHQ5" s="325"/>
      <c r="RHR5" s="325"/>
      <c r="RHS5" s="325"/>
      <c r="RHT5" s="325"/>
      <c r="RHU5" s="325"/>
      <c r="RHV5" s="325"/>
      <c r="RHW5" s="325"/>
      <c r="RHX5" s="325"/>
      <c r="RHY5" s="325"/>
      <c r="RHZ5" s="325"/>
      <c r="RIA5" s="325"/>
      <c r="RIB5" s="325"/>
      <c r="RIC5" s="325"/>
      <c r="RID5" s="325"/>
      <c r="RIE5" s="325"/>
      <c r="RIF5" s="325"/>
      <c r="RIG5" s="325"/>
      <c r="RIH5" s="325"/>
      <c r="RII5" s="325"/>
      <c r="RIJ5" s="325"/>
      <c r="RIK5" s="325"/>
      <c r="RIL5" s="325"/>
      <c r="RIM5" s="325"/>
      <c r="RIN5" s="325"/>
      <c r="RIO5" s="325"/>
      <c r="RIP5" s="325"/>
      <c r="RIQ5" s="325"/>
      <c r="RIR5" s="325"/>
      <c r="RIS5" s="325"/>
      <c r="RIT5" s="325"/>
      <c r="RIU5" s="325"/>
      <c r="RIV5" s="325"/>
      <c r="RIW5" s="325"/>
      <c r="RIX5" s="325"/>
      <c r="RIY5" s="325"/>
      <c r="RIZ5" s="325"/>
      <c r="RJA5" s="325"/>
      <c r="RJB5" s="325"/>
      <c r="RJC5" s="325"/>
      <c r="RJD5" s="325"/>
      <c r="RJE5" s="325"/>
      <c r="RJF5" s="325"/>
      <c r="RJG5" s="325"/>
      <c r="RJH5" s="325"/>
      <c r="RJI5" s="325"/>
      <c r="RJJ5" s="325"/>
      <c r="RJK5" s="325"/>
      <c r="RJL5" s="325"/>
      <c r="RJM5" s="325"/>
      <c r="RJN5" s="325"/>
      <c r="RJO5" s="325"/>
      <c r="RJP5" s="325"/>
      <c r="RJQ5" s="325"/>
      <c r="RJR5" s="325"/>
      <c r="RJS5" s="325"/>
      <c r="RJT5" s="325"/>
      <c r="RJU5" s="325"/>
      <c r="RJV5" s="325"/>
      <c r="RJW5" s="325"/>
      <c r="RJX5" s="325"/>
      <c r="RJY5" s="325"/>
      <c r="RJZ5" s="325"/>
      <c r="RKA5" s="325"/>
      <c r="RKB5" s="325"/>
      <c r="RKC5" s="325"/>
      <c r="RKD5" s="325"/>
      <c r="RKE5" s="325"/>
      <c r="RKF5" s="325"/>
      <c r="RKG5" s="325"/>
      <c r="RKH5" s="325"/>
      <c r="RKI5" s="325"/>
      <c r="RKJ5" s="325"/>
      <c r="RKK5" s="325"/>
      <c r="RKL5" s="325"/>
      <c r="RKM5" s="325"/>
      <c r="RKN5" s="325"/>
      <c r="RKO5" s="325"/>
      <c r="RKP5" s="325"/>
      <c r="RKQ5" s="325"/>
      <c r="RKR5" s="325"/>
      <c r="RKS5" s="325"/>
      <c r="RKT5" s="325"/>
      <c r="RKU5" s="325"/>
      <c r="RKV5" s="325"/>
      <c r="RKW5" s="325"/>
      <c r="RKX5" s="325"/>
      <c r="RKY5" s="325"/>
      <c r="RKZ5" s="325"/>
      <c r="RLA5" s="325"/>
      <c r="RLB5" s="325"/>
      <c r="RLC5" s="325"/>
      <c r="RLD5" s="325"/>
      <c r="RLE5" s="325"/>
      <c r="RLF5" s="325"/>
      <c r="RLG5" s="325"/>
      <c r="RLH5" s="325"/>
      <c r="RLI5" s="325"/>
      <c r="RLJ5" s="325"/>
      <c r="RLK5" s="325"/>
      <c r="RLL5" s="325"/>
      <c r="RLM5" s="325"/>
      <c r="RLN5" s="325"/>
      <c r="RLO5" s="325"/>
      <c r="RLP5" s="325"/>
      <c r="RLQ5" s="325"/>
      <c r="RLR5" s="325"/>
      <c r="RLS5" s="325"/>
      <c r="RLT5" s="325"/>
      <c r="RLU5" s="325"/>
      <c r="RLV5" s="325"/>
      <c r="RLW5" s="325"/>
      <c r="RLX5" s="325"/>
      <c r="RLY5" s="325"/>
      <c r="RLZ5" s="325"/>
      <c r="RMA5" s="325"/>
      <c r="RMB5" s="325"/>
      <c r="RMC5" s="325"/>
      <c r="RMD5" s="325"/>
      <c r="RME5" s="325"/>
      <c r="RMF5" s="325"/>
      <c r="RMG5" s="325"/>
      <c r="RMH5" s="325"/>
      <c r="RMI5" s="325"/>
      <c r="RMJ5" s="325"/>
      <c r="RMK5" s="325"/>
      <c r="RML5" s="325"/>
      <c r="RMM5" s="325"/>
      <c r="RMN5" s="325"/>
      <c r="RMO5" s="325"/>
      <c r="RMP5" s="325"/>
      <c r="RMQ5" s="325"/>
      <c r="RMR5" s="325"/>
      <c r="RMS5" s="325"/>
      <c r="RMT5" s="325"/>
      <c r="RMU5" s="325"/>
      <c r="RMV5" s="325"/>
      <c r="RMW5" s="325"/>
      <c r="RMX5" s="325"/>
      <c r="RMY5" s="325"/>
      <c r="RMZ5" s="325"/>
      <c r="RNA5" s="325"/>
      <c r="RNB5" s="325"/>
      <c r="RNC5" s="325"/>
      <c r="RND5" s="325"/>
      <c r="RNE5" s="325"/>
      <c r="RNF5" s="325"/>
      <c r="RNG5" s="325"/>
      <c r="RNH5" s="325"/>
      <c r="RNI5" s="325"/>
      <c r="RNJ5" s="325"/>
      <c r="RNK5" s="325"/>
      <c r="RNL5" s="325"/>
      <c r="RNM5" s="325"/>
      <c r="RNN5" s="325"/>
      <c r="RNO5" s="325"/>
      <c r="RNP5" s="325"/>
      <c r="RNQ5" s="325"/>
      <c r="RNR5" s="325"/>
      <c r="RNS5" s="325"/>
      <c r="RNT5" s="325"/>
      <c r="RNU5" s="325"/>
      <c r="RNV5" s="325"/>
      <c r="RNW5" s="325"/>
      <c r="RNX5" s="325"/>
      <c r="RNY5" s="325"/>
      <c r="RNZ5" s="325"/>
      <c r="ROA5" s="325"/>
      <c r="ROB5" s="325"/>
      <c r="ROC5" s="325"/>
      <c r="ROD5" s="325"/>
      <c r="ROE5" s="325"/>
      <c r="ROF5" s="325"/>
      <c r="ROG5" s="325"/>
      <c r="ROH5" s="325"/>
      <c r="ROI5" s="325"/>
      <c r="ROJ5" s="325"/>
      <c r="ROK5" s="325"/>
      <c r="ROL5" s="325"/>
      <c r="ROM5" s="325"/>
      <c r="RON5" s="325"/>
      <c r="ROO5" s="325"/>
      <c r="ROP5" s="325"/>
      <c r="ROQ5" s="325"/>
      <c r="ROR5" s="325"/>
      <c r="ROS5" s="325"/>
      <c r="ROT5" s="325"/>
      <c r="ROU5" s="325"/>
      <c r="ROV5" s="325"/>
      <c r="ROW5" s="325"/>
      <c r="ROX5" s="325"/>
      <c r="ROY5" s="325"/>
      <c r="ROZ5" s="325"/>
      <c r="RPA5" s="325"/>
      <c r="RPB5" s="325"/>
      <c r="RPC5" s="325"/>
      <c r="RPD5" s="325"/>
      <c r="RPE5" s="325"/>
      <c r="RPF5" s="325"/>
      <c r="RPG5" s="325"/>
      <c r="RPH5" s="325"/>
      <c r="RPI5" s="325"/>
      <c r="RPJ5" s="325"/>
      <c r="RPK5" s="325"/>
      <c r="RPL5" s="325"/>
      <c r="RPM5" s="325"/>
      <c r="RPN5" s="325"/>
      <c r="RPO5" s="325"/>
      <c r="RPP5" s="325"/>
      <c r="RPQ5" s="325"/>
      <c r="RPR5" s="325"/>
      <c r="RPS5" s="325"/>
      <c r="RPT5" s="325"/>
      <c r="RPU5" s="325"/>
      <c r="RPV5" s="325"/>
      <c r="RPW5" s="325"/>
      <c r="RPX5" s="325"/>
      <c r="RPY5" s="325"/>
      <c r="RPZ5" s="325"/>
      <c r="RQA5" s="325"/>
      <c r="RQB5" s="325"/>
      <c r="RQC5" s="325"/>
      <c r="RQD5" s="325"/>
      <c r="RQE5" s="325"/>
      <c r="RQF5" s="325"/>
      <c r="RQG5" s="325"/>
      <c r="RQH5" s="325"/>
      <c r="RQI5" s="325"/>
      <c r="RQJ5" s="325"/>
      <c r="RQK5" s="325"/>
      <c r="RQL5" s="325"/>
      <c r="RQM5" s="325"/>
      <c r="RQN5" s="325"/>
      <c r="RQO5" s="325"/>
      <c r="RQP5" s="325"/>
      <c r="RQQ5" s="325"/>
      <c r="RQR5" s="325"/>
      <c r="RQS5" s="325"/>
      <c r="RQT5" s="325"/>
      <c r="RQU5" s="325"/>
      <c r="RQV5" s="325"/>
      <c r="RQW5" s="325"/>
      <c r="RQX5" s="325"/>
      <c r="RQY5" s="325"/>
      <c r="RQZ5" s="325"/>
      <c r="RRA5" s="325"/>
      <c r="RRB5" s="325"/>
      <c r="RRC5" s="325"/>
      <c r="RRD5" s="325"/>
      <c r="RRE5" s="325"/>
      <c r="RRF5" s="325"/>
      <c r="RRG5" s="325"/>
      <c r="RRH5" s="325"/>
      <c r="RRI5" s="325"/>
      <c r="RRJ5" s="325"/>
      <c r="RRK5" s="325"/>
      <c r="RRL5" s="325"/>
      <c r="RRM5" s="325"/>
      <c r="RRN5" s="325"/>
      <c r="RRO5" s="325"/>
      <c r="RRP5" s="325"/>
      <c r="RRQ5" s="325"/>
      <c r="RRR5" s="325"/>
      <c r="RRS5" s="325"/>
      <c r="RRT5" s="325"/>
      <c r="RRU5" s="325"/>
      <c r="RRV5" s="325"/>
      <c r="RRW5" s="325"/>
      <c r="RRX5" s="325"/>
      <c r="RRY5" s="325"/>
      <c r="RRZ5" s="325"/>
      <c r="RSA5" s="325"/>
      <c r="RSB5" s="325"/>
      <c r="RSC5" s="325"/>
      <c r="RSD5" s="325"/>
      <c r="RSE5" s="325"/>
      <c r="RSF5" s="325"/>
      <c r="RSG5" s="325"/>
      <c r="RSH5" s="325"/>
      <c r="RSI5" s="325"/>
      <c r="RSJ5" s="325"/>
      <c r="RSK5" s="325"/>
      <c r="RSL5" s="325"/>
      <c r="RSM5" s="325"/>
      <c r="RSN5" s="325"/>
      <c r="RSO5" s="325"/>
      <c r="RSP5" s="325"/>
      <c r="RSQ5" s="325"/>
      <c r="RSR5" s="325"/>
      <c r="RSS5" s="325"/>
      <c r="RST5" s="325"/>
      <c r="RSU5" s="325"/>
      <c r="RSV5" s="325"/>
      <c r="RSW5" s="325"/>
      <c r="RSX5" s="325"/>
      <c r="RSY5" s="325"/>
      <c r="RSZ5" s="325"/>
      <c r="RTA5" s="325"/>
      <c r="RTB5" s="325"/>
      <c r="RTC5" s="325"/>
      <c r="RTD5" s="325"/>
      <c r="RTE5" s="325"/>
      <c r="RTF5" s="325"/>
      <c r="RTG5" s="325"/>
      <c r="RTH5" s="325"/>
      <c r="RTI5" s="325"/>
      <c r="RTJ5" s="325"/>
      <c r="RTK5" s="325"/>
      <c r="RTL5" s="325"/>
      <c r="RTM5" s="325"/>
      <c r="RTN5" s="325"/>
      <c r="RTO5" s="325"/>
      <c r="RTP5" s="325"/>
      <c r="RTQ5" s="325"/>
      <c r="RTR5" s="325"/>
      <c r="RTS5" s="325"/>
      <c r="RTT5" s="325"/>
      <c r="RTU5" s="325"/>
      <c r="RTV5" s="325"/>
      <c r="RTW5" s="325"/>
      <c r="RTX5" s="325"/>
      <c r="RTY5" s="325"/>
      <c r="RTZ5" s="325"/>
      <c r="RUA5" s="325"/>
      <c r="RUB5" s="325"/>
      <c r="RUC5" s="325"/>
      <c r="RUD5" s="325"/>
      <c r="RUE5" s="325"/>
      <c r="RUF5" s="325"/>
      <c r="RUG5" s="325"/>
      <c r="RUH5" s="325"/>
      <c r="RUI5" s="325"/>
      <c r="RUJ5" s="325"/>
      <c r="RUK5" s="325"/>
      <c r="RUL5" s="325"/>
      <c r="RUM5" s="325"/>
      <c r="RUN5" s="325"/>
      <c r="RUO5" s="325"/>
      <c r="RUP5" s="325"/>
      <c r="RUQ5" s="325"/>
      <c r="RUR5" s="325"/>
      <c r="RUS5" s="325"/>
      <c r="RUT5" s="325"/>
      <c r="RUU5" s="325"/>
      <c r="RUV5" s="325"/>
      <c r="RUW5" s="325"/>
      <c r="RUX5" s="325"/>
      <c r="RUY5" s="325"/>
      <c r="RUZ5" s="325"/>
      <c r="RVA5" s="325"/>
      <c r="RVB5" s="325"/>
      <c r="RVC5" s="325"/>
      <c r="RVD5" s="325"/>
      <c r="RVE5" s="325"/>
      <c r="RVF5" s="325"/>
      <c r="RVG5" s="325"/>
      <c r="RVH5" s="325"/>
      <c r="RVI5" s="325"/>
      <c r="RVJ5" s="325"/>
      <c r="RVK5" s="325"/>
      <c r="RVL5" s="325"/>
      <c r="RVM5" s="325"/>
      <c r="RVN5" s="325"/>
      <c r="RVO5" s="325"/>
      <c r="RVP5" s="325"/>
      <c r="RVQ5" s="325"/>
      <c r="RVR5" s="325"/>
      <c r="RVS5" s="325"/>
      <c r="RVT5" s="325"/>
      <c r="RVU5" s="325"/>
      <c r="RVV5" s="325"/>
      <c r="RVW5" s="325"/>
      <c r="RVX5" s="325"/>
      <c r="RVY5" s="325"/>
      <c r="RVZ5" s="325"/>
      <c r="RWA5" s="325"/>
      <c r="RWB5" s="325"/>
      <c r="RWC5" s="325"/>
      <c r="RWD5" s="325"/>
      <c r="RWE5" s="325"/>
      <c r="RWF5" s="325"/>
      <c r="RWG5" s="325"/>
      <c r="RWH5" s="325"/>
      <c r="RWI5" s="325"/>
      <c r="RWJ5" s="325"/>
      <c r="RWK5" s="325"/>
      <c r="RWL5" s="325"/>
      <c r="RWM5" s="325"/>
      <c r="RWN5" s="325"/>
      <c r="RWO5" s="325"/>
      <c r="RWP5" s="325"/>
      <c r="RWQ5" s="325"/>
      <c r="RWR5" s="325"/>
      <c r="RWS5" s="325"/>
      <c r="RWT5" s="325"/>
      <c r="RWU5" s="325"/>
      <c r="RWV5" s="325"/>
      <c r="RWW5" s="325"/>
      <c r="RWX5" s="325"/>
      <c r="RWY5" s="325"/>
      <c r="RWZ5" s="325"/>
      <c r="RXA5" s="325"/>
      <c r="RXB5" s="325"/>
      <c r="RXC5" s="325"/>
      <c r="RXD5" s="325"/>
      <c r="RXE5" s="325"/>
      <c r="RXF5" s="325"/>
      <c r="RXG5" s="325"/>
      <c r="RXH5" s="325"/>
      <c r="RXI5" s="325"/>
      <c r="RXJ5" s="325"/>
      <c r="RXK5" s="325"/>
      <c r="RXL5" s="325"/>
      <c r="RXM5" s="325"/>
      <c r="RXN5" s="325"/>
      <c r="RXO5" s="325"/>
      <c r="RXP5" s="325"/>
      <c r="RXQ5" s="325"/>
      <c r="RXR5" s="325"/>
      <c r="RXS5" s="325"/>
      <c r="RXT5" s="325"/>
      <c r="RXU5" s="325"/>
      <c r="RXV5" s="325"/>
      <c r="RXW5" s="325"/>
      <c r="RXX5" s="325"/>
      <c r="RXY5" s="325"/>
      <c r="RXZ5" s="325"/>
      <c r="RYA5" s="325"/>
      <c r="RYB5" s="325"/>
      <c r="RYC5" s="325"/>
      <c r="RYD5" s="325"/>
      <c r="RYE5" s="325"/>
      <c r="RYF5" s="325"/>
      <c r="RYG5" s="325"/>
      <c r="RYH5" s="325"/>
      <c r="RYI5" s="325"/>
      <c r="RYJ5" s="325"/>
      <c r="RYK5" s="325"/>
      <c r="RYL5" s="325"/>
      <c r="RYM5" s="325"/>
      <c r="RYN5" s="325"/>
      <c r="RYO5" s="325"/>
      <c r="RYP5" s="325"/>
      <c r="RYQ5" s="325"/>
      <c r="RYR5" s="325"/>
      <c r="RYS5" s="325"/>
      <c r="RYT5" s="325"/>
      <c r="RYU5" s="325"/>
      <c r="RYV5" s="325"/>
      <c r="RYW5" s="325"/>
      <c r="RYX5" s="325"/>
      <c r="RYY5" s="325"/>
      <c r="RYZ5" s="325"/>
      <c r="RZA5" s="325"/>
      <c r="RZB5" s="325"/>
      <c r="RZC5" s="325"/>
      <c r="RZD5" s="325"/>
      <c r="RZE5" s="325"/>
      <c r="RZF5" s="325"/>
      <c r="RZG5" s="325"/>
      <c r="RZH5" s="325"/>
      <c r="RZI5" s="325"/>
      <c r="RZJ5" s="325"/>
      <c r="RZK5" s="325"/>
      <c r="RZL5" s="325"/>
      <c r="RZM5" s="325"/>
      <c r="RZN5" s="325"/>
      <c r="RZO5" s="325"/>
      <c r="RZP5" s="325"/>
      <c r="RZQ5" s="325"/>
      <c r="RZR5" s="325"/>
      <c r="RZS5" s="325"/>
      <c r="RZT5" s="325"/>
      <c r="RZU5" s="325"/>
      <c r="RZV5" s="325"/>
      <c r="RZW5" s="325"/>
      <c r="RZX5" s="325"/>
      <c r="RZY5" s="325"/>
      <c r="RZZ5" s="325"/>
      <c r="SAA5" s="325"/>
      <c r="SAB5" s="325"/>
      <c r="SAC5" s="325"/>
      <c r="SAD5" s="325"/>
      <c r="SAE5" s="325"/>
      <c r="SAF5" s="325"/>
      <c r="SAG5" s="325"/>
      <c r="SAH5" s="325"/>
      <c r="SAI5" s="325"/>
      <c r="SAJ5" s="325"/>
      <c r="SAK5" s="325"/>
      <c r="SAL5" s="325"/>
      <c r="SAM5" s="325"/>
      <c r="SAN5" s="325"/>
      <c r="SAO5" s="325"/>
      <c r="SAP5" s="325"/>
      <c r="SAQ5" s="325"/>
      <c r="SAR5" s="325"/>
      <c r="SAS5" s="325"/>
      <c r="SAT5" s="325"/>
      <c r="SAU5" s="325"/>
      <c r="SAV5" s="325"/>
      <c r="SAW5" s="325"/>
      <c r="SAX5" s="325"/>
      <c r="SAY5" s="325"/>
      <c r="SAZ5" s="325"/>
      <c r="SBA5" s="325"/>
      <c r="SBB5" s="325"/>
      <c r="SBC5" s="325"/>
      <c r="SBD5" s="325"/>
      <c r="SBE5" s="325"/>
      <c r="SBF5" s="325"/>
      <c r="SBG5" s="325"/>
      <c r="SBH5" s="325"/>
      <c r="SBI5" s="325"/>
      <c r="SBJ5" s="325"/>
      <c r="SBK5" s="325"/>
      <c r="SBL5" s="325"/>
      <c r="SBM5" s="325"/>
      <c r="SBN5" s="325"/>
      <c r="SBO5" s="325"/>
      <c r="SBP5" s="325"/>
      <c r="SBQ5" s="325"/>
      <c r="SBR5" s="325"/>
      <c r="SBS5" s="325"/>
      <c r="SBT5" s="325"/>
      <c r="SBU5" s="325"/>
      <c r="SBV5" s="325"/>
      <c r="SBW5" s="325"/>
      <c r="SBX5" s="325"/>
      <c r="SBY5" s="325"/>
      <c r="SBZ5" s="325"/>
      <c r="SCA5" s="325"/>
      <c r="SCB5" s="325"/>
      <c r="SCC5" s="325"/>
      <c r="SCD5" s="325"/>
      <c r="SCE5" s="325"/>
      <c r="SCF5" s="325"/>
      <c r="SCG5" s="325"/>
      <c r="SCH5" s="325"/>
      <c r="SCI5" s="325"/>
      <c r="SCJ5" s="325"/>
      <c r="SCK5" s="325"/>
      <c r="SCL5" s="325"/>
      <c r="SCM5" s="325"/>
      <c r="SCN5" s="325"/>
      <c r="SCO5" s="325"/>
      <c r="SCP5" s="325"/>
      <c r="SCQ5" s="325"/>
      <c r="SCR5" s="325"/>
      <c r="SCS5" s="325"/>
      <c r="SCT5" s="325"/>
      <c r="SCU5" s="325"/>
      <c r="SCV5" s="325"/>
      <c r="SCW5" s="325"/>
      <c r="SCX5" s="325"/>
      <c r="SCY5" s="325"/>
      <c r="SCZ5" s="325"/>
      <c r="SDA5" s="325"/>
      <c r="SDB5" s="325"/>
      <c r="SDC5" s="325"/>
      <c r="SDD5" s="325"/>
      <c r="SDE5" s="325"/>
      <c r="SDF5" s="325"/>
      <c r="SDG5" s="325"/>
      <c r="SDH5" s="325"/>
      <c r="SDI5" s="325"/>
      <c r="SDJ5" s="325"/>
      <c r="SDK5" s="325"/>
      <c r="SDL5" s="325"/>
      <c r="SDM5" s="325"/>
      <c r="SDN5" s="325"/>
      <c r="SDO5" s="325"/>
      <c r="SDP5" s="325"/>
      <c r="SDQ5" s="325"/>
      <c r="SDR5" s="325"/>
      <c r="SDS5" s="325"/>
      <c r="SDT5" s="325"/>
      <c r="SDU5" s="325"/>
      <c r="SDV5" s="325"/>
      <c r="SDW5" s="325"/>
      <c r="SDX5" s="325"/>
      <c r="SDY5" s="325"/>
      <c r="SDZ5" s="325"/>
      <c r="SEA5" s="325"/>
      <c r="SEB5" s="325"/>
      <c r="SEC5" s="325"/>
      <c r="SED5" s="325"/>
      <c r="SEE5" s="325"/>
      <c r="SEF5" s="325"/>
      <c r="SEG5" s="325"/>
      <c r="SEH5" s="325"/>
      <c r="SEI5" s="325"/>
      <c r="SEJ5" s="325"/>
      <c r="SEK5" s="325"/>
      <c r="SEL5" s="325"/>
      <c r="SEM5" s="325"/>
      <c r="SEN5" s="325"/>
      <c r="SEO5" s="325"/>
      <c r="SEP5" s="325"/>
      <c r="SEQ5" s="325"/>
      <c r="SER5" s="325"/>
      <c r="SES5" s="325"/>
      <c r="SET5" s="325"/>
      <c r="SEU5" s="325"/>
      <c r="SEV5" s="325"/>
      <c r="SEW5" s="325"/>
      <c r="SEX5" s="325"/>
      <c r="SEY5" s="325"/>
      <c r="SEZ5" s="325"/>
      <c r="SFA5" s="325"/>
      <c r="SFB5" s="325"/>
      <c r="SFC5" s="325"/>
      <c r="SFD5" s="325"/>
      <c r="SFE5" s="325"/>
      <c r="SFF5" s="325"/>
      <c r="SFG5" s="325"/>
      <c r="SFH5" s="325"/>
      <c r="SFI5" s="325"/>
      <c r="SFJ5" s="325"/>
      <c r="SFK5" s="325"/>
      <c r="SFL5" s="325"/>
      <c r="SFM5" s="325"/>
      <c r="SFN5" s="325"/>
      <c r="SFO5" s="325"/>
      <c r="SFP5" s="325"/>
      <c r="SFQ5" s="325"/>
      <c r="SFR5" s="325"/>
      <c r="SFS5" s="325"/>
      <c r="SFT5" s="325"/>
      <c r="SFU5" s="325"/>
      <c r="SFV5" s="325"/>
      <c r="SFW5" s="325"/>
      <c r="SFX5" s="325"/>
      <c r="SFY5" s="325"/>
      <c r="SFZ5" s="325"/>
      <c r="SGA5" s="325"/>
      <c r="SGB5" s="325"/>
      <c r="SGC5" s="325"/>
      <c r="SGD5" s="325"/>
      <c r="SGE5" s="325"/>
      <c r="SGF5" s="325"/>
      <c r="SGG5" s="325"/>
      <c r="SGH5" s="325"/>
      <c r="SGI5" s="325"/>
      <c r="SGJ5" s="325"/>
      <c r="SGK5" s="325"/>
      <c r="SGL5" s="325"/>
      <c r="SGM5" s="325"/>
      <c r="SGN5" s="325"/>
      <c r="SGO5" s="325"/>
      <c r="SGP5" s="325"/>
      <c r="SGQ5" s="325"/>
      <c r="SGR5" s="325"/>
      <c r="SGS5" s="325"/>
      <c r="SGT5" s="325"/>
      <c r="SGU5" s="325"/>
      <c r="SGV5" s="325"/>
      <c r="SGW5" s="325"/>
      <c r="SGX5" s="325"/>
      <c r="SGY5" s="325"/>
      <c r="SGZ5" s="325"/>
      <c r="SHA5" s="325"/>
      <c r="SHB5" s="325"/>
      <c r="SHC5" s="325"/>
      <c r="SHD5" s="325"/>
      <c r="SHE5" s="325"/>
      <c r="SHF5" s="325"/>
      <c r="SHG5" s="325"/>
      <c r="SHH5" s="325"/>
      <c r="SHI5" s="325"/>
      <c r="SHJ5" s="325"/>
      <c r="SHK5" s="325"/>
      <c r="SHL5" s="325"/>
      <c r="SHM5" s="325"/>
      <c r="SHN5" s="325"/>
      <c r="SHO5" s="325"/>
      <c r="SHP5" s="325"/>
      <c r="SHQ5" s="325"/>
      <c r="SHR5" s="325"/>
      <c r="SHS5" s="325"/>
      <c r="SHT5" s="325"/>
      <c r="SHU5" s="325"/>
      <c r="SHV5" s="325"/>
      <c r="SHW5" s="325"/>
      <c r="SHX5" s="325"/>
      <c r="SHY5" s="325"/>
      <c r="SHZ5" s="325"/>
      <c r="SIA5" s="325"/>
      <c r="SIB5" s="325"/>
      <c r="SIC5" s="325"/>
      <c r="SID5" s="325"/>
      <c r="SIE5" s="325"/>
      <c r="SIF5" s="325"/>
      <c r="SIG5" s="325"/>
      <c r="SIH5" s="325"/>
      <c r="SII5" s="325"/>
      <c r="SIJ5" s="325"/>
      <c r="SIK5" s="325"/>
      <c r="SIL5" s="325"/>
      <c r="SIM5" s="325"/>
      <c r="SIN5" s="325"/>
      <c r="SIO5" s="325"/>
      <c r="SIP5" s="325"/>
      <c r="SIQ5" s="325"/>
      <c r="SIR5" s="325"/>
      <c r="SIS5" s="325"/>
      <c r="SIT5" s="325"/>
      <c r="SIU5" s="325"/>
      <c r="SIV5" s="325"/>
      <c r="SIW5" s="325"/>
      <c r="SIX5" s="325"/>
      <c r="SIY5" s="325"/>
      <c r="SIZ5" s="325"/>
      <c r="SJA5" s="325"/>
      <c r="SJB5" s="325"/>
      <c r="SJC5" s="325"/>
      <c r="SJD5" s="325"/>
      <c r="SJE5" s="325"/>
      <c r="SJF5" s="325"/>
      <c r="SJG5" s="325"/>
      <c r="SJH5" s="325"/>
      <c r="SJI5" s="325"/>
      <c r="SJJ5" s="325"/>
      <c r="SJK5" s="325"/>
      <c r="SJL5" s="325"/>
      <c r="SJM5" s="325"/>
      <c r="SJN5" s="325"/>
      <c r="SJO5" s="325"/>
      <c r="SJP5" s="325"/>
      <c r="SJQ5" s="325"/>
      <c r="SJR5" s="325"/>
      <c r="SJS5" s="325"/>
      <c r="SJT5" s="325"/>
      <c r="SJU5" s="325"/>
      <c r="SJV5" s="325"/>
      <c r="SJW5" s="325"/>
      <c r="SJX5" s="325"/>
      <c r="SJY5" s="325"/>
      <c r="SJZ5" s="325"/>
      <c r="SKA5" s="325"/>
      <c r="SKB5" s="325"/>
      <c r="SKC5" s="325"/>
      <c r="SKD5" s="325"/>
      <c r="SKE5" s="325"/>
      <c r="SKF5" s="325"/>
      <c r="SKG5" s="325"/>
      <c r="SKH5" s="325"/>
      <c r="SKI5" s="325"/>
      <c r="SKJ5" s="325"/>
      <c r="SKK5" s="325"/>
      <c r="SKL5" s="325"/>
      <c r="SKM5" s="325"/>
      <c r="SKN5" s="325"/>
      <c r="SKO5" s="325"/>
      <c r="SKP5" s="325"/>
      <c r="SKQ5" s="325"/>
      <c r="SKR5" s="325"/>
      <c r="SKS5" s="325"/>
      <c r="SKT5" s="325"/>
      <c r="SKU5" s="325"/>
      <c r="SKV5" s="325"/>
      <c r="SKW5" s="325"/>
      <c r="SKX5" s="325"/>
      <c r="SKY5" s="325"/>
      <c r="SKZ5" s="325"/>
      <c r="SLA5" s="325"/>
      <c r="SLB5" s="325"/>
      <c r="SLC5" s="325"/>
      <c r="SLD5" s="325"/>
      <c r="SLE5" s="325"/>
      <c r="SLF5" s="325"/>
      <c r="SLG5" s="325"/>
      <c r="SLH5" s="325"/>
      <c r="SLI5" s="325"/>
      <c r="SLJ5" s="325"/>
      <c r="SLK5" s="325"/>
      <c r="SLL5" s="325"/>
      <c r="SLM5" s="325"/>
      <c r="SLN5" s="325"/>
      <c r="SLO5" s="325"/>
      <c r="SLP5" s="325"/>
      <c r="SLQ5" s="325"/>
      <c r="SLR5" s="325"/>
      <c r="SLS5" s="325"/>
      <c r="SLT5" s="325"/>
      <c r="SLU5" s="325"/>
      <c r="SLV5" s="325"/>
      <c r="SLW5" s="325"/>
      <c r="SLX5" s="325"/>
      <c r="SLY5" s="325"/>
      <c r="SLZ5" s="325"/>
      <c r="SMA5" s="325"/>
      <c r="SMB5" s="325"/>
      <c r="SMC5" s="325"/>
      <c r="SMD5" s="325"/>
      <c r="SME5" s="325"/>
      <c r="SMF5" s="325"/>
      <c r="SMG5" s="325"/>
      <c r="SMH5" s="325"/>
      <c r="SMI5" s="325"/>
      <c r="SMJ5" s="325"/>
      <c r="SMK5" s="325"/>
      <c r="SML5" s="325"/>
      <c r="SMM5" s="325"/>
      <c r="SMN5" s="325"/>
      <c r="SMO5" s="325"/>
      <c r="SMP5" s="325"/>
      <c r="SMQ5" s="325"/>
      <c r="SMR5" s="325"/>
      <c r="SMS5" s="325"/>
      <c r="SMT5" s="325"/>
      <c r="SMU5" s="325"/>
      <c r="SMV5" s="325"/>
      <c r="SMW5" s="325"/>
      <c r="SMX5" s="325"/>
      <c r="SMY5" s="325"/>
      <c r="SMZ5" s="325"/>
      <c r="SNA5" s="325"/>
      <c r="SNB5" s="325"/>
      <c r="SNC5" s="325"/>
      <c r="SND5" s="325"/>
      <c r="SNE5" s="325"/>
      <c r="SNF5" s="325"/>
      <c r="SNG5" s="325"/>
      <c r="SNH5" s="325"/>
      <c r="SNI5" s="325"/>
      <c r="SNJ5" s="325"/>
      <c r="SNK5" s="325"/>
      <c r="SNL5" s="325"/>
      <c r="SNM5" s="325"/>
      <c r="SNN5" s="325"/>
      <c r="SNO5" s="325"/>
      <c r="SNP5" s="325"/>
      <c r="SNQ5" s="325"/>
      <c r="SNR5" s="325"/>
      <c r="SNS5" s="325"/>
      <c r="SNT5" s="325"/>
      <c r="SNU5" s="325"/>
      <c r="SNV5" s="325"/>
      <c r="SNW5" s="325"/>
      <c r="SNX5" s="325"/>
      <c r="SNY5" s="325"/>
      <c r="SNZ5" s="325"/>
      <c r="SOA5" s="325"/>
      <c r="SOB5" s="325"/>
      <c r="SOC5" s="325"/>
      <c r="SOD5" s="325"/>
      <c r="SOE5" s="325"/>
      <c r="SOF5" s="325"/>
      <c r="SOG5" s="325"/>
      <c r="SOH5" s="325"/>
      <c r="SOI5" s="325"/>
      <c r="SOJ5" s="325"/>
      <c r="SOK5" s="325"/>
      <c r="SOL5" s="325"/>
      <c r="SOM5" s="325"/>
      <c r="SON5" s="325"/>
      <c r="SOO5" s="325"/>
      <c r="SOP5" s="325"/>
      <c r="SOQ5" s="325"/>
      <c r="SOR5" s="325"/>
      <c r="SOS5" s="325"/>
      <c r="SOT5" s="325"/>
      <c r="SOU5" s="325"/>
      <c r="SOV5" s="325"/>
      <c r="SOW5" s="325"/>
      <c r="SOX5" s="325"/>
      <c r="SOY5" s="325"/>
      <c r="SOZ5" s="325"/>
      <c r="SPA5" s="325"/>
      <c r="SPB5" s="325"/>
      <c r="SPC5" s="325"/>
      <c r="SPD5" s="325"/>
      <c r="SPE5" s="325"/>
      <c r="SPF5" s="325"/>
      <c r="SPG5" s="325"/>
      <c r="SPH5" s="325"/>
      <c r="SPI5" s="325"/>
      <c r="SPJ5" s="325"/>
      <c r="SPK5" s="325"/>
      <c r="SPL5" s="325"/>
      <c r="SPM5" s="325"/>
      <c r="SPN5" s="325"/>
      <c r="SPO5" s="325"/>
      <c r="SPP5" s="325"/>
      <c r="SPQ5" s="325"/>
      <c r="SPR5" s="325"/>
      <c r="SPS5" s="325"/>
      <c r="SPT5" s="325"/>
      <c r="SPU5" s="325"/>
      <c r="SPV5" s="325"/>
      <c r="SPW5" s="325"/>
      <c r="SPX5" s="325"/>
      <c r="SPY5" s="325"/>
      <c r="SPZ5" s="325"/>
      <c r="SQA5" s="325"/>
      <c r="SQB5" s="325"/>
      <c r="SQC5" s="325"/>
      <c r="SQD5" s="325"/>
      <c r="SQE5" s="325"/>
      <c r="SQF5" s="325"/>
      <c r="SQG5" s="325"/>
      <c r="SQH5" s="325"/>
      <c r="SQI5" s="325"/>
      <c r="SQJ5" s="325"/>
      <c r="SQK5" s="325"/>
      <c r="SQL5" s="325"/>
      <c r="SQM5" s="325"/>
      <c r="SQN5" s="325"/>
      <c r="SQO5" s="325"/>
      <c r="SQP5" s="325"/>
      <c r="SQQ5" s="325"/>
      <c r="SQR5" s="325"/>
      <c r="SQS5" s="325"/>
      <c r="SQT5" s="325"/>
      <c r="SQU5" s="325"/>
      <c r="SQV5" s="325"/>
      <c r="SQW5" s="325"/>
      <c r="SQX5" s="325"/>
      <c r="SQY5" s="325"/>
      <c r="SQZ5" s="325"/>
      <c r="SRA5" s="325"/>
      <c r="SRB5" s="325"/>
      <c r="SRC5" s="325"/>
      <c r="SRD5" s="325"/>
      <c r="SRE5" s="325"/>
      <c r="SRF5" s="325"/>
      <c r="SRG5" s="325"/>
      <c r="SRH5" s="325"/>
      <c r="SRI5" s="325"/>
      <c r="SRJ5" s="325"/>
      <c r="SRK5" s="325"/>
      <c r="SRL5" s="325"/>
      <c r="SRM5" s="325"/>
      <c r="SRN5" s="325"/>
      <c r="SRO5" s="325"/>
      <c r="SRP5" s="325"/>
      <c r="SRQ5" s="325"/>
      <c r="SRR5" s="325"/>
      <c r="SRS5" s="325"/>
      <c r="SRT5" s="325"/>
      <c r="SRU5" s="325"/>
      <c r="SRV5" s="325"/>
      <c r="SRW5" s="325"/>
      <c r="SRX5" s="325"/>
      <c r="SRY5" s="325"/>
      <c r="SRZ5" s="325"/>
      <c r="SSA5" s="325"/>
      <c r="SSB5" s="325"/>
      <c r="SSC5" s="325"/>
      <c r="SSD5" s="325"/>
      <c r="SSE5" s="325"/>
      <c r="SSF5" s="325"/>
      <c r="SSG5" s="325"/>
      <c r="SSH5" s="325"/>
      <c r="SSI5" s="325"/>
      <c r="SSJ5" s="325"/>
      <c r="SSK5" s="325"/>
      <c r="SSL5" s="325"/>
      <c r="SSM5" s="325"/>
      <c r="SSN5" s="325"/>
      <c r="SSO5" s="325"/>
      <c r="SSP5" s="325"/>
      <c r="SSQ5" s="325"/>
      <c r="SSR5" s="325"/>
      <c r="SSS5" s="325"/>
      <c r="SST5" s="325"/>
      <c r="SSU5" s="325"/>
      <c r="SSV5" s="325"/>
      <c r="SSW5" s="325"/>
      <c r="SSX5" s="325"/>
      <c r="SSY5" s="325"/>
      <c r="SSZ5" s="325"/>
      <c r="STA5" s="325"/>
      <c r="STB5" s="325"/>
      <c r="STC5" s="325"/>
      <c r="STD5" s="325"/>
      <c r="STE5" s="325"/>
      <c r="STF5" s="325"/>
      <c r="STG5" s="325"/>
      <c r="STH5" s="325"/>
      <c r="STI5" s="325"/>
      <c r="STJ5" s="325"/>
      <c r="STK5" s="325"/>
      <c r="STL5" s="325"/>
      <c r="STM5" s="325"/>
      <c r="STN5" s="325"/>
      <c r="STO5" s="325"/>
      <c r="STP5" s="325"/>
      <c r="STQ5" s="325"/>
      <c r="STR5" s="325"/>
      <c r="STS5" s="325"/>
      <c r="STT5" s="325"/>
      <c r="STU5" s="325"/>
      <c r="STV5" s="325"/>
      <c r="STW5" s="325"/>
      <c r="STX5" s="325"/>
      <c r="STY5" s="325"/>
      <c r="STZ5" s="325"/>
      <c r="SUA5" s="325"/>
      <c r="SUB5" s="325"/>
      <c r="SUC5" s="325"/>
      <c r="SUD5" s="325"/>
      <c r="SUE5" s="325"/>
      <c r="SUF5" s="325"/>
      <c r="SUG5" s="325"/>
      <c r="SUH5" s="325"/>
      <c r="SUI5" s="325"/>
      <c r="SUJ5" s="325"/>
      <c r="SUK5" s="325"/>
      <c r="SUL5" s="325"/>
      <c r="SUM5" s="325"/>
      <c r="SUN5" s="325"/>
      <c r="SUO5" s="325"/>
      <c r="SUP5" s="325"/>
      <c r="SUQ5" s="325"/>
      <c r="SUR5" s="325"/>
      <c r="SUS5" s="325"/>
      <c r="SUT5" s="325"/>
      <c r="SUU5" s="325"/>
      <c r="SUV5" s="325"/>
      <c r="SUW5" s="325"/>
      <c r="SUX5" s="325"/>
      <c r="SUY5" s="325"/>
      <c r="SUZ5" s="325"/>
      <c r="SVA5" s="325"/>
      <c r="SVB5" s="325"/>
      <c r="SVC5" s="325"/>
      <c r="SVD5" s="325"/>
      <c r="SVE5" s="325"/>
      <c r="SVF5" s="325"/>
      <c r="SVG5" s="325"/>
      <c r="SVH5" s="325"/>
      <c r="SVI5" s="325"/>
      <c r="SVJ5" s="325"/>
      <c r="SVK5" s="325"/>
      <c r="SVL5" s="325"/>
      <c r="SVM5" s="325"/>
      <c r="SVN5" s="325"/>
      <c r="SVO5" s="325"/>
      <c r="SVP5" s="325"/>
      <c r="SVQ5" s="325"/>
      <c r="SVR5" s="325"/>
      <c r="SVS5" s="325"/>
      <c r="SVT5" s="325"/>
      <c r="SVU5" s="325"/>
      <c r="SVV5" s="325"/>
      <c r="SVW5" s="325"/>
      <c r="SVX5" s="325"/>
      <c r="SVY5" s="325"/>
      <c r="SVZ5" s="325"/>
      <c r="SWA5" s="325"/>
      <c r="SWB5" s="325"/>
      <c r="SWC5" s="325"/>
      <c r="SWD5" s="325"/>
      <c r="SWE5" s="325"/>
      <c r="SWF5" s="325"/>
      <c r="SWG5" s="325"/>
      <c r="SWH5" s="325"/>
      <c r="SWI5" s="325"/>
      <c r="SWJ5" s="325"/>
      <c r="SWK5" s="325"/>
      <c r="SWL5" s="325"/>
      <c r="SWM5" s="325"/>
      <c r="SWN5" s="325"/>
      <c r="SWO5" s="325"/>
      <c r="SWP5" s="325"/>
      <c r="SWQ5" s="325"/>
      <c r="SWR5" s="325"/>
      <c r="SWS5" s="325"/>
      <c r="SWT5" s="325"/>
      <c r="SWU5" s="325"/>
      <c r="SWV5" s="325"/>
      <c r="SWW5" s="325"/>
      <c r="SWX5" s="325"/>
      <c r="SWY5" s="325"/>
      <c r="SWZ5" s="325"/>
      <c r="SXA5" s="325"/>
      <c r="SXB5" s="325"/>
      <c r="SXC5" s="325"/>
      <c r="SXD5" s="325"/>
      <c r="SXE5" s="325"/>
      <c r="SXF5" s="325"/>
      <c r="SXG5" s="325"/>
      <c r="SXH5" s="325"/>
      <c r="SXI5" s="325"/>
      <c r="SXJ5" s="325"/>
      <c r="SXK5" s="325"/>
      <c r="SXL5" s="325"/>
      <c r="SXM5" s="325"/>
      <c r="SXN5" s="325"/>
      <c r="SXO5" s="325"/>
      <c r="SXP5" s="325"/>
      <c r="SXQ5" s="325"/>
      <c r="SXR5" s="325"/>
      <c r="SXS5" s="325"/>
      <c r="SXT5" s="325"/>
      <c r="SXU5" s="325"/>
      <c r="SXV5" s="325"/>
      <c r="SXW5" s="325"/>
      <c r="SXX5" s="325"/>
      <c r="SXY5" s="325"/>
      <c r="SXZ5" s="325"/>
      <c r="SYA5" s="325"/>
      <c r="SYB5" s="325"/>
      <c r="SYC5" s="325"/>
      <c r="SYD5" s="325"/>
      <c r="SYE5" s="325"/>
      <c r="SYF5" s="325"/>
      <c r="SYG5" s="325"/>
      <c r="SYH5" s="325"/>
      <c r="SYI5" s="325"/>
      <c r="SYJ5" s="325"/>
      <c r="SYK5" s="325"/>
      <c r="SYL5" s="325"/>
      <c r="SYM5" s="325"/>
      <c r="SYN5" s="325"/>
      <c r="SYO5" s="325"/>
      <c r="SYP5" s="325"/>
      <c r="SYQ5" s="325"/>
      <c r="SYR5" s="325"/>
      <c r="SYS5" s="325"/>
      <c r="SYT5" s="325"/>
      <c r="SYU5" s="325"/>
      <c r="SYV5" s="325"/>
      <c r="SYW5" s="325"/>
      <c r="SYX5" s="325"/>
      <c r="SYY5" s="325"/>
      <c r="SYZ5" s="325"/>
      <c r="SZA5" s="325"/>
      <c r="SZB5" s="325"/>
      <c r="SZC5" s="325"/>
      <c r="SZD5" s="325"/>
      <c r="SZE5" s="325"/>
      <c r="SZF5" s="325"/>
      <c r="SZG5" s="325"/>
      <c r="SZH5" s="325"/>
      <c r="SZI5" s="325"/>
      <c r="SZJ5" s="325"/>
      <c r="SZK5" s="325"/>
      <c r="SZL5" s="325"/>
      <c r="SZM5" s="325"/>
      <c r="SZN5" s="325"/>
      <c r="SZO5" s="325"/>
      <c r="SZP5" s="325"/>
      <c r="SZQ5" s="325"/>
      <c r="SZR5" s="325"/>
      <c r="SZS5" s="325"/>
      <c r="SZT5" s="325"/>
      <c r="SZU5" s="325"/>
      <c r="SZV5" s="325"/>
      <c r="SZW5" s="325"/>
      <c r="SZX5" s="325"/>
      <c r="SZY5" s="325"/>
      <c r="SZZ5" s="325"/>
      <c r="TAA5" s="325"/>
      <c r="TAB5" s="325"/>
      <c r="TAC5" s="325"/>
      <c r="TAD5" s="325"/>
      <c r="TAE5" s="325"/>
      <c r="TAF5" s="325"/>
      <c r="TAG5" s="325"/>
      <c r="TAH5" s="325"/>
      <c r="TAI5" s="325"/>
      <c r="TAJ5" s="325"/>
      <c r="TAK5" s="325"/>
      <c r="TAL5" s="325"/>
      <c r="TAM5" s="325"/>
      <c r="TAN5" s="325"/>
      <c r="TAO5" s="325"/>
      <c r="TAP5" s="325"/>
      <c r="TAQ5" s="325"/>
      <c r="TAR5" s="325"/>
      <c r="TAS5" s="325"/>
      <c r="TAT5" s="325"/>
      <c r="TAU5" s="325"/>
      <c r="TAV5" s="325"/>
      <c r="TAW5" s="325"/>
      <c r="TAX5" s="325"/>
      <c r="TAY5" s="325"/>
      <c r="TAZ5" s="325"/>
      <c r="TBA5" s="325"/>
      <c r="TBB5" s="325"/>
      <c r="TBC5" s="325"/>
      <c r="TBD5" s="325"/>
      <c r="TBE5" s="325"/>
      <c r="TBF5" s="325"/>
      <c r="TBG5" s="325"/>
      <c r="TBH5" s="325"/>
      <c r="TBI5" s="325"/>
      <c r="TBJ5" s="325"/>
      <c r="TBK5" s="325"/>
      <c r="TBL5" s="325"/>
      <c r="TBM5" s="325"/>
      <c r="TBN5" s="325"/>
      <c r="TBO5" s="325"/>
      <c r="TBP5" s="325"/>
      <c r="TBQ5" s="325"/>
      <c r="TBR5" s="325"/>
      <c r="TBS5" s="325"/>
      <c r="TBT5" s="325"/>
      <c r="TBU5" s="325"/>
      <c r="TBV5" s="325"/>
      <c r="TBW5" s="325"/>
      <c r="TBX5" s="325"/>
      <c r="TBY5" s="325"/>
      <c r="TBZ5" s="325"/>
      <c r="TCA5" s="325"/>
      <c r="TCB5" s="325"/>
      <c r="TCC5" s="325"/>
      <c r="TCD5" s="325"/>
      <c r="TCE5" s="325"/>
      <c r="TCF5" s="325"/>
      <c r="TCG5" s="325"/>
      <c r="TCH5" s="325"/>
      <c r="TCI5" s="325"/>
      <c r="TCJ5" s="325"/>
      <c r="TCK5" s="325"/>
      <c r="TCL5" s="325"/>
      <c r="TCM5" s="325"/>
      <c r="TCN5" s="325"/>
      <c r="TCO5" s="325"/>
      <c r="TCP5" s="325"/>
      <c r="TCQ5" s="325"/>
      <c r="TCR5" s="325"/>
      <c r="TCS5" s="325"/>
      <c r="TCT5" s="325"/>
      <c r="TCU5" s="325"/>
      <c r="TCV5" s="325"/>
      <c r="TCW5" s="325"/>
      <c r="TCX5" s="325"/>
      <c r="TCY5" s="325"/>
      <c r="TCZ5" s="325"/>
      <c r="TDA5" s="325"/>
      <c r="TDB5" s="325"/>
      <c r="TDC5" s="325"/>
      <c r="TDD5" s="325"/>
      <c r="TDE5" s="325"/>
      <c r="TDF5" s="325"/>
      <c r="TDG5" s="325"/>
      <c r="TDH5" s="325"/>
      <c r="TDI5" s="325"/>
      <c r="TDJ5" s="325"/>
      <c r="TDK5" s="325"/>
      <c r="TDL5" s="325"/>
      <c r="TDM5" s="325"/>
      <c r="TDN5" s="325"/>
      <c r="TDO5" s="325"/>
      <c r="TDP5" s="325"/>
      <c r="TDQ5" s="325"/>
      <c r="TDR5" s="325"/>
      <c r="TDS5" s="325"/>
      <c r="TDT5" s="325"/>
      <c r="TDU5" s="325"/>
      <c r="TDV5" s="325"/>
      <c r="TDW5" s="325"/>
      <c r="TDX5" s="325"/>
      <c r="TDY5" s="325"/>
      <c r="TDZ5" s="325"/>
      <c r="TEA5" s="325"/>
      <c r="TEB5" s="325"/>
      <c r="TEC5" s="325"/>
      <c r="TED5" s="325"/>
      <c r="TEE5" s="325"/>
      <c r="TEF5" s="325"/>
      <c r="TEG5" s="325"/>
      <c r="TEH5" s="325"/>
      <c r="TEI5" s="325"/>
      <c r="TEJ5" s="325"/>
      <c r="TEK5" s="325"/>
      <c r="TEL5" s="325"/>
      <c r="TEM5" s="325"/>
      <c r="TEN5" s="325"/>
      <c r="TEO5" s="325"/>
      <c r="TEP5" s="325"/>
      <c r="TEQ5" s="325"/>
      <c r="TER5" s="325"/>
      <c r="TES5" s="325"/>
      <c r="TET5" s="325"/>
      <c r="TEU5" s="325"/>
      <c r="TEV5" s="325"/>
      <c r="TEW5" s="325"/>
      <c r="TEX5" s="325"/>
      <c r="TEY5" s="325"/>
      <c r="TEZ5" s="325"/>
      <c r="TFA5" s="325"/>
      <c r="TFB5" s="325"/>
      <c r="TFC5" s="325"/>
      <c r="TFD5" s="325"/>
      <c r="TFE5" s="325"/>
      <c r="TFF5" s="325"/>
      <c r="TFG5" s="325"/>
      <c r="TFH5" s="325"/>
      <c r="TFI5" s="325"/>
      <c r="TFJ5" s="325"/>
      <c r="TFK5" s="325"/>
      <c r="TFL5" s="325"/>
      <c r="TFM5" s="325"/>
      <c r="TFN5" s="325"/>
      <c r="TFO5" s="325"/>
      <c r="TFP5" s="325"/>
      <c r="TFQ5" s="325"/>
      <c r="TFR5" s="325"/>
      <c r="TFS5" s="325"/>
      <c r="TFT5" s="325"/>
      <c r="TFU5" s="325"/>
      <c r="TFV5" s="325"/>
      <c r="TFW5" s="325"/>
      <c r="TFX5" s="325"/>
      <c r="TFY5" s="325"/>
      <c r="TFZ5" s="325"/>
      <c r="TGA5" s="325"/>
      <c r="TGB5" s="325"/>
      <c r="TGC5" s="325"/>
      <c r="TGD5" s="325"/>
      <c r="TGE5" s="325"/>
      <c r="TGF5" s="325"/>
      <c r="TGG5" s="325"/>
      <c r="TGH5" s="325"/>
      <c r="TGI5" s="325"/>
      <c r="TGJ5" s="325"/>
      <c r="TGK5" s="325"/>
      <c r="TGL5" s="325"/>
      <c r="TGM5" s="325"/>
      <c r="TGN5" s="325"/>
      <c r="TGO5" s="325"/>
      <c r="TGP5" s="325"/>
      <c r="TGQ5" s="325"/>
      <c r="TGR5" s="325"/>
      <c r="TGS5" s="325"/>
      <c r="TGT5" s="325"/>
      <c r="TGU5" s="325"/>
      <c r="TGV5" s="325"/>
      <c r="TGW5" s="325"/>
      <c r="TGX5" s="325"/>
      <c r="TGY5" s="325"/>
      <c r="TGZ5" s="325"/>
      <c r="THA5" s="325"/>
      <c r="THB5" s="325"/>
      <c r="THC5" s="325"/>
      <c r="THD5" s="325"/>
      <c r="THE5" s="325"/>
      <c r="THF5" s="325"/>
      <c r="THG5" s="325"/>
      <c r="THH5" s="325"/>
      <c r="THI5" s="325"/>
      <c r="THJ5" s="325"/>
      <c r="THK5" s="325"/>
      <c r="THL5" s="325"/>
      <c r="THM5" s="325"/>
      <c r="THN5" s="325"/>
      <c r="THO5" s="325"/>
      <c r="THP5" s="325"/>
      <c r="THQ5" s="325"/>
      <c r="THR5" s="325"/>
      <c r="THS5" s="325"/>
      <c r="THT5" s="325"/>
      <c r="THU5" s="325"/>
      <c r="THV5" s="325"/>
      <c r="THW5" s="325"/>
      <c r="THX5" s="325"/>
      <c r="THY5" s="325"/>
      <c r="THZ5" s="325"/>
      <c r="TIA5" s="325"/>
      <c r="TIB5" s="325"/>
      <c r="TIC5" s="325"/>
      <c r="TID5" s="325"/>
      <c r="TIE5" s="325"/>
      <c r="TIF5" s="325"/>
      <c r="TIG5" s="325"/>
      <c r="TIH5" s="325"/>
      <c r="TII5" s="325"/>
      <c r="TIJ5" s="325"/>
      <c r="TIK5" s="325"/>
      <c r="TIL5" s="325"/>
      <c r="TIM5" s="325"/>
      <c r="TIN5" s="325"/>
      <c r="TIO5" s="325"/>
      <c r="TIP5" s="325"/>
      <c r="TIQ5" s="325"/>
      <c r="TIR5" s="325"/>
      <c r="TIS5" s="325"/>
      <c r="TIT5" s="325"/>
      <c r="TIU5" s="325"/>
      <c r="TIV5" s="325"/>
      <c r="TIW5" s="325"/>
      <c r="TIX5" s="325"/>
      <c r="TIY5" s="325"/>
      <c r="TIZ5" s="325"/>
      <c r="TJA5" s="325"/>
      <c r="TJB5" s="325"/>
      <c r="TJC5" s="325"/>
      <c r="TJD5" s="325"/>
      <c r="TJE5" s="325"/>
      <c r="TJF5" s="325"/>
      <c r="TJG5" s="325"/>
      <c r="TJH5" s="325"/>
      <c r="TJI5" s="325"/>
      <c r="TJJ5" s="325"/>
      <c r="TJK5" s="325"/>
      <c r="TJL5" s="325"/>
      <c r="TJM5" s="325"/>
      <c r="TJN5" s="325"/>
      <c r="TJO5" s="325"/>
      <c r="TJP5" s="325"/>
      <c r="TJQ5" s="325"/>
      <c r="TJR5" s="325"/>
      <c r="TJS5" s="325"/>
      <c r="TJT5" s="325"/>
      <c r="TJU5" s="325"/>
      <c r="TJV5" s="325"/>
      <c r="TJW5" s="325"/>
      <c r="TJX5" s="325"/>
      <c r="TJY5" s="325"/>
      <c r="TJZ5" s="325"/>
      <c r="TKA5" s="325"/>
      <c r="TKB5" s="325"/>
      <c r="TKC5" s="325"/>
      <c r="TKD5" s="325"/>
      <c r="TKE5" s="325"/>
      <c r="TKF5" s="325"/>
      <c r="TKG5" s="325"/>
      <c r="TKH5" s="325"/>
      <c r="TKI5" s="325"/>
      <c r="TKJ5" s="325"/>
      <c r="TKK5" s="325"/>
      <c r="TKL5" s="325"/>
      <c r="TKM5" s="325"/>
      <c r="TKN5" s="325"/>
      <c r="TKO5" s="325"/>
      <c r="TKP5" s="325"/>
      <c r="TKQ5" s="325"/>
      <c r="TKR5" s="325"/>
      <c r="TKS5" s="325"/>
      <c r="TKT5" s="325"/>
      <c r="TKU5" s="325"/>
      <c r="TKV5" s="325"/>
      <c r="TKW5" s="325"/>
      <c r="TKX5" s="325"/>
      <c r="TKY5" s="325"/>
      <c r="TKZ5" s="325"/>
      <c r="TLA5" s="325"/>
      <c r="TLB5" s="325"/>
      <c r="TLC5" s="325"/>
      <c r="TLD5" s="325"/>
      <c r="TLE5" s="325"/>
      <c r="TLF5" s="325"/>
      <c r="TLG5" s="325"/>
      <c r="TLH5" s="325"/>
      <c r="TLI5" s="325"/>
      <c r="TLJ5" s="325"/>
      <c r="TLK5" s="325"/>
      <c r="TLL5" s="325"/>
      <c r="TLM5" s="325"/>
      <c r="TLN5" s="325"/>
      <c r="TLO5" s="325"/>
      <c r="TLP5" s="325"/>
      <c r="TLQ5" s="325"/>
      <c r="TLR5" s="325"/>
      <c r="TLS5" s="325"/>
      <c r="TLT5" s="325"/>
      <c r="TLU5" s="325"/>
      <c r="TLV5" s="325"/>
      <c r="TLW5" s="325"/>
      <c r="TLX5" s="325"/>
      <c r="TLY5" s="325"/>
      <c r="TLZ5" s="325"/>
      <c r="TMA5" s="325"/>
      <c r="TMB5" s="325"/>
      <c r="TMC5" s="325"/>
      <c r="TMD5" s="325"/>
      <c r="TME5" s="325"/>
      <c r="TMF5" s="325"/>
      <c r="TMG5" s="325"/>
      <c r="TMH5" s="325"/>
      <c r="TMI5" s="325"/>
      <c r="TMJ5" s="325"/>
      <c r="TMK5" s="325"/>
      <c r="TML5" s="325"/>
      <c r="TMM5" s="325"/>
      <c r="TMN5" s="325"/>
      <c r="TMO5" s="325"/>
      <c r="TMP5" s="325"/>
      <c r="TMQ5" s="325"/>
      <c r="TMR5" s="325"/>
      <c r="TMS5" s="325"/>
      <c r="TMT5" s="325"/>
      <c r="TMU5" s="325"/>
      <c r="TMV5" s="325"/>
      <c r="TMW5" s="325"/>
      <c r="TMX5" s="325"/>
      <c r="TMY5" s="325"/>
      <c r="TMZ5" s="325"/>
      <c r="TNA5" s="325"/>
      <c r="TNB5" s="325"/>
      <c r="TNC5" s="325"/>
      <c r="TND5" s="325"/>
      <c r="TNE5" s="325"/>
      <c r="TNF5" s="325"/>
      <c r="TNG5" s="325"/>
      <c r="TNH5" s="325"/>
      <c r="TNI5" s="325"/>
      <c r="TNJ5" s="325"/>
      <c r="TNK5" s="325"/>
      <c r="TNL5" s="325"/>
      <c r="TNM5" s="325"/>
      <c r="TNN5" s="325"/>
      <c r="TNO5" s="325"/>
      <c r="TNP5" s="325"/>
      <c r="TNQ5" s="325"/>
      <c r="TNR5" s="325"/>
      <c r="TNS5" s="325"/>
      <c r="TNT5" s="325"/>
      <c r="TNU5" s="325"/>
      <c r="TNV5" s="325"/>
      <c r="TNW5" s="325"/>
      <c r="TNX5" s="325"/>
      <c r="TNY5" s="325"/>
      <c r="TNZ5" s="325"/>
      <c r="TOA5" s="325"/>
      <c r="TOB5" s="325"/>
      <c r="TOC5" s="325"/>
      <c r="TOD5" s="325"/>
      <c r="TOE5" s="325"/>
      <c r="TOF5" s="325"/>
      <c r="TOG5" s="325"/>
      <c r="TOH5" s="325"/>
      <c r="TOI5" s="325"/>
      <c r="TOJ5" s="325"/>
      <c r="TOK5" s="325"/>
      <c r="TOL5" s="325"/>
      <c r="TOM5" s="325"/>
      <c r="TON5" s="325"/>
      <c r="TOO5" s="325"/>
      <c r="TOP5" s="325"/>
      <c r="TOQ5" s="325"/>
      <c r="TOR5" s="325"/>
      <c r="TOS5" s="325"/>
      <c r="TOT5" s="325"/>
      <c r="TOU5" s="325"/>
      <c r="TOV5" s="325"/>
      <c r="TOW5" s="325"/>
      <c r="TOX5" s="325"/>
      <c r="TOY5" s="325"/>
      <c r="TOZ5" s="325"/>
      <c r="TPA5" s="325"/>
      <c r="TPB5" s="325"/>
      <c r="TPC5" s="325"/>
      <c r="TPD5" s="325"/>
      <c r="TPE5" s="325"/>
      <c r="TPF5" s="325"/>
      <c r="TPG5" s="325"/>
      <c r="TPH5" s="325"/>
      <c r="TPI5" s="325"/>
      <c r="TPJ5" s="325"/>
      <c r="TPK5" s="325"/>
      <c r="TPL5" s="325"/>
      <c r="TPM5" s="325"/>
      <c r="TPN5" s="325"/>
      <c r="TPO5" s="325"/>
      <c r="TPP5" s="325"/>
      <c r="TPQ5" s="325"/>
      <c r="TPR5" s="325"/>
      <c r="TPS5" s="325"/>
      <c r="TPT5" s="325"/>
      <c r="TPU5" s="325"/>
      <c r="TPV5" s="325"/>
      <c r="TPW5" s="325"/>
      <c r="TPX5" s="325"/>
      <c r="TPY5" s="325"/>
      <c r="TPZ5" s="325"/>
      <c r="TQA5" s="325"/>
      <c r="TQB5" s="325"/>
      <c r="TQC5" s="325"/>
      <c r="TQD5" s="325"/>
      <c r="TQE5" s="325"/>
      <c r="TQF5" s="325"/>
      <c r="TQG5" s="325"/>
      <c r="TQH5" s="325"/>
      <c r="TQI5" s="325"/>
      <c r="TQJ5" s="325"/>
      <c r="TQK5" s="325"/>
      <c r="TQL5" s="325"/>
      <c r="TQM5" s="325"/>
      <c r="TQN5" s="325"/>
      <c r="TQO5" s="325"/>
      <c r="TQP5" s="325"/>
      <c r="TQQ5" s="325"/>
      <c r="TQR5" s="325"/>
      <c r="TQS5" s="325"/>
      <c r="TQT5" s="325"/>
      <c r="TQU5" s="325"/>
      <c r="TQV5" s="325"/>
      <c r="TQW5" s="325"/>
      <c r="TQX5" s="325"/>
      <c r="TQY5" s="325"/>
      <c r="TQZ5" s="325"/>
      <c r="TRA5" s="325"/>
      <c r="TRB5" s="325"/>
      <c r="TRC5" s="325"/>
      <c r="TRD5" s="325"/>
      <c r="TRE5" s="325"/>
      <c r="TRF5" s="325"/>
      <c r="TRG5" s="325"/>
      <c r="TRH5" s="325"/>
      <c r="TRI5" s="325"/>
      <c r="TRJ5" s="325"/>
      <c r="TRK5" s="325"/>
      <c r="TRL5" s="325"/>
      <c r="TRM5" s="325"/>
      <c r="TRN5" s="325"/>
      <c r="TRO5" s="325"/>
      <c r="TRP5" s="325"/>
      <c r="TRQ5" s="325"/>
      <c r="TRR5" s="325"/>
      <c r="TRS5" s="325"/>
      <c r="TRT5" s="325"/>
      <c r="TRU5" s="325"/>
      <c r="TRV5" s="325"/>
      <c r="TRW5" s="325"/>
      <c r="TRX5" s="325"/>
      <c r="TRY5" s="325"/>
      <c r="TRZ5" s="325"/>
      <c r="TSA5" s="325"/>
      <c r="TSB5" s="325"/>
      <c r="TSC5" s="325"/>
      <c r="TSD5" s="325"/>
      <c r="TSE5" s="325"/>
      <c r="TSF5" s="325"/>
      <c r="TSG5" s="325"/>
      <c r="TSH5" s="325"/>
      <c r="TSI5" s="325"/>
      <c r="TSJ5" s="325"/>
      <c r="TSK5" s="325"/>
      <c r="TSL5" s="325"/>
      <c r="TSM5" s="325"/>
      <c r="TSN5" s="325"/>
      <c r="TSO5" s="325"/>
      <c r="TSP5" s="325"/>
      <c r="TSQ5" s="325"/>
      <c r="TSR5" s="325"/>
      <c r="TSS5" s="325"/>
      <c r="TST5" s="325"/>
      <c r="TSU5" s="325"/>
      <c r="TSV5" s="325"/>
      <c r="TSW5" s="325"/>
      <c r="TSX5" s="325"/>
      <c r="TSY5" s="325"/>
      <c r="TSZ5" s="325"/>
      <c r="TTA5" s="325"/>
      <c r="TTB5" s="325"/>
      <c r="TTC5" s="325"/>
      <c r="TTD5" s="325"/>
      <c r="TTE5" s="325"/>
      <c r="TTF5" s="325"/>
      <c r="TTG5" s="325"/>
      <c r="TTH5" s="325"/>
      <c r="TTI5" s="325"/>
      <c r="TTJ5" s="325"/>
      <c r="TTK5" s="325"/>
      <c r="TTL5" s="325"/>
      <c r="TTM5" s="325"/>
      <c r="TTN5" s="325"/>
      <c r="TTO5" s="325"/>
      <c r="TTP5" s="325"/>
      <c r="TTQ5" s="325"/>
      <c r="TTR5" s="325"/>
      <c r="TTS5" s="325"/>
      <c r="TTT5" s="325"/>
      <c r="TTU5" s="325"/>
      <c r="TTV5" s="325"/>
      <c r="TTW5" s="325"/>
      <c r="TTX5" s="325"/>
      <c r="TTY5" s="325"/>
      <c r="TTZ5" s="325"/>
      <c r="TUA5" s="325"/>
      <c r="TUB5" s="325"/>
      <c r="TUC5" s="325"/>
      <c r="TUD5" s="325"/>
      <c r="TUE5" s="325"/>
      <c r="TUF5" s="325"/>
      <c r="TUG5" s="325"/>
      <c r="TUH5" s="325"/>
      <c r="TUI5" s="325"/>
      <c r="TUJ5" s="325"/>
      <c r="TUK5" s="325"/>
      <c r="TUL5" s="325"/>
      <c r="TUM5" s="325"/>
      <c r="TUN5" s="325"/>
      <c r="TUO5" s="325"/>
      <c r="TUP5" s="325"/>
      <c r="TUQ5" s="325"/>
      <c r="TUR5" s="325"/>
      <c r="TUS5" s="325"/>
      <c r="TUT5" s="325"/>
      <c r="TUU5" s="325"/>
      <c r="TUV5" s="325"/>
      <c r="TUW5" s="325"/>
      <c r="TUX5" s="325"/>
      <c r="TUY5" s="325"/>
      <c r="TUZ5" s="325"/>
      <c r="TVA5" s="325"/>
      <c r="TVB5" s="325"/>
      <c r="TVC5" s="325"/>
      <c r="TVD5" s="325"/>
      <c r="TVE5" s="325"/>
      <c r="TVF5" s="325"/>
      <c r="TVG5" s="325"/>
      <c r="TVH5" s="325"/>
      <c r="TVI5" s="325"/>
      <c r="TVJ5" s="325"/>
      <c r="TVK5" s="325"/>
      <c r="TVL5" s="325"/>
      <c r="TVM5" s="325"/>
      <c r="TVN5" s="325"/>
      <c r="TVO5" s="325"/>
      <c r="TVP5" s="325"/>
      <c r="TVQ5" s="325"/>
      <c r="TVR5" s="325"/>
      <c r="TVS5" s="325"/>
      <c r="TVT5" s="325"/>
      <c r="TVU5" s="325"/>
      <c r="TVV5" s="325"/>
      <c r="TVW5" s="325"/>
      <c r="TVX5" s="325"/>
      <c r="TVY5" s="325"/>
      <c r="TVZ5" s="325"/>
      <c r="TWA5" s="325"/>
      <c r="TWB5" s="325"/>
      <c r="TWC5" s="325"/>
      <c r="TWD5" s="325"/>
      <c r="TWE5" s="325"/>
      <c r="TWF5" s="325"/>
      <c r="TWG5" s="325"/>
      <c r="TWH5" s="325"/>
      <c r="TWI5" s="325"/>
      <c r="TWJ5" s="325"/>
      <c r="TWK5" s="325"/>
      <c r="TWL5" s="325"/>
      <c r="TWM5" s="325"/>
      <c r="TWN5" s="325"/>
      <c r="TWO5" s="325"/>
      <c r="TWP5" s="325"/>
      <c r="TWQ5" s="325"/>
      <c r="TWR5" s="325"/>
      <c r="TWS5" s="325"/>
      <c r="TWT5" s="325"/>
      <c r="TWU5" s="325"/>
      <c r="TWV5" s="325"/>
      <c r="TWW5" s="325"/>
      <c r="TWX5" s="325"/>
      <c r="TWY5" s="325"/>
      <c r="TWZ5" s="325"/>
      <c r="TXA5" s="325"/>
      <c r="TXB5" s="325"/>
      <c r="TXC5" s="325"/>
      <c r="TXD5" s="325"/>
      <c r="TXE5" s="325"/>
      <c r="TXF5" s="325"/>
      <c r="TXG5" s="325"/>
      <c r="TXH5" s="325"/>
      <c r="TXI5" s="325"/>
      <c r="TXJ5" s="325"/>
      <c r="TXK5" s="325"/>
      <c r="TXL5" s="325"/>
      <c r="TXM5" s="325"/>
      <c r="TXN5" s="325"/>
      <c r="TXO5" s="325"/>
      <c r="TXP5" s="325"/>
      <c r="TXQ5" s="325"/>
      <c r="TXR5" s="325"/>
      <c r="TXS5" s="325"/>
      <c r="TXT5" s="325"/>
      <c r="TXU5" s="325"/>
      <c r="TXV5" s="325"/>
      <c r="TXW5" s="325"/>
      <c r="TXX5" s="325"/>
      <c r="TXY5" s="325"/>
      <c r="TXZ5" s="325"/>
      <c r="TYA5" s="325"/>
      <c r="TYB5" s="325"/>
      <c r="TYC5" s="325"/>
      <c r="TYD5" s="325"/>
      <c r="TYE5" s="325"/>
      <c r="TYF5" s="325"/>
      <c r="TYG5" s="325"/>
      <c r="TYH5" s="325"/>
      <c r="TYI5" s="325"/>
      <c r="TYJ5" s="325"/>
      <c r="TYK5" s="325"/>
      <c r="TYL5" s="325"/>
      <c r="TYM5" s="325"/>
      <c r="TYN5" s="325"/>
      <c r="TYO5" s="325"/>
      <c r="TYP5" s="325"/>
      <c r="TYQ5" s="325"/>
      <c r="TYR5" s="325"/>
      <c r="TYS5" s="325"/>
      <c r="TYT5" s="325"/>
      <c r="TYU5" s="325"/>
      <c r="TYV5" s="325"/>
      <c r="TYW5" s="325"/>
      <c r="TYX5" s="325"/>
      <c r="TYY5" s="325"/>
      <c r="TYZ5" s="325"/>
      <c r="TZA5" s="325"/>
      <c r="TZB5" s="325"/>
      <c r="TZC5" s="325"/>
      <c r="TZD5" s="325"/>
      <c r="TZE5" s="325"/>
      <c r="TZF5" s="325"/>
      <c r="TZG5" s="325"/>
      <c r="TZH5" s="325"/>
      <c r="TZI5" s="325"/>
      <c r="TZJ5" s="325"/>
      <c r="TZK5" s="325"/>
      <c r="TZL5" s="325"/>
      <c r="TZM5" s="325"/>
      <c r="TZN5" s="325"/>
      <c r="TZO5" s="325"/>
      <c r="TZP5" s="325"/>
      <c r="TZQ5" s="325"/>
      <c r="TZR5" s="325"/>
      <c r="TZS5" s="325"/>
      <c r="TZT5" s="325"/>
      <c r="TZU5" s="325"/>
      <c r="TZV5" s="325"/>
      <c r="TZW5" s="325"/>
      <c r="TZX5" s="325"/>
      <c r="TZY5" s="325"/>
      <c r="TZZ5" s="325"/>
      <c r="UAA5" s="325"/>
      <c r="UAB5" s="325"/>
      <c r="UAC5" s="325"/>
      <c r="UAD5" s="325"/>
      <c r="UAE5" s="325"/>
      <c r="UAF5" s="325"/>
      <c r="UAG5" s="325"/>
      <c r="UAH5" s="325"/>
      <c r="UAI5" s="325"/>
      <c r="UAJ5" s="325"/>
      <c r="UAK5" s="325"/>
      <c r="UAL5" s="325"/>
      <c r="UAM5" s="325"/>
      <c r="UAN5" s="325"/>
      <c r="UAO5" s="325"/>
      <c r="UAP5" s="325"/>
      <c r="UAQ5" s="325"/>
      <c r="UAR5" s="325"/>
      <c r="UAS5" s="325"/>
      <c r="UAT5" s="325"/>
      <c r="UAU5" s="325"/>
      <c r="UAV5" s="325"/>
      <c r="UAW5" s="325"/>
      <c r="UAX5" s="325"/>
      <c r="UAY5" s="325"/>
      <c r="UAZ5" s="325"/>
      <c r="UBA5" s="325"/>
      <c r="UBB5" s="325"/>
      <c r="UBC5" s="325"/>
      <c r="UBD5" s="325"/>
      <c r="UBE5" s="325"/>
      <c r="UBF5" s="325"/>
      <c r="UBG5" s="325"/>
      <c r="UBH5" s="325"/>
      <c r="UBI5" s="325"/>
      <c r="UBJ5" s="325"/>
      <c r="UBK5" s="325"/>
      <c r="UBL5" s="325"/>
      <c r="UBM5" s="325"/>
      <c r="UBN5" s="325"/>
      <c r="UBO5" s="325"/>
      <c r="UBP5" s="325"/>
      <c r="UBQ5" s="325"/>
      <c r="UBR5" s="325"/>
      <c r="UBS5" s="325"/>
      <c r="UBT5" s="325"/>
      <c r="UBU5" s="325"/>
      <c r="UBV5" s="325"/>
      <c r="UBW5" s="325"/>
      <c r="UBX5" s="325"/>
      <c r="UBY5" s="325"/>
      <c r="UBZ5" s="325"/>
      <c r="UCA5" s="325"/>
      <c r="UCB5" s="325"/>
      <c r="UCC5" s="325"/>
      <c r="UCD5" s="325"/>
      <c r="UCE5" s="325"/>
      <c r="UCF5" s="325"/>
      <c r="UCG5" s="325"/>
      <c r="UCH5" s="325"/>
      <c r="UCI5" s="325"/>
      <c r="UCJ5" s="325"/>
      <c r="UCK5" s="325"/>
      <c r="UCL5" s="325"/>
      <c r="UCM5" s="325"/>
      <c r="UCN5" s="325"/>
      <c r="UCO5" s="325"/>
      <c r="UCP5" s="325"/>
      <c r="UCQ5" s="325"/>
      <c r="UCR5" s="325"/>
      <c r="UCS5" s="325"/>
      <c r="UCT5" s="325"/>
      <c r="UCU5" s="325"/>
      <c r="UCV5" s="325"/>
      <c r="UCW5" s="325"/>
      <c r="UCX5" s="325"/>
      <c r="UCY5" s="325"/>
      <c r="UCZ5" s="325"/>
      <c r="UDA5" s="325"/>
      <c r="UDB5" s="325"/>
      <c r="UDC5" s="325"/>
      <c r="UDD5" s="325"/>
      <c r="UDE5" s="325"/>
      <c r="UDF5" s="325"/>
      <c r="UDG5" s="325"/>
      <c r="UDH5" s="325"/>
      <c r="UDI5" s="325"/>
      <c r="UDJ5" s="325"/>
      <c r="UDK5" s="325"/>
      <c r="UDL5" s="325"/>
      <c r="UDM5" s="325"/>
      <c r="UDN5" s="325"/>
      <c r="UDO5" s="325"/>
      <c r="UDP5" s="325"/>
      <c r="UDQ5" s="325"/>
      <c r="UDR5" s="325"/>
      <c r="UDS5" s="325"/>
      <c r="UDT5" s="325"/>
      <c r="UDU5" s="325"/>
      <c r="UDV5" s="325"/>
      <c r="UDW5" s="325"/>
      <c r="UDX5" s="325"/>
      <c r="UDY5" s="325"/>
      <c r="UDZ5" s="325"/>
      <c r="UEA5" s="325"/>
      <c r="UEB5" s="325"/>
      <c r="UEC5" s="325"/>
      <c r="UED5" s="325"/>
      <c r="UEE5" s="325"/>
      <c r="UEF5" s="325"/>
      <c r="UEG5" s="325"/>
      <c r="UEH5" s="325"/>
      <c r="UEI5" s="325"/>
      <c r="UEJ5" s="325"/>
      <c r="UEK5" s="325"/>
      <c r="UEL5" s="325"/>
      <c r="UEM5" s="325"/>
      <c r="UEN5" s="325"/>
      <c r="UEO5" s="325"/>
      <c r="UEP5" s="325"/>
      <c r="UEQ5" s="325"/>
      <c r="UER5" s="325"/>
      <c r="UES5" s="325"/>
      <c r="UET5" s="325"/>
      <c r="UEU5" s="325"/>
      <c r="UEV5" s="325"/>
      <c r="UEW5" s="325"/>
      <c r="UEX5" s="325"/>
      <c r="UEY5" s="325"/>
      <c r="UEZ5" s="325"/>
      <c r="UFA5" s="325"/>
      <c r="UFB5" s="325"/>
      <c r="UFC5" s="325"/>
      <c r="UFD5" s="325"/>
      <c r="UFE5" s="325"/>
      <c r="UFF5" s="325"/>
      <c r="UFG5" s="325"/>
      <c r="UFH5" s="325"/>
      <c r="UFI5" s="325"/>
      <c r="UFJ5" s="325"/>
      <c r="UFK5" s="325"/>
      <c r="UFL5" s="325"/>
      <c r="UFM5" s="325"/>
      <c r="UFN5" s="325"/>
      <c r="UFO5" s="325"/>
      <c r="UFP5" s="325"/>
      <c r="UFQ5" s="325"/>
      <c r="UFR5" s="325"/>
      <c r="UFS5" s="325"/>
      <c r="UFT5" s="325"/>
      <c r="UFU5" s="325"/>
      <c r="UFV5" s="325"/>
      <c r="UFW5" s="325"/>
      <c r="UFX5" s="325"/>
      <c r="UFY5" s="325"/>
      <c r="UFZ5" s="325"/>
      <c r="UGA5" s="325"/>
      <c r="UGB5" s="325"/>
      <c r="UGC5" s="325"/>
      <c r="UGD5" s="325"/>
      <c r="UGE5" s="325"/>
      <c r="UGF5" s="325"/>
      <c r="UGG5" s="325"/>
      <c r="UGH5" s="325"/>
      <c r="UGI5" s="325"/>
      <c r="UGJ5" s="325"/>
      <c r="UGK5" s="325"/>
      <c r="UGL5" s="325"/>
      <c r="UGM5" s="325"/>
      <c r="UGN5" s="325"/>
      <c r="UGO5" s="325"/>
      <c r="UGP5" s="325"/>
      <c r="UGQ5" s="325"/>
      <c r="UGR5" s="325"/>
      <c r="UGS5" s="325"/>
      <c r="UGT5" s="325"/>
      <c r="UGU5" s="325"/>
      <c r="UGV5" s="325"/>
      <c r="UGW5" s="325"/>
      <c r="UGX5" s="325"/>
      <c r="UGY5" s="325"/>
      <c r="UGZ5" s="325"/>
      <c r="UHA5" s="325"/>
      <c r="UHB5" s="325"/>
      <c r="UHC5" s="325"/>
      <c r="UHD5" s="325"/>
      <c r="UHE5" s="325"/>
      <c r="UHF5" s="325"/>
      <c r="UHG5" s="325"/>
      <c r="UHH5" s="325"/>
      <c r="UHI5" s="325"/>
      <c r="UHJ5" s="325"/>
      <c r="UHK5" s="325"/>
      <c r="UHL5" s="325"/>
      <c r="UHM5" s="325"/>
      <c r="UHN5" s="325"/>
      <c r="UHO5" s="325"/>
      <c r="UHP5" s="325"/>
      <c r="UHQ5" s="325"/>
      <c r="UHR5" s="325"/>
      <c r="UHS5" s="325"/>
      <c r="UHT5" s="325"/>
      <c r="UHU5" s="325"/>
      <c r="UHV5" s="325"/>
      <c r="UHW5" s="325"/>
      <c r="UHX5" s="325"/>
      <c r="UHY5" s="325"/>
      <c r="UHZ5" s="325"/>
      <c r="UIA5" s="325"/>
      <c r="UIB5" s="325"/>
      <c r="UIC5" s="325"/>
      <c r="UID5" s="325"/>
      <c r="UIE5" s="325"/>
      <c r="UIF5" s="325"/>
      <c r="UIG5" s="325"/>
      <c r="UIH5" s="325"/>
      <c r="UII5" s="325"/>
      <c r="UIJ5" s="325"/>
      <c r="UIK5" s="325"/>
      <c r="UIL5" s="325"/>
      <c r="UIM5" s="325"/>
      <c r="UIN5" s="325"/>
      <c r="UIO5" s="325"/>
      <c r="UIP5" s="325"/>
      <c r="UIQ5" s="325"/>
      <c r="UIR5" s="325"/>
      <c r="UIS5" s="325"/>
      <c r="UIT5" s="325"/>
      <c r="UIU5" s="325"/>
      <c r="UIV5" s="325"/>
      <c r="UIW5" s="325"/>
      <c r="UIX5" s="325"/>
      <c r="UIY5" s="325"/>
      <c r="UIZ5" s="325"/>
      <c r="UJA5" s="325"/>
      <c r="UJB5" s="325"/>
      <c r="UJC5" s="325"/>
      <c r="UJD5" s="325"/>
      <c r="UJE5" s="325"/>
      <c r="UJF5" s="325"/>
      <c r="UJG5" s="325"/>
      <c r="UJH5" s="325"/>
      <c r="UJI5" s="325"/>
      <c r="UJJ5" s="325"/>
      <c r="UJK5" s="325"/>
      <c r="UJL5" s="325"/>
      <c r="UJM5" s="325"/>
      <c r="UJN5" s="325"/>
      <c r="UJO5" s="325"/>
      <c r="UJP5" s="325"/>
      <c r="UJQ5" s="325"/>
      <c r="UJR5" s="325"/>
      <c r="UJS5" s="325"/>
      <c r="UJT5" s="325"/>
      <c r="UJU5" s="325"/>
      <c r="UJV5" s="325"/>
      <c r="UJW5" s="325"/>
      <c r="UJX5" s="325"/>
      <c r="UJY5" s="325"/>
      <c r="UJZ5" s="325"/>
      <c r="UKA5" s="325"/>
      <c r="UKB5" s="325"/>
      <c r="UKC5" s="325"/>
      <c r="UKD5" s="325"/>
      <c r="UKE5" s="325"/>
      <c r="UKF5" s="325"/>
      <c r="UKG5" s="325"/>
      <c r="UKH5" s="325"/>
      <c r="UKI5" s="325"/>
      <c r="UKJ5" s="325"/>
      <c r="UKK5" s="325"/>
      <c r="UKL5" s="325"/>
      <c r="UKM5" s="325"/>
      <c r="UKN5" s="325"/>
      <c r="UKO5" s="325"/>
      <c r="UKP5" s="325"/>
      <c r="UKQ5" s="325"/>
      <c r="UKR5" s="325"/>
      <c r="UKS5" s="325"/>
      <c r="UKT5" s="325"/>
      <c r="UKU5" s="325"/>
      <c r="UKV5" s="325"/>
      <c r="UKW5" s="325"/>
      <c r="UKX5" s="325"/>
      <c r="UKY5" s="325"/>
      <c r="UKZ5" s="325"/>
      <c r="ULA5" s="325"/>
      <c r="ULB5" s="325"/>
      <c r="ULC5" s="325"/>
      <c r="ULD5" s="325"/>
      <c r="ULE5" s="325"/>
      <c r="ULF5" s="325"/>
      <c r="ULG5" s="325"/>
      <c r="ULH5" s="325"/>
      <c r="ULI5" s="325"/>
      <c r="ULJ5" s="325"/>
      <c r="ULK5" s="325"/>
      <c r="ULL5" s="325"/>
      <c r="ULM5" s="325"/>
      <c r="ULN5" s="325"/>
      <c r="ULO5" s="325"/>
      <c r="ULP5" s="325"/>
      <c r="ULQ5" s="325"/>
      <c r="ULR5" s="325"/>
      <c r="ULS5" s="325"/>
      <c r="ULT5" s="325"/>
      <c r="ULU5" s="325"/>
      <c r="ULV5" s="325"/>
      <c r="ULW5" s="325"/>
      <c r="ULX5" s="325"/>
      <c r="ULY5" s="325"/>
      <c r="ULZ5" s="325"/>
      <c r="UMA5" s="325"/>
      <c r="UMB5" s="325"/>
      <c r="UMC5" s="325"/>
      <c r="UMD5" s="325"/>
      <c r="UME5" s="325"/>
      <c r="UMF5" s="325"/>
      <c r="UMG5" s="325"/>
      <c r="UMH5" s="325"/>
      <c r="UMI5" s="325"/>
      <c r="UMJ5" s="325"/>
      <c r="UMK5" s="325"/>
      <c r="UML5" s="325"/>
      <c r="UMM5" s="325"/>
      <c r="UMN5" s="325"/>
      <c r="UMO5" s="325"/>
      <c r="UMP5" s="325"/>
      <c r="UMQ5" s="325"/>
      <c r="UMR5" s="325"/>
      <c r="UMS5" s="325"/>
      <c r="UMT5" s="325"/>
      <c r="UMU5" s="325"/>
      <c r="UMV5" s="325"/>
      <c r="UMW5" s="325"/>
      <c r="UMX5" s="325"/>
      <c r="UMY5" s="325"/>
      <c r="UMZ5" s="325"/>
      <c r="UNA5" s="325"/>
      <c r="UNB5" s="325"/>
      <c r="UNC5" s="325"/>
      <c r="UND5" s="325"/>
      <c r="UNE5" s="325"/>
      <c r="UNF5" s="325"/>
      <c r="UNG5" s="325"/>
      <c r="UNH5" s="325"/>
      <c r="UNI5" s="325"/>
      <c r="UNJ5" s="325"/>
      <c r="UNK5" s="325"/>
      <c r="UNL5" s="325"/>
      <c r="UNM5" s="325"/>
      <c r="UNN5" s="325"/>
      <c r="UNO5" s="325"/>
      <c r="UNP5" s="325"/>
      <c r="UNQ5" s="325"/>
      <c r="UNR5" s="325"/>
      <c r="UNS5" s="325"/>
      <c r="UNT5" s="325"/>
      <c r="UNU5" s="325"/>
      <c r="UNV5" s="325"/>
      <c r="UNW5" s="325"/>
      <c r="UNX5" s="325"/>
      <c r="UNY5" s="325"/>
      <c r="UNZ5" s="325"/>
      <c r="UOA5" s="325"/>
      <c r="UOB5" s="325"/>
      <c r="UOC5" s="325"/>
      <c r="UOD5" s="325"/>
      <c r="UOE5" s="325"/>
      <c r="UOF5" s="325"/>
      <c r="UOG5" s="325"/>
      <c r="UOH5" s="325"/>
      <c r="UOI5" s="325"/>
      <c r="UOJ5" s="325"/>
      <c r="UOK5" s="325"/>
      <c r="UOL5" s="325"/>
      <c r="UOM5" s="325"/>
      <c r="UON5" s="325"/>
      <c r="UOO5" s="325"/>
      <c r="UOP5" s="325"/>
      <c r="UOQ5" s="325"/>
      <c r="UOR5" s="325"/>
      <c r="UOS5" s="325"/>
      <c r="UOT5" s="325"/>
      <c r="UOU5" s="325"/>
      <c r="UOV5" s="325"/>
      <c r="UOW5" s="325"/>
      <c r="UOX5" s="325"/>
      <c r="UOY5" s="325"/>
      <c r="UOZ5" s="325"/>
      <c r="UPA5" s="325"/>
      <c r="UPB5" s="325"/>
      <c r="UPC5" s="325"/>
      <c r="UPD5" s="325"/>
      <c r="UPE5" s="325"/>
      <c r="UPF5" s="325"/>
      <c r="UPG5" s="325"/>
      <c r="UPH5" s="325"/>
      <c r="UPI5" s="325"/>
      <c r="UPJ5" s="325"/>
      <c r="UPK5" s="325"/>
      <c r="UPL5" s="325"/>
      <c r="UPM5" s="325"/>
      <c r="UPN5" s="325"/>
      <c r="UPO5" s="325"/>
      <c r="UPP5" s="325"/>
      <c r="UPQ5" s="325"/>
      <c r="UPR5" s="325"/>
      <c r="UPS5" s="325"/>
      <c r="UPT5" s="325"/>
      <c r="UPU5" s="325"/>
      <c r="UPV5" s="325"/>
      <c r="UPW5" s="325"/>
      <c r="UPX5" s="325"/>
      <c r="UPY5" s="325"/>
      <c r="UPZ5" s="325"/>
      <c r="UQA5" s="325"/>
      <c r="UQB5" s="325"/>
      <c r="UQC5" s="325"/>
      <c r="UQD5" s="325"/>
      <c r="UQE5" s="325"/>
      <c r="UQF5" s="325"/>
      <c r="UQG5" s="325"/>
      <c r="UQH5" s="325"/>
      <c r="UQI5" s="325"/>
      <c r="UQJ5" s="325"/>
      <c r="UQK5" s="325"/>
      <c r="UQL5" s="325"/>
      <c r="UQM5" s="325"/>
      <c r="UQN5" s="325"/>
      <c r="UQO5" s="325"/>
      <c r="UQP5" s="325"/>
      <c r="UQQ5" s="325"/>
      <c r="UQR5" s="325"/>
      <c r="UQS5" s="325"/>
      <c r="UQT5" s="325"/>
      <c r="UQU5" s="325"/>
      <c r="UQV5" s="325"/>
      <c r="UQW5" s="325"/>
      <c r="UQX5" s="325"/>
      <c r="UQY5" s="325"/>
      <c r="UQZ5" s="325"/>
      <c r="URA5" s="325"/>
      <c r="URB5" s="325"/>
      <c r="URC5" s="325"/>
      <c r="URD5" s="325"/>
      <c r="URE5" s="325"/>
      <c r="URF5" s="325"/>
      <c r="URG5" s="325"/>
      <c r="URH5" s="325"/>
      <c r="URI5" s="325"/>
      <c r="URJ5" s="325"/>
      <c r="URK5" s="325"/>
      <c r="URL5" s="325"/>
      <c r="URM5" s="325"/>
      <c r="URN5" s="325"/>
      <c r="URO5" s="325"/>
      <c r="URP5" s="325"/>
      <c r="URQ5" s="325"/>
      <c r="URR5" s="325"/>
      <c r="URS5" s="325"/>
      <c r="URT5" s="325"/>
      <c r="URU5" s="325"/>
      <c r="URV5" s="325"/>
      <c r="URW5" s="325"/>
      <c r="URX5" s="325"/>
      <c r="URY5" s="325"/>
      <c r="URZ5" s="325"/>
      <c r="USA5" s="325"/>
      <c r="USB5" s="325"/>
      <c r="USC5" s="325"/>
      <c r="USD5" s="325"/>
      <c r="USE5" s="325"/>
      <c r="USF5" s="325"/>
      <c r="USG5" s="325"/>
      <c r="USH5" s="325"/>
      <c r="USI5" s="325"/>
      <c r="USJ5" s="325"/>
      <c r="USK5" s="325"/>
      <c r="USL5" s="325"/>
      <c r="USM5" s="325"/>
      <c r="USN5" s="325"/>
      <c r="USO5" s="325"/>
      <c r="USP5" s="325"/>
      <c r="USQ5" s="325"/>
      <c r="USR5" s="325"/>
      <c r="USS5" s="325"/>
      <c r="UST5" s="325"/>
      <c r="USU5" s="325"/>
      <c r="USV5" s="325"/>
      <c r="USW5" s="325"/>
      <c r="USX5" s="325"/>
      <c r="USY5" s="325"/>
      <c r="USZ5" s="325"/>
      <c r="UTA5" s="325"/>
      <c r="UTB5" s="325"/>
      <c r="UTC5" s="325"/>
      <c r="UTD5" s="325"/>
      <c r="UTE5" s="325"/>
      <c r="UTF5" s="325"/>
      <c r="UTG5" s="325"/>
      <c r="UTH5" s="325"/>
      <c r="UTI5" s="325"/>
      <c r="UTJ5" s="325"/>
      <c r="UTK5" s="325"/>
      <c r="UTL5" s="325"/>
      <c r="UTM5" s="325"/>
      <c r="UTN5" s="325"/>
      <c r="UTO5" s="325"/>
      <c r="UTP5" s="325"/>
      <c r="UTQ5" s="325"/>
      <c r="UTR5" s="325"/>
      <c r="UTS5" s="325"/>
      <c r="UTT5" s="325"/>
      <c r="UTU5" s="325"/>
      <c r="UTV5" s="325"/>
      <c r="UTW5" s="325"/>
      <c r="UTX5" s="325"/>
      <c r="UTY5" s="325"/>
      <c r="UTZ5" s="325"/>
      <c r="UUA5" s="325"/>
      <c r="UUB5" s="325"/>
      <c r="UUC5" s="325"/>
      <c r="UUD5" s="325"/>
      <c r="UUE5" s="325"/>
      <c r="UUF5" s="325"/>
      <c r="UUG5" s="325"/>
      <c r="UUH5" s="325"/>
      <c r="UUI5" s="325"/>
      <c r="UUJ5" s="325"/>
      <c r="UUK5" s="325"/>
      <c r="UUL5" s="325"/>
      <c r="UUM5" s="325"/>
      <c r="UUN5" s="325"/>
      <c r="UUO5" s="325"/>
      <c r="UUP5" s="325"/>
      <c r="UUQ5" s="325"/>
      <c r="UUR5" s="325"/>
      <c r="UUS5" s="325"/>
      <c r="UUT5" s="325"/>
      <c r="UUU5" s="325"/>
      <c r="UUV5" s="325"/>
      <c r="UUW5" s="325"/>
      <c r="UUX5" s="325"/>
      <c r="UUY5" s="325"/>
      <c r="UUZ5" s="325"/>
      <c r="UVA5" s="325"/>
      <c r="UVB5" s="325"/>
      <c r="UVC5" s="325"/>
      <c r="UVD5" s="325"/>
      <c r="UVE5" s="325"/>
      <c r="UVF5" s="325"/>
      <c r="UVG5" s="325"/>
      <c r="UVH5" s="325"/>
      <c r="UVI5" s="325"/>
      <c r="UVJ5" s="325"/>
      <c r="UVK5" s="325"/>
      <c r="UVL5" s="325"/>
      <c r="UVM5" s="325"/>
      <c r="UVN5" s="325"/>
      <c r="UVO5" s="325"/>
      <c r="UVP5" s="325"/>
      <c r="UVQ5" s="325"/>
      <c r="UVR5" s="325"/>
      <c r="UVS5" s="325"/>
      <c r="UVT5" s="325"/>
      <c r="UVU5" s="325"/>
      <c r="UVV5" s="325"/>
      <c r="UVW5" s="325"/>
      <c r="UVX5" s="325"/>
      <c r="UVY5" s="325"/>
      <c r="UVZ5" s="325"/>
      <c r="UWA5" s="325"/>
      <c r="UWB5" s="325"/>
      <c r="UWC5" s="325"/>
      <c r="UWD5" s="325"/>
      <c r="UWE5" s="325"/>
      <c r="UWF5" s="325"/>
      <c r="UWG5" s="325"/>
      <c r="UWH5" s="325"/>
      <c r="UWI5" s="325"/>
      <c r="UWJ5" s="325"/>
      <c r="UWK5" s="325"/>
      <c r="UWL5" s="325"/>
      <c r="UWM5" s="325"/>
      <c r="UWN5" s="325"/>
      <c r="UWO5" s="325"/>
      <c r="UWP5" s="325"/>
      <c r="UWQ5" s="325"/>
      <c r="UWR5" s="325"/>
      <c r="UWS5" s="325"/>
      <c r="UWT5" s="325"/>
      <c r="UWU5" s="325"/>
      <c r="UWV5" s="325"/>
      <c r="UWW5" s="325"/>
      <c r="UWX5" s="325"/>
      <c r="UWY5" s="325"/>
      <c r="UWZ5" s="325"/>
      <c r="UXA5" s="325"/>
      <c r="UXB5" s="325"/>
      <c r="UXC5" s="325"/>
      <c r="UXD5" s="325"/>
      <c r="UXE5" s="325"/>
      <c r="UXF5" s="325"/>
      <c r="UXG5" s="325"/>
      <c r="UXH5" s="325"/>
      <c r="UXI5" s="325"/>
      <c r="UXJ5" s="325"/>
      <c r="UXK5" s="325"/>
      <c r="UXL5" s="325"/>
      <c r="UXM5" s="325"/>
      <c r="UXN5" s="325"/>
      <c r="UXO5" s="325"/>
      <c r="UXP5" s="325"/>
      <c r="UXQ5" s="325"/>
      <c r="UXR5" s="325"/>
      <c r="UXS5" s="325"/>
      <c r="UXT5" s="325"/>
      <c r="UXU5" s="325"/>
      <c r="UXV5" s="325"/>
      <c r="UXW5" s="325"/>
      <c r="UXX5" s="325"/>
      <c r="UXY5" s="325"/>
      <c r="UXZ5" s="325"/>
      <c r="UYA5" s="325"/>
      <c r="UYB5" s="325"/>
      <c r="UYC5" s="325"/>
      <c r="UYD5" s="325"/>
      <c r="UYE5" s="325"/>
      <c r="UYF5" s="325"/>
      <c r="UYG5" s="325"/>
      <c r="UYH5" s="325"/>
      <c r="UYI5" s="325"/>
      <c r="UYJ5" s="325"/>
      <c r="UYK5" s="325"/>
      <c r="UYL5" s="325"/>
      <c r="UYM5" s="325"/>
      <c r="UYN5" s="325"/>
      <c r="UYO5" s="325"/>
      <c r="UYP5" s="325"/>
      <c r="UYQ5" s="325"/>
      <c r="UYR5" s="325"/>
      <c r="UYS5" s="325"/>
      <c r="UYT5" s="325"/>
      <c r="UYU5" s="325"/>
      <c r="UYV5" s="325"/>
      <c r="UYW5" s="325"/>
      <c r="UYX5" s="325"/>
      <c r="UYY5" s="325"/>
      <c r="UYZ5" s="325"/>
      <c r="UZA5" s="325"/>
      <c r="UZB5" s="325"/>
      <c r="UZC5" s="325"/>
      <c r="UZD5" s="325"/>
      <c r="UZE5" s="325"/>
      <c r="UZF5" s="325"/>
      <c r="UZG5" s="325"/>
      <c r="UZH5" s="325"/>
      <c r="UZI5" s="325"/>
      <c r="UZJ5" s="325"/>
      <c r="UZK5" s="325"/>
      <c r="UZL5" s="325"/>
      <c r="UZM5" s="325"/>
      <c r="UZN5" s="325"/>
      <c r="UZO5" s="325"/>
      <c r="UZP5" s="325"/>
      <c r="UZQ5" s="325"/>
      <c r="UZR5" s="325"/>
      <c r="UZS5" s="325"/>
      <c r="UZT5" s="325"/>
      <c r="UZU5" s="325"/>
      <c r="UZV5" s="325"/>
      <c r="UZW5" s="325"/>
      <c r="UZX5" s="325"/>
      <c r="UZY5" s="325"/>
      <c r="UZZ5" s="325"/>
      <c r="VAA5" s="325"/>
      <c r="VAB5" s="325"/>
      <c r="VAC5" s="325"/>
      <c r="VAD5" s="325"/>
      <c r="VAE5" s="325"/>
      <c r="VAF5" s="325"/>
      <c r="VAG5" s="325"/>
      <c r="VAH5" s="325"/>
      <c r="VAI5" s="325"/>
      <c r="VAJ5" s="325"/>
      <c r="VAK5" s="325"/>
      <c r="VAL5" s="325"/>
      <c r="VAM5" s="325"/>
      <c r="VAN5" s="325"/>
      <c r="VAO5" s="325"/>
      <c r="VAP5" s="325"/>
      <c r="VAQ5" s="325"/>
      <c r="VAR5" s="325"/>
      <c r="VAS5" s="325"/>
      <c r="VAT5" s="325"/>
      <c r="VAU5" s="325"/>
      <c r="VAV5" s="325"/>
      <c r="VAW5" s="325"/>
      <c r="VAX5" s="325"/>
      <c r="VAY5" s="325"/>
      <c r="VAZ5" s="325"/>
      <c r="VBA5" s="325"/>
      <c r="VBB5" s="325"/>
      <c r="VBC5" s="325"/>
      <c r="VBD5" s="325"/>
      <c r="VBE5" s="325"/>
      <c r="VBF5" s="325"/>
      <c r="VBG5" s="325"/>
      <c r="VBH5" s="325"/>
      <c r="VBI5" s="325"/>
      <c r="VBJ5" s="325"/>
      <c r="VBK5" s="325"/>
      <c r="VBL5" s="325"/>
      <c r="VBM5" s="325"/>
      <c r="VBN5" s="325"/>
      <c r="VBO5" s="325"/>
      <c r="VBP5" s="325"/>
      <c r="VBQ5" s="325"/>
      <c r="VBR5" s="325"/>
      <c r="VBS5" s="325"/>
      <c r="VBT5" s="325"/>
      <c r="VBU5" s="325"/>
      <c r="VBV5" s="325"/>
      <c r="VBW5" s="325"/>
      <c r="VBX5" s="325"/>
      <c r="VBY5" s="325"/>
      <c r="VBZ5" s="325"/>
      <c r="VCA5" s="325"/>
      <c r="VCB5" s="325"/>
      <c r="VCC5" s="325"/>
      <c r="VCD5" s="325"/>
      <c r="VCE5" s="325"/>
      <c r="VCF5" s="325"/>
      <c r="VCG5" s="325"/>
      <c r="VCH5" s="325"/>
      <c r="VCI5" s="325"/>
      <c r="VCJ5" s="325"/>
      <c r="VCK5" s="325"/>
      <c r="VCL5" s="325"/>
      <c r="VCM5" s="325"/>
      <c r="VCN5" s="325"/>
      <c r="VCO5" s="325"/>
      <c r="VCP5" s="325"/>
      <c r="VCQ5" s="325"/>
      <c r="VCR5" s="325"/>
      <c r="VCS5" s="325"/>
      <c r="VCT5" s="325"/>
      <c r="VCU5" s="325"/>
      <c r="VCV5" s="325"/>
      <c r="VCW5" s="325"/>
      <c r="VCX5" s="325"/>
      <c r="VCY5" s="325"/>
      <c r="VCZ5" s="325"/>
      <c r="VDA5" s="325"/>
      <c r="VDB5" s="325"/>
      <c r="VDC5" s="325"/>
      <c r="VDD5" s="325"/>
      <c r="VDE5" s="325"/>
      <c r="VDF5" s="325"/>
      <c r="VDG5" s="325"/>
      <c r="VDH5" s="325"/>
      <c r="VDI5" s="325"/>
      <c r="VDJ5" s="325"/>
      <c r="VDK5" s="325"/>
      <c r="VDL5" s="325"/>
      <c r="VDM5" s="325"/>
      <c r="VDN5" s="325"/>
      <c r="VDO5" s="325"/>
      <c r="VDP5" s="325"/>
      <c r="VDQ5" s="325"/>
      <c r="VDR5" s="325"/>
      <c r="VDS5" s="325"/>
      <c r="VDT5" s="325"/>
      <c r="VDU5" s="325"/>
      <c r="VDV5" s="325"/>
      <c r="VDW5" s="325"/>
      <c r="VDX5" s="325"/>
      <c r="VDY5" s="325"/>
      <c r="VDZ5" s="325"/>
      <c r="VEA5" s="325"/>
      <c r="VEB5" s="325"/>
      <c r="VEC5" s="325"/>
      <c r="VED5" s="325"/>
      <c r="VEE5" s="325"/>
      <c r="VEF5" s="325"/>
      <c r="VEG5" s="325"/>
      <c r="VEH5" s="325"/>
      <c r="VEI5" s="325"/>
      <c r="VEJ5" s="325"/>
      <c r="VEK5" s="325"/>
      <c r="VEL5" s="325"/>
      <c r="VEM5" s="325"/>
      <c r="VEN5" s="325"/>
      <c r="VEO5" s="325"/>
      <c r="VEP5" s="325"/>
      <c r="VEQ5" s="325"/>
      <c r="VER5" s="325"/>
      <c r="VES5" s="325"/>
      <c r="VET5" s="325"/>
      <c r="VEU5" s="325"/>
      <c r="VEV5" s="325"/>
      <c r="VEW5" s="325"/>
      <c r="VEX5" s="325"/>
      <c r="VEY5" s="325"/>
      <c r="VEZ5" s="325"/>
      <c r="VFA5" s="325"/>
      <c r="VFB5" s="325"/>
      <c r="VFC5" s="325"/>
      <c r="VFD5" s="325"/>
      <c r="VFE5" s="325"/>
      <c r="VFF5" s="325"/>
      <c r="VFG5" s="325"/>
      <c r="VFH5" s="325"/>
      <c r="VFI5" s="325"/>
      <c r="VFJ5" s="325"/>
      <c r="VFK5" s="325"/>
      <c r="VFL5" s="325"/>
      <c r="VFM5" s="325"/>
      <c r="VFN5" s="325"/>
      <c r="VFO5" s="325"/>
      <c r="VFP5" s="325"/>
      <c r="VFQ5" s="325"/>
      <c r="VFR5" s="325"/>
      <c r="VFS5" s="325"/>
      <c r="VFT5" s="325"/>
      <c r="VFU5" s="325"/>
      <c r="VFV5" s="325"/>
      <c r="VFW5" s="325"/>
      <c r="VFX5" s="325"/>
      <c r="VFY5" s="325"/>
      <c r="VFZ5" s="325"/>
      <c r="VGA5" s="325"/>
      <c r="VGB5" s="325"/>
      <c r="VGC5" s="325"/>
      <c r="VGD5" s="325"/>
      <c r="VGE5" s="325"/>
      <c r="VGF5" s="325"/>
      <c r="VGG5" s="325"/>
      <c r="VGH5" s="325"/>
      <c r="VGI5" s="325"/>
      <c r="VGJ5" s="325"/>
      <c r="VGK5" s="325"/>
      <c r="VGL5" s="325"/>
      <c r="VGM5" s="325"/>
      <c r="VGN5" s="325"/>
      <c r="VGO5" s="325"/>
      <c r="VGP5" s="325"/>
      <c r="VGQ5" s="325"/>
      <c r="VGR5" s="325"/>
      <c r="VGS5" s="325"/>
      <c r="VGT5" s="325"/>
      <c r="VGU5" s="325"/>
      <c r="VGV5" s="325"/>
      <c r="VGW5" s="325"/>
      <c r="VGX5" s="325"/>
      <c r="VGY5" s="325"/>
      <c r="VGZ5" s="325"/>
      <c r="VHA5" s="325"/>
      <c r="VHB5" s="325"/>
      <c r="VHC5" s="325"/>
      <c r="VHD5" s="325"/>
      <c r="VHE5" s="325"/>
      <c r="VHF5" s="325"/>
      <c r="VHG5" s="325"/>
      <c r="VHH5" s="325"/>
      <c r="VHI5" s="325"/>
      <c r="VHJ5" s="325"/>
      <c r="VHK5" s="325"/>
      <c r="VHL5" s="325"/>
      <c r="VHM5" s="325"/>
      <c r="VHN5" s="325"/>
      <c r="VHO5" s="325"/>
      <c r="VHP5" s="325"/>
      <c r="VHQ5" s="325"/>
      <c r="VHR5" s="325"/>
      <c r="VHS5" s="325"/>
      <c r="VHT5" s="325"/>
      <c r="VHU5" s="325"/>
      <c r="VHV5" s="325"/>
      <c r="VHW5" s="325"/>
      <c r="VHX5" s="325"/>
      <c r="VHY5" s="325"/>
      <c r="VHZ5" s="325"/>
      <c r="VIA5" s="325"/>
      <c r="VIB5" s="325"/>
      <c r="VIC5" s="325"/>
      <c r="VID5" s="325"/>
      <c r="VIE5" s="325"/>
      <c r="VIF5" s="325"/>
      <c r="VIG5" s="325"/>
      <c r="VIH5" s="325"/>
      <c r="VII5" s="325"/>
      <c r="VIJ5" s="325"/>
      <c r="VIK5" s="325"/>
      <c r="VIL5" s="325"/>
      <c r="VIM5" s="325"/>
      <c r="VIN5" s="325"/>
      <c r="VIO5" s="325"/>
      <c r="VIP5" s="325"/>
      <c r="VIQ5" s="325"/>
      <c r="VIR5" s="325"/>
      <c r="VIS5" s="325"/>
      <c r="VIT5" s="325"/>
      <c r="VIU5" s="325"/>
      <c r="VIV5" s="325"/>
      <c r="VIW5" s="325"/>
      <c r="VIX5" s="325"/>
      <c r="VIY5" s="325"/>
      <c r="VIZ5" s="325"/>
      <c r="VJA5" s="325"/>
      <c r="VJB5" s="325"/>
      <c r="VJC5" s="325"/>
      <c r="VJD5" s="325"/>
      <c r="VJE5" s="325"/>
      <c r="VJF5" s="325"/>
      <c r="VJG5" s="325"/>
      <c r="VJH5" s="325"/>
      <c r="VJI5" s="325"/>
      <c r="VJJ5" s="325"/>
      <c r="VJK5" s="325"/>
      <c r="VJL5" s="325"/>
      <c r="VJM5" s="325"/>
      <c r="VJN5" s="325"/>
      <c r="VJO5" s="325"/>
      <c r="VJP5" s="325"/>
      <c r="VJQ5" s="325"/>
      <c r="VJR5" s="325"/>
      <c r="VJS5" s="325"/>
      <c r="VJT5" s="325"/>
      <c r="VJU5" s="325"/>
      <c r="VJV5" s="325"/>
      <c r="VJW5" s="325"/>
      <c r="VJX5" s="325"/>
      <c r="VJY5" s="325"/>
      <c r="VJZ5" s="325"/>
      <c r="VKA5" s="325"/>
      <c r="VKB5" s="325"/>
      <c r="VKC5" s="325"/>
      <c r="VKD5" s="325"/>
      <c r="VKE5" s="325"/>
      <c r="VKF5" s="325"/>
      <c r="VKG5" s="325"/>
      <c r="VKH5" s="325"/>
      <c r="VKI5" s="325"/>
      <c r="VKJ5" s="325"/>
      <c r="VKK5" s="325"/>
      <c r="VKL5" s="325"/>
      <c r="VKM5" s="325"/>
      <c r="VKN5" s="325"/>
      <c r="VKO5" s="325"/>
      <c r="VKP5" s="325"/>
      <c r="VKQ5" s="325"/>
      <c r="VKR5" s="325"/>
      <c r="VKS5" s="325"/>
      <c r="VKT5" s="325"/>
      <c r="VKU5" s="325"/>
      <c r="VKV5" s="325"/>
      <c r="VKW5" s="325"/>
      <c r="VKX5" s="325"/>
      <c r="VKY5" s="325"/>
      <c r="VKZ5" s="325"/>
      <c r="VLA5" s="325"/>
      <c r="VLB5" s="325"/>
      <c r="VLC5" s="325"/>
      <c r="VLD5" s="325"/>
      <c r="VLE5" s="325"/>
      <c r="VLF5" s="325"/>
      <c r="VLG5" s="325"/>
      <c r="VLH5" s="325"/>
      <c r="VLI5" s="325"/>
      <c r="VLJ5" s="325"/>
      <c r="VLK5" s="325"/>
      <c r="VLL5" s="325"/>
      <c r="VLM5" s="325"/>
      <c r="VLN5" s="325"/>
      <c r="VLO5" s="325"/>
      <c r="VLP5" s="325"/>
      <c r="VLQ5" s="325"/>
      <c r="VLR5" s="325"/>
      <c r="VLS5" s="325"/>
      <c r="VLT5" s="325"/>
      <c r="VLU5" s="325"/>
      <c r="VLV5" s="325"/>
      <c r="VLW5" s="325"/>
      <c r="VLX5" s="325"/>
      <c r="VLY5" s="325"/>
      <c r="VLZ5" s="325"/>
      <c r="VMA5" s="325"/>
      <c r="VMB5" s="325"/>
      <c r="VMC5" s="325"/>
      <c r="VMD5" s="325"/>
      <c r="VME5" s="325"/>
      <c r="VMF5" s="325"/>
      <c r="VMG5" s="325"/>
      <c r="VMH5" s="325"/>
      <c r="VMI5" s="325"/>
      <c r="VMJ5" s="325"/>
      <c r="VMK5" s="325"/>
      <c r="VML5" s="325"/>
      <c r="VMM5" s="325"/>
      <c r="VMN5" s="325"/>
      <c r="VMO5" s="325"/>
      <c r="VMP5" s="325"/>
      <c r="VMQ5" s="325"/>
      <c r="VMR5" s="325"/>
      <c r="VMS5" s="325"/>
      <c r="VMT5" s="325"/>
      <c r="VMU5" s="325"/>
      <c r="VMV5" s="325"/>
      <c r="VMW5" s="325"/>
      <c r="VMX5" s="325"/>
      <c r="VMY5" s="325"/>
      <c r="VMZ5" s="325"/>
      <c r="VNA5" s="325"/>
      <c r="VNB5" s="325"/>
      <c r="VNC5" s="325"/>
      <c r="VND5" s="325"/>
      <c r="VNE5" s="325"/>
      <c r="VNF5" s="325"/>
      <c r="VNG5" s="325"/>
      <c r="VNH5" s="325"/>
      <c r="VNI5" s="325"/>
      <c r="VNJ5" s="325"/>
      <c r="VNK5" s="325"/>
      <c r="VNL5" s="325"/>
      <c r="VNM5" s="325"/>
      <c r="VNN5" s="325"/>
      <c r="VNO5" s="325"/>
      <c r="VNP5" s="325"/>
      <c r="VNQ5" s="325"/>
      <c r="VNR5" s="325"/>
      <c r="VNS5" s="325"/>
      <c r="VNT5" s="325"/>
      <c r="VNU5" s="325"/>
      <c r="VNV5" s="325"/>
      <c r="VNW5" s="325"/>
      <c r="VNX5" s="325"/>
      <c r="VNY5" s="325"/>
      <c r="VNZ5" s="325"/>
      <c r="VOA5" s="325"/>
      <c r="VOB5" s="325"/>
      <c r="VOC5" s="325"/>
      <c r="VOD5" s="325"/>
      <c r="VOE5" s="325"/>
      <c r="VOF5" s="325"/>
      <c r="VOG5" s="325"/>
      <c r="VOH5" s="325"/>
      <c r="VOI5" s="325"/>
      <c r="VOJ5" s="325"/>
      <c r="VOK5" s="325"/>
      <c r="VOL5" s="325"/>
      <c r="VOM5" s="325"/>
      <c r="VON5" s="325"/>
      <c r="VOO5" s="325"/>
      <c r="VOP5" s="325"/>
      <c r="VOQ5" s="325"/>
      <c r="VOR5" s="325"/>
      <c r="VOS5" s="325"/>
      <c r="VOT5" s="325"/>
      <c r="VOU5" s="325"/>
      <c r="VOV5" s="325"/>
      <c r="VOW5" s="325"/>
      <c r="VOX5" s="325"/>
      <c r="VOY5" s="325"/>
      <c r="VOZ5" s="325"/>
      <c r="VPA5" s="325"/>
      <c r="VPB5" s="325"/>
      <c r="VPC5" s="325"/>
      <c r="VPD5" s="325"/>
      <c r="VPE5" s="325"/>
      <c r="VPF5" s="325"/>
      <c r="VPG5" s="325"/>
      <c r="VPH5" s="325"/>
      <c r="VPI5" s="325"/>
      <c r="VPJ5" s="325"/>
      <c r="VPK5" s="325"/>
      <c r="VPL5" s="325"/>
      <c r="VPM5" s="325"/>
      <c r="VPN5" s="325"/>
      <c r="VPO5" s="325"/>
      <c r="VPP5" s="325"/>
      <c r="VPQ5" s="325"/>
      <c r="VPR5" s="325"/>
      <c r="VPS5" s="325"/>
      <c r="VPT5" s="325"/>
      <c r="VPU5" s="325"/>
      <c r="VPV5" s="325"/>
      <c r="VPW5" s="325"/>
      <c r="VPX5" s="325"/>
      <c r="VPY5" s="325"/>
      <c r="VPZ5" s="325"/>
      <c r="VQA5" s="325"/>
      <c r="VQB5" s="325"/>
      <c r="VQC5" s="325"/>
      <c r="VQD5" s="325"/>
      <c r="VQE5" s="325"/>
      <c r="VQF5" s="325"/>
      <c r="VQG5" s="325"/>
      <c r="VQH5" s="325"/>
      <c r="VQI5" s="325"/>
      <c r="VQJ5" s="325"/>
      <c r="VQK5" s="325"/>
      <c r="VQL5" s="325"/>
      <c r="VQM5" s="325"/>
      <c r="VQN5" s="325"/>
      <c r="VQO5" s="325"/>
      <c r="VQP5" s="325"/>
      <c r="VQQ5" s="325"/>
      <c r="VQR5" s="325"/>
      <c r="VQS5" s="325"/>
      <c r="VQT5" s="325"/>
      <c r="VQU5" s="325"/>
      <c r="VQV5" s="325"/>
      <c r="VQW5" s="325"/>
      <c r="VQX5" s="325"/>
      <c r="VQY5" s="325"/>
      <c r="VQZ5" s="325"/>
      <c r="VRA5" s="325"/>
      <c r="VRB5" s="325"/>
      <c r="VRC5" s="325"/>
      <c r="VRD5" s="325"/>
      <c r="VRE5" s="325"/>
      <c r="VRF5" s="325"/>
      <c r="VRG5" s="325"/>
      <c r="VRH5" s="325"/>
      <c r="VRI5" s="325"/>
      <c r="VRJ5" s="325"/>
      <c r="VRK5" s="325"/>
      <c r="VRL5" s="325"/>
      <c r="VRM5" s="325"/>
      <c r="VRN5" s="325"/>
      <c r="VRO5" s="325"/>
      <c r="VRP5" s="325"/>
      <c r="VRQ5" s="325"/>
      <c r="VRR5" s="325"/>
      <c r="VRS5" s="325"/>
      <c r="VRT5" s="325"/>
      <c r="VRU5" s="325"/>
      <c r="VRV5" s="325"/>
      <c r="VRW5" s="325"/>
      <c r="VRX5" s="325"/>
      <c r="VRY5" s="325"/>
      <c r="VRZ5" s="325"/>
      <c r="VSA5" s="325"/>
      <c r="VSB5" s="325"/>
      <c r="VSC5" s="325"/>
      <c r="VSD5" s="325"/>
      <c r="VSE5" s="325"/>
      <c r="VSF5" s="325"/>
      <c r="VSG5" s="325"/>
      <c r="VSH5" s="325"/>
      <c r="VSI5" s="325"/>
      <c r="VSJ5" s="325"/>
      <c r="VSK5" s="325"/>
      <c r="VSL5" s="325"/>
      <c r="VSM5" s="325"/>
      <c r="VSN5" s="325"/>
      <c r="VSO5" s="325"/>
      <c r="VSP5" s="325"/>
      <c r="VSQ5" s="325"/>
      <c r="VSR5" s="325"/>
      <c r="VSS5" s="325"/>
      <c r="VST5" s="325"/>
      <c r="VSU5" s="325"/>
      <c r="VSV5" s="325"/>
      <c r="VSW5" s="325"/>
      <c r="VSX5" s="325"/>
      <c r="VSY5" s="325"/>
      <c r="VSZ5" s="325"/>
      <c r="VTA5" s="325"/>
      <c r="VTB5" s="325"/>
      <c r="VTC5" s="325"/>
      <c r="VTD5" s="325"/>
      <c r="VTE5" s="325"/>
      <c r="VTF5" s="325"/>
      <c r="VTG5" s="325"/>
      <c r="VTH5" s="325"/>
      <c r="VTI5" s="325"/>
      <c r="VTJ5" s="325"/>
      <c r="VTK5" s="325"/>
      <c r="VTL5" s="325"/>
      <c r="VTM5" s="325"/>
      <c r="VTN5" s="325"/>
      <c r="VTO5" s="325"/>
      <c r="VTP5" s="325"/>
      <c r="VTQ5" s="325"/>
      <c r="VTR5" s="325"/>
      <c r="VTS5" s="325"/>
      <c r="VTT5" s="325"/>
      <c r="VTU5" s="325"/>
      <c r="VTV5" s="325"/>
      <c r="VTW5" s="325"/>
      <c r="VTX5" s="325"/>
      <c r="VTY5" s="325"/>
      <c r="VTZ5" s="325"/>
      <c r="VUA5" s="325"/>
      <c r="VUB5" s="325"/>
      <c r="VUC5" s="325"/>
      <c r="VUD5" s="325"/>
      <c r="VUE5" s="325"/>
      <c r="VUF5" s="325"/>
      <c r="VUG5" s="325"/>
      <c r="VUH5" s="325"/>
      <c r="VUI5" s="325"/>
      <c r="VUJ5" s="325"/>
      <c r="VUK5" s="325"/>
      <c r="VUL5" s="325"/>
      <c r="VUM5" s="325"/>
      <c r="VUN5" s="325"/>
      <c r="VUO5" s="325"/>
      <c r="VUP5" s="325"/>
      <c r="VUQ5" s="325"/>
      <c r="VUR5" s="325"/>
      <c r="VUS5" s="325"/>
      <c r="VUT5" s="325"/>
      <c r="VUU5" s="325"/>
      <c r="VUV5" s="325"/>
      <c r="VUW5" s="325"/>
      <c r="VUX5" s="325"/>
      <c r="VUY5" s="325"/>
      <c r="VUZ5" s="325"/>
      <c r="VVA5" s="325"/>
      <c r="VVB5" s="325"/>
      <c r="VVC5" s="325"/>
      <c r="VVD5" s="325"/>
      <c r="VVE5" s="325"/>
      <c r="VVF5" s="325"/>
      <c r="VVG5" s="325"/>
      <c r="VVH5" s="325"/>
      <c r="VVI5" s="325"/>
      <c r="VVJ5" s="325"/>
      <c r="VVK5" s="325"/>
      <c r="VVL5" s="325"/>
      <c r="VVM5" s="325"/>
      <c r="VVN5" s="325"/>
      <c r="VVO5" s="325"/>
      <c r="VVP5" s="325"/>
      <c r="VVQ5" s="325"/>
      <c r="VVR5" s="325"/>
      <c r="VVS5" s="325"/>
      <c r="VVT5" s="325"/>
      <c r="VVU5" s="325"/>
      <c r="VVV5" s="325"/>
      <c r="VVW5" s="325"/>
      <c r="VVX5" s="325"/>
      <c r="VVY5" s="325"/>
      <c r="VVZ5" s="325"/>
      <c r="VWA5" s="325"/>
      <c r="VWB5" s="325"/>
      <c r="VWC5" s="325"/>
      <c r="VWD5" s="325"/>
      <c r="VWE5" s="325"/>
      <c r="VWF5" s="325"/>
      <c r="VWG5" s="325"/>
      <c r="VWH5" s="325"/>
      <c r="VWI5" s="325"/>
      <c r="VWJ5" s="325"/>
      <c r="VWK5" s="325"/>
      <c r="VWL5" s="325"/>
      <c r="VWM5" s="325"/>
      <c r="VWN5" s="325"/>
      <c r="VWO5" s="325"/>
      <c r="VWP5" s="325"/>
      <c r="VWQ5" s="325"/>
      <c r="VWR5" s="325"/>
      <c r="VWS5" s="325"/>
      <c r="VWT5" s="325"/>
      <c r="VWU5" s="325"/>
      <c r="VWV5" s="325"/>
      <c r="VWW5" s="325"/>
      <c r="VWX5" s="325"/>
      <c r="VWY5" s="325"/>
      <c r="VWZ5" s="325"/>
      <c r="VXA5" s="325"/>
      <c r="VXB5" s="325"/>
      <c r="VXC5" s="325"/>
      <c r="VXD5" s="325"/>
      <c r="VXE5" s="325"/>
      <c r="VXF5" s="325"/>
      <c r="VXG5" s="325"/>
      <c r="VXH5" s="325"/>
      <c r="VXI5" s="325"/>
      <c r="VXJ5" s="325"/>
      <c r="VXK5" s="325"/>
      <c r="VXL5" s="325"/>
      <c r="VXM5" s="325"/>
      <c r="VXN5" s="325"/>
      <c r="VXO5" s="325"/>
      <c r="VXP5" s="325"/>
      <c r="VXQ5" s="325"/>
      <c r="VXR5" s="325"/>
      <c r="VXS5" s="325"/>
      <c r="VXT5" s="325"/>
      <c r="VXU5" s="325"/>
      <c r="VXV5" s="325"/>
      <c r="VXW5" s="325"/>
      <c r="VXX5" s="325"/>
      <c r="VXY5" s="325"/>
      <c r="VXZ5" s="325"/>
      <c r="VYA5" s="325"/>
      <c r="VYB5" s="325"/>
      <c r="VYC5" s="325"/>
      <c r="VYD5" s="325"/>
      <c r="VYE5" s="325"/>
      <c r="VYF5" s="325"/>
      <c r="VYG5" s="325"/>
      <c r="VYH5" s="325"/>
      <c r="VYI5" s="325"/>
      <c r="VYJ5" s="325"/>
      <c r="VYK5" s="325"/>
      <c r="VYL5" s="325"/>
      <c r="VYM5" s="325"/>
      <c r="VYN5" s="325"/>
      <c r="VYO5" s="325"/>
      <c r="VYP5" s="325"/>
      <c r="VYQ5" s="325"/>
      <c r="VYR5" s="325"/>
      <c r="VYS5" s="325"/>
      <c r="VYT5" s="325"/>
      <c r="VYU5" s="325"/>
      <c r="VYV5" s="325"/>
      <c r="VYW5" s="325"/>
      <c r="VYX5" s="325"/>
      <c r="VYY5" s="325"/>
      <c r="VYZ5" s="325"/>
      <c r="VZA5" s="325"/>
      <c r="VZB5" s="325"/>
      <c r="VZC5" s="325"/>
      <c r="VZD5" s="325"/>
      <c r="VZE5" s="325"/>
      <c r="VZF5" s="325"/>
      <c r="VZG5" s="325"/>
      <c r="VZH5" s="325"/>
      <c r="VZI5" s="325"/>
      <c r="VZJ5" s="325"/>
      <c r="VZK5" s="325"/>
      <c r="VZL5" s="325"/>
      <c r="VZM5" s="325"/>
      <c r="VZN5" s="325"/>
      <c r="VZO5" s="325"/>
      <c r="VZP5" s="325"/>
      <c r="VZQ5" s="325"/>
      <c r="VZR5" s="325"/>
      <c r="VZS5" s="325"/>
      <c r="VZT5" s="325"/>
      <c r="VZU5" s="325"/>
      <c r="VZV5" s="325"/>
      <c r="VZW5" s="325"/>
      <c r="VZX5" s="325"/>
      <c r="VZY5" s="325"/>
      <c r="VZZ5" s="325"/>
      <c r="WAA5" s="325"/>
      <c r="WAB5" s="325"/>
      <c r="WAC5" s="325"/>
      <c r="WAD5" s="325"/>
      <c r="WAE5" s="325"/>
      <c r="WAF5" s="325"/>
      <c r="WAG5" s="325"/>
      <c r="WAH5" s="325"/>
      <c r="WAI5" s="325"/>
      <c r="WAJ5" s="325"/>
      <c r="WAK5" s="325"/>
      <c r="WAL5" s="325"/>
      <c r="WAM5" s="325"/>
      <c r="WAN5" s="325"/>
      <c r="WAO5" s="325"/>
      <c r="WAP5" s="325"/>
      <c r="WAQ5" s="325"/>
      <c r="WAR5" s="325"/>
      <c r="WAS5" s="325"/>
      <c r="WAT5" s="325"/>
      <c r="WAU5" s="325"/>
      <c r="WAV5" s="325"/>
      <c r="WAW5" s="325"/>
      <c r="WAX5" s="325"/>
      <c r="WAY5" s="325"/>
      <c r="WAZ5" s="325"/>
      <c r="WBA5" s="325"/>
      <c r="WBB5" s="325"/>
      <c r="WBC5" s="325"/>
      <c r="WBD5" s="325"/>
      <c r="WBE5" s="325"/>
      <c r="WBF5" s="325"/>
      <c r="WBG5" s="325"/>
      <c r="WBH5" s="325"/>
      <c r="WBI5" s="325"/>
      <c r="WBJ5" s="325"/>
      <c r="WBK5" s="325"/>
      <c r="WBL5" s="325"/>
      <c r="WBM5" s="325"/>
      <c r="WBN5" s="325"/>
      <c r="WBO5" s="325"/>
      <c r="WBP5" s="325"/>
      <c r="WBQ5" s="325"/>
      <c r="WBR5" s="325"/>
      <c r="WBS5" s="325"/>
      <c r="WBT5" s="325"/>
      <c r="WBU5" s="325"/>
      <c r="WBV5" s="325"/>
      <c r="WBW5" s="325"/>
      <c r="WBX5" s="325"/>
      <c r="WBY5" s="325"/>
      <c r="WBZ5" s="325"/>
      <c r="WCA5" s="325"/>
      <c r="WCB5" s="325"/>
      <c r="WCC5" s="325"/>
      <c r="WCD5" s="325"/>
      <c r="WCE5" s="325"/>
      <c r="WCF5" s="325"/>
      <c r="WCG5" s="325"/>
      <c r="WCH5" s="325"/>
      <c r="WCI5" s="325"/>
      <c r="WCJ5" s="325"/>
      <c r="WCK5" s="325"/>
      <c r="WCL5" s="325"/>
      <c r="WCM5" s="325"/>
      <c r="WCN5" s="325"/>
      <c r="WCO5" s="325"/>
      <c r="WCP5" s="325"/>
      <c r="WCQ5" s="325"/>
      <c r="WCR5" s="325"/>
      <c r="WCS5" s="325"/>
      <c r="WCT5" s="325"/>
      <c r="WCU5" s="325"/>
      <c r="WCV5" s="325"/>
      <c r="WCW5" s="325"/>
      <c r="WCX5" s="325"/>
      <c r="WCY5" s="325"/>
      <c r="WCZ5" s="325"/>
      <c r="WDA5" s="325"/>
      <c r="WDB5" s="325"/>
      <c r="WDC5" s="325"/>
      <c r="WDD5" s="325"/>
      <c r="WDE5" s="325"/>
      <c r="WDF5" s="325"/>
      <c r="WDG5" s="325"/>
      <c r="WDH5" s="325"/>
      <c r="WDI5" s="325"/>
      <c r="WDJ5" s="325"/>
      <c r="WDK5" s="325"/>
      <c r="WDL5" s="325"/>
      <c r="WDM5" s="325"/>
      <c r="WDN5" s="325"/>
      <c r="WDO5" s="325"/>
      <c r="WDP5" s="325"/>
      <c r="WDQ5" s="325"/>
      <c r="WDR5" s="325"/>
      <c r="WDS5" s="325"/>
      <c r="WDT5" s="325"/>
      <c r="WDU5" s="325"/>
      <c r="WDV5" s="325"/>
      <c r="WDW5" s="325"/>
      <c r="WDX5" s="325"/>
      <c r="WDY5" s="325"/>
      <c r="WDZ5" s="325"/>
      <c r="WEA5" s="325"/>
      <c r="WEB5" s="325"/>
      <c r="WEC5" s="325"/>
      <c r="WED5" s="325"/>
      <c r="WEE5" s="325"/>
      <c r="WEF5" s="325"/>
      <c r="WEG5" s="325"/>
      <c r="WEH5" s="325"/>
      <c r="WEI5" s="325"/>
      <c r="WEJ5" s="325"/>
      <c r="WEK5" s="325"/>
      <c r="WEL5" s="325"/>
      <c r="WEM5" s="325"/>
      <c r="WEN5" s="325"/>
      <c r="WEO5" s="325"/>
      <c r="WEP5" s="325"/>
      <c r="WEQ5" s="325"/>
      <c r="WER5" s="325"/>
      <c r="WES5" s="325"/>
      <c r="WET5" s="325"/>
      <c r="WEU5" s="325"/>
      <c r="WEV5" s="325"/>
      <c r="WEW5" s="325"/>
      <c r="WEX5" s="325"/>
      <c r="WEY5" s="325"/>
      <c r="WEZ5" s="325"/>
      <c r="WFA5" s="325"/>
      <c r="WFB5" s="325"/>
      <c r="WFC5" s="325"/>
      <c r="WFD5" s="325"/>
      <c r="WFE5" s="325"/>
      <c r="WFF5" s="325"/>
      <c r="WFG5" s="325"/>
      <c r="WFH5" s="325"/>
      <c r="WFI5" s="325"/>
      <c r="WFJ5" s="325"/>
      <c r="WFK5" s="325"/>
      <c r="WFL5" s="325"/>
      <c r="WFM5" s="325"/>
      <c r="WFN5" s="325"/>
      <c r="WFO5" s="325"/>
      <c r="WFP5" s="325"/>
      <c r="WFQ5" s="325"/>
      <c r="WFR5" s="325"/>
      <c r="WFS5" s="325"/>
      <c r="WFT5" s="325"/>
      <c r="WFU5" s="325"/>
      <c r="WFV5" s="325"/>
      <c r="WFW5" s="325"/>
      <c r="WFX5" s="325"/>
      <c r="WFY5" s="325"/>
      <c r="WFZ5" s="325"/>
      <c r="WGA5" s="325"/>
      <c r="WGB5" s="325"/>
      <c r="WGC5" s="325"/>
      <c r="WGD5" s="325"/>
      <c r="WGE5" s="325"/>
      <c r="WGF5" s="325"/>
      <c r="WGG5" s="325"/>
      <c r="WGH5" s="325"/>
      <c r="WGI5" s="325"/>
      <c r="WGJ5" s="325"/>
      <c r="WGK5" s="325"/>
      <c r="WGL5" s="325"/>
      <c r="WGM5" s="325"/>
      <c r="WGN5" s="325"/>
      <c r="WGO5" s="325"/>
      <c r="WGP5" s="325"/>
      <c r="WGQ5" s="325"/>
      <c r="WGR5" s="325"/>
      <c r="WGS5" s="325"/>
      <c r="WGT5" s="325"/>
      <c r="WGU5" s="325"/>
      <c r="WGV5" s="325"/>
      <c r="WGW5" s="325"/>
      <c r="WGX5" s="325"/>
      <c r="WGY5" s="325"/>
      <c r="WGZ5" s="325"/>
      <c r="WHA5" s="325"/>
      <c r="WHB5" s="325"/>
      <c r="WHC5" s="325"/>
      <c r="WHD5" s="325"/>
      <c r="WHE5" s="325"/>
      <c r="WHF5" s="325"/>
      <c r="WHG5" s="325"/>
      <c r="WHH5" s="325"/>
      <c r="WHI5" s="325"/>
      <c r="WHJ5" s="325"/>
      <c r="WHK5" s="325"/>
      <c r="WHL5" s="325"/>
      <c r="WHM5" s="325"/>
      <c r="WHN5" s="325"/>
      <c r="WHO5" s="325"/>
      <c r="WHP5" s="325"/>
      <c r="WHQ5" s="325"/>
      <c r="WHR5" s="325"/>
      <c r="WHS5" s="325"/>
      <c r="WHT5" s="325"/>
      <c r="WHU5" s="325"/>
      <c r="WHV5" s="325"/>
      <c r="WHW5" s="325"/>
      <c r="WHX5" s="325"/>
      <c r="WHY5" s="325"/>
      <c r="WHZ5" s="325"/>
      <c r="WIA5" s="325"/>
      <c r="WIB5" s="325"/>
      <c r="WIC5" s="325"/>
      <c r="WID5" s="325"/>
      <c r="WIE5" s="325"/>
      <c r="WIF5" s="325"/>
      <c r="WIG5" s="325"/>
      <c r="WIH5" s="325"/>
      <c r="WII5" s="325"/>
      <c r="WIJ5" s="325"/>
      <c r="WIK5" s="325"/>
      <c r="WIL5" s="325"/>
      <c r="WIM5" s="325"/>
      <c r="WIN5" s="325"/>
      <c r="WIO5" s="325"/>
      <c r="WIP5" s="325"/>
      <c r="WIQ5" s="325"/>
      <c r="WIR5" s="325"/>
      <c r="WIS5" s="325"/>
      <c r="WIT5" s="325"/>
      <c r="WIU5" s="325"/>
      <c r="WIV5" s="325"/>
      <c r="WIW5" s="325"/>
      <c r="WIX5" s="325"/>
      <c r="WIY5" s="325"/>
      <c r="WIZ5" s="325"/>
      <c r="WJA5" s="325"/>
      <c r="WJB5" s="325"/>
      <c r="WJC5" s="325"/>
      <c r="WJD5" s="325"/>
      <c r="WJE5" s="325"/>
      <c r="WJF5" s="325"/>
      <c r="WJG5" s="325"/>
      <c r="WJH5" s="325"/>
      <c r="WJI5" s="325"/>
      <c r="WJJ5" s="325"/>
      <c r="WJK5" s="325"/>
      <c r="WJL5" s="325"/>
      <c r="WJM5" s="325"/>
      <c r="WJN5" s="325"/>
      <c r="WJO5" s="325"/>
      <c r="WJP5" s="325"/>
      <c r="WJQ5" s="325"/>
      <c r="WJR5" s="325"/>
      <c r="WJS5" s="325"/>
      <c r="WJT5" s="325"/>
      <c r="WJU5" s="325"/>
      <c r="WJV5" s="325"/>
      <c r="WJW5" s="325"/>
      <c r="WJX5" s="325"/>
      <c r="WJY5" s="325"/>
      <c r="WJZ5" s="325"/>
      <c r="WKA5" s="325"/>
      <c r="WKB5" s="325"/>
      <c r="WKC5" s="325"/>
      <c r="WKD5" s="325"/>
      <c r="WKE5" s="325"/>
      <c r="WKF5" s="325"/>
      <c r="WKG5" s="325"/>
      <c r="WKH5" s="325"/>
      <c r="WKI5" s="325"/>
      <c r="WKJ5" s="325"/>
      <c r="WKK5" s="325"/>
      <c r="WKL5" s="325"/>
      <c r="WKM5" s="325"/>
      <c r="WKN5" s="325"/>
      <c r="WKO5" s="325"/>
      <c r="WKP5" s="325"/>
      <c r="WKQ5" s="325"/>
      <c r="WKR5" s="325"/>
      <c r="WKS5" s="325"/>
      <c r="WKT5" s="325"/>
      <c r="WKU5" s="325"/>
      <c r="WKV5" s="325"/>
      <c r="WKW5" s="325"/>
      <c r="WKX5" s="325"/>
      <c r="WKY5" s="325"/>
      <c r="WKZ5" s="325"/>
      <c r="WLA5" s="325"/>
      <c r="WLB5" s="325"/>
      <c r="WLC5" s="325"/>
      <c r="WLD5" s="325"/>
      <c r="WLE5" s="325"/>
      <c r="WLF5" s="325"/>
      <c r="WLG5" s="325"/>
      <c r="WLH5" s="325"/>
      <c r="WLI5" s="325"/>
      <c r="WLJ5" s="325"/>
      <c r="WLK5" s="325"/>
      <c r="WLL5" s="325"/>
      <c r="WLM5" s="325"/>
      <c r="WLN5" s="325"/>
      <c r="WLO5" s="325"/>
      <c r="WLP5" s="325"/>
      <c r="WLQ5" s="325"/>
      <c r="WLR5" s="325"/>
      <c r="WLS5" s="325"/>
      <c r="WLT5" s="325"/>
      <c r="WLU5" s="325"/>
      <c r="WLV5" s="325"/>
      <c r="WLW5" s="325"/>
      <c r="WLX5" s="325"/>
      <c r="WLY5" s="325"/>
      <c r="WLZ5" s="325"/>
      <c r="WMA5" s="325"/>
      <c r="WMB5" s="325"/>
      <c r="WMC5" s="325"/>
      <c r="WMD5" s="325"/>
      <c r="WME5" s="325"/>
      <c r="WMF5" s="325"/>
      <c r="WMG5" s="325"/>
      <c r="WMH5" s="325"/>
      <c r="WMI5" s="325"/>
      <c r="WMJ5" s="325"/>
      <c r="WMK5" s="325"/>
      <c r="WML5" s="325"/>
      <c r="WMM5" s="325"/>
      <c r="WMN5" s="325"/>
      <c r="WMO5" s="325"/>
      <c r="WMP5" s="325"/>
      <c r="WMQ5" s="325"/>
      <c r="WMR5" s="325"/>
      <c r="WMS5" s="325"/>
      <c r="WMT5" s="325"/>
      <c r="WMU5" s="325"/>
      <c r="WMV5" s="325"/>
      <c r="WMW5" s="325"/>
      <c r="WMX5" s="325"/>
      <c r="WMY5" s="325"/>
      <c r="WMZ5" s="325"/>
      <c r="WNA5" s="325"/>
      <c r="WNB5" s="325"/>
      <c r="WNC5" s="325"/>
      <c r="WND5" s="325"/>
      <c r="WNE5" s="325"/>
      <c r="WNF5" s="325"/>
      <c r="WNG5" s="325"/>
      <c r="WNH5" s="325"/>
      <c r="WNI5" s="325"/>
      <c r="WNJ5" s="325"/>
      <c r="WNK5" s="325"/>
      <c r="WNL5" s="325"/>
      <c r="WNM5" s="325"/>
      <c r="WNN5" s="325"/>
      <c r="WNO5" s="325"/>
      <c r="WNP5" s="325"/>
      <c r="WNQ5" s="325"/>
      <c r="WNR5" s="325"/>
      <c r="WNS5" s="325"/>
      <c r="WNT5" s="325"/>
      <c r="WNU5" s="325"/>
      <c r="WNV5" s="325"/>
      <c r="WNW5" s="325"/>
      <c r="WNX5" s="325"/>
      <c r="WNY5" s="325"/>
      <c r="WNZ5" s="325"/>
      <c r="WOA5" s="325"/>
      <c r="WOB5" s="325"/>
      <c r="WOC5" s="325"/>
      <c r="WOD5" s="325"/>
      <c r="WOE5" s="325"/>
      <c r="WOF5" s="325"/>
      <c r="WOG5" s="325"/>
      <c r="WOH5" s="325"/>
      <c r="WOI5" s="325"/>
      <c r="WOJ5" s="325"/>
      <c r="WOK5" s="325"/>
      <c r="WOL5" s="325"/>
      <c r="WOM5" s="325"/>
      <c r="WON5" s="325"/>
      <c r="WOO5" s="325"/>
      <c r="WOP5" s="325"/>
      <c r="WOQ5" s="325"/>
      <c r="WOR5" s="325"/>
      <c r="WOS5" s="325"/>
      <c r="WOT5" s="325"/>
      <c r="WOU5" s="325"/>
      <c r="WOV5" s="325"/>
      <c r="WOW5" s="325"/>
      <c r="WOX5" s="325"/>
      <c r="WOY5" s="325"/>
      <c r="WOZ5" s="325"/>
      <c r="WPA5" s="325"/>
      <c r="WPB5" s="325"/>
      <c r="WPC5" s="325"/>
      <c r="WPD5" s="325"/>
      <c r="WPE5" s="325"/>
      <c r="WPF5" s="325"/>
      <c r="WPG5" s="325"/>
      <c r="WPH5" s="325"/>
      <c r="WPI5" s="325"/>
      <c r="WPJ5" s="325"/>
      <c r="WPK5" s="325"/>
      <c r="WPL5" s="325"/>
      <c r="WPM5" s="325"/>
      <c r="WPN5" s="325"/>
      <c r="WPO5" s="325"/>
      <c r="WPP5" s="325"/>
      <c r="WPQ5" s="325"/>
      <c r="WPR5" s="325"/>
      <c r="WPS5" s="325"/>
      <c r="WPT5" s="325"/>
      <c r="WPU5" s="325"/>
      <c r="WPV5" s="325"/>
      <c r="WPW5" s="325"/>
      <c r="WPX5" s="325"/>
      <c r="WPY5" s="325"/>
      <c r="WPZ5" s="325"/>
      <c r="WQA5" s="325"/>
      <c r="WQB5" s="325"/>
      <c r="WQC5" s="325"/>
      <c r="WQD5" s="325"/>
      <c r="WQE5" s="325"/>
      <c r="WQF5" s="325"/>
      <c r="WQG5" s="325"/>
      <c r="WQH5" s="325"/>
      <c r="WQI5" s="325"/>
      <c r="WQJ5" s="325"/>
      <c r="WQK5" s="325"/>
      <c r="WQL5" s="325"/>
      <c r="WQM5" s="325"/>
      <c r="WQN5" s="325"/>
      <c r="WQO5" s="325"/>
      <c r="WQP5" s="325"/>
      <c r="WQQ5" s="325"/>
      <c r="WQR5" s="325"/>
      <c r="WQS5" s="325"/>
      <c r="WQT5" s="325"/>
      <c r="WQU5" s="325"/>
      <c r="WQV5" s="325"/>
      <c r="WQW5" s="325"/>
      <c r="WQX5" s="325"/>
      <c r="WQY5" s="325"/>
      <c r="WQZ5" s="325"/>
      <c r="WRA5" s="325"/>
      <c r="WRB5" s="325"/>
      <c r="WRC5" s="325"/>
      <c r="WRD5" s="325"/>
      <c r="WRE5" s="325"/>
      <c r="WRF5" s="325"/>
      <c r="WRG5" s="325"/>
      <c r="WRH5" s="325"/>
      <c r="WRI5" s="325"/>
      <c r="WRJ5" s="325"/>
      <c r="WRK5" s="325"/>
      <c r="WRL5" s="325"/>
      <c r="WRM5" s="325"/>
      <c r="WRN5" s="325"/>
      <c r="WRO5" s="325"/>
      <c r="WRP5" s="325"/>
      <c r="WRQ5" s="325"/>
      <c r="WRR5" s="325"/>
      <c r="WRS5" s="325"/>
      <c r="WRT5" s="325"/>
      <c r="WRU5" s="325"/>
      <c r="WRV5" s="325"/>
      <c r="WRW5" s="325"/>
      <c r="WRX5" s="325"/>
      <c r="WRY5" s="325"/>
      <c r="WRZ5" s="325"/>
      <c r="WSA5" s="325"/>
      <c r="WSB5" s="325"/>
      <c r="WSC5" s="325"/>
      <c r="WSD5" s="325"/>
      <c r="WSE5" s="325"/>
      <c r="WSF5" s="325"/>
      <c r="WSG5" s="325"/>
      <c r="WSH5" s="325"/>
      <c r="WSI5" s="325"/>
      <c r="WSJ5" s="325"/>
      <c r="WSK5" s="325"/>
      <c r="WSL5" s="325"/>
      <c r="WSM5" s="325"/>
      <c r="WSN5" s="325"/>
      <c r="WSO5" s="325"/>
      <c r="WSP5" s="325"/>
      <c r="WSQ5" s="325"/>
      <c r="WSR5" s="325"/>
      <c r="WSS5" s="325"/>
      <c r="WST5" s="325"/>
      <c r="WSU5" s="325"/>
      <c r="WSV5" s="325"/>
      <c r="WSW5" s="325"/>
      <c r="WSX5" s="325"/>
      <c r="WSY5" s="325"/>
      <c r="WSZ5" s="325"/>
      <c r="WTA5" s="325"/>
      <c r="WTB5" s="325"/>
      <c r="WTC5" s="325"/>
      <c r="WTD5" s="325"/>
      <c r="WTE5" s="325"/>
      <c r="WTF5" s="325"/>
      <c r="WTG5" s="325"/>
      <c r="WTH5" s="325"/>
      <c r="WTI5" s="325"/>
      <c r="WTJ5" s="325"/>
      <c r="WTK5" s="325"/>
      <c r="WTL5" s="325"/>
      <c r="WTM5" s="325"/>
      <c r="WTN5" s="325"/>
      <c r="WTO5" s="325"/>
      <c r="WTP5" s="325"/>
      <c r="WTQ5" s="325"/>
      <c r="WTR5" s="325"/>
      <c r="WTS5" s="325"/>
      <c r="WTT5" s="325"/>
      <c r="WTU5" s="325"/>
      <c r="WTV5" s="325"/>
      <c r="WTW5" s="325"/>
      <c r="WTX5" s="325"/>
      <c r="WTY5" s="325"/>
      <c r="WTZ5" s="325"/>
      <c r="WUA5" s="325"/>
      <c r="WUB5" s="325"/>
      <c r="WUC5" s="325"/>
      <c r="WUD5" s="325"/>
      <c r="WUE5" s="325"/>
      <c r="WUF5" s="325"/>
      <c r="WUG5" s="325"/>
      <c r="WUH5" s="325"/>
      <c r="WUI5" s="325"/>
      <c r="WUJ5" s="325"/>
      <c r="WUK5" s="325"/>
      <c r="WUL5" s="325"/>
      <c r="WUM5" s="325"/>
      <c r="WUN5" s="325"/>
      <c r="WUO5" s="325"/>
      <c r="WUP5" s="325"/>
      <c r="WUQ5" s="325"/>
      <c r="WUR5" s="325"/>
      <c r="WUS5" s="325"/>
      <c r="WUT5" s="325"/>
      <c r="WUU5" s="325"/>
      <c r="WUV5" s="325"/>
      <c r="WUW5" s="325"/>
      <c r="WUX5" s="325"/>
      <c r="WUY5" s="325"/>
      <c r="WUZ5" s="325"/>
      <c r="WVA5" s="325"/>
      <c r="WVB5" s="325"/>
      <c r="WVC5" s="325"/>
      <c r="WVD5" s="325"/>
      <c r="WVE5" s="325"/>
      <c r="WVF5" s="325"/>
      <c r="WVG5" s="325"/>
      <c r="WVH5" s="325"/>
      <c r="WVI5" s="325"/>
      <c r="WVJ5" s="325"/>
      <c r="WVK5" s="325"/>
      <c r="WVL5" s="325"/>
      <c r="WVM5" s="325"/>
      <c r="WVN5" s="325"/>
      <c r="WVO5" s="325"/>
      <c r="WVP5" s="325"/>
      <c r="WVQ5" s="325"/>
      <c r="WVR5" s="325"/>
      <c r="WVS5" s="325"/>
      <c r="WVT5" s="325"/>
      <c r="WVU5" s="325"/>
      <c r="WVV5" s="325"/>
      <c r="WVW5" s="325"/>
      <c r="WVX5" s="325"/>
      <c r="WVY5" s="325"/>
      <c r="WVZ5" s="325"/>
      <c r="WWA5" s="325"/>
      <c r="WWB5" s="325"/>
      <c r="WWC5" s="325"/>
      <c r="WWD5" s="325"/>
      <c r="WWE5" s="325"/>
      <c r="WWF5" s="325"/>
      <c r="WWG5" s="325"/>
      <c r="WWH5" s="325"/>
      <c r="WWI5" s="325"/>
      <c r="WWJ5" s="325"/>
      <c r="WWK5" s="325"/>
      <c r="WWL5" s="325"/>
      <c r="WWM5" s="325"/>
      <c r="WWN5" s="325"/>
      <c r="WWO5" s="325"/>
      <c r="WWP5" s="325"/>
      <c r="WWQ5" s="325"/>
      <c r="WWR5" s="325"/>
      <c r="WWS5" s="325"/>
      <c r="WWT5" s="325"/>
      <c r="WWU5" s="325"/>
      <c r="WWV5" s="325"/>
      <c r="WWW5" s="325"/>
      <c r="WWX5" s="325"/>
      <c r="WWY5" s="325"/>
      <c r="WWZ5" s="325"/>
      <c r="WXA5" s="325"/>
      <c r="WXB5" s="325"/>
      <c r="WXC5" s="325"/>
      <c r="WXD5" s="325"/>
      <c r="WXE5" s="325"/>
      <c r="WXF5" s="325"/>
      <c r="WXG5" s="325"/>
      <c r="WXH5" s="325"/>
      <c r="WXI5" s="325"/>
      <c r="WXJ5" s="325"/>
      <c r="WXK5" s="325"/>
      <c r="WXL5" s="325"/>
      <c r="WXM5" s="325"/>
      <c r="WXN5" s="325"/>
      <c r="WXO5" s="325"/>
      <c r="WXP5" s="325"/>
      <c r="WXQ5" s="325"/>
      <c r="WXR5" s="325"/>
      <c r="WXS5" s="325"/>
      <c r="WXT5" s="325"/>
      <c r="WXU5" s="325"/>
      <c r="WXV5" s="325"/>
      <c r="WXW5" s="325"/>
      <c r="WXX5" s="325"/>
      <c r="WXY5" s="325"/>
      <c r="WXZ5" s="325"/>
      <c r="WYA5" s="325"/>
      <c r="WYB5" s="325"/>
      <c r="WYC5" s="325"/>
      <c r="WYD5" s="325"/>
      <c r="WYE5" s="325"/>
      <c r="WYF5" s="325"/>
      <c r="WYG5" s="325"/>
      <c r="WYH5" s="325"/>
      <c r="WYI5" s="325"/>
      <c r="WYJ5" s="325"/>
      <c r="WYK5" s="325"/>
      <c r="WYL5" s="325"/>
      <c r="WYM5" s="325"/>
      <c r="WYN5" s="325"/>
      <c r="WYO5" s="325"/>
      <c r="WYP5" s="325"/>
      <c r="WYQ5" s="325"/>
      <c r="WYR5" s="325"/>
      <c r="WYS5" s="325"/>
      <c r="WYT5" s="325"/>
      <c r="WYU5" s="325"/>
      <c r="WYV5" s="325"/>
      <c r="WYW5" s="325"/>
      <c r="WYX5" s="325"/>
      <c r="WYY5" s="325"/>
      <c r="WYZ5" s="325"/>
      <c r="WZA5" s="325"/>
      <c r="WZB5" s="325"/>
      <c r="WZC5" s="325"/>
      <c r="WZD5" s="325"/>
      <c r="WZE5" s="325"/>
      <c r="WZF5" s="325"/>
      <c r="WZG5" s="325"/>
      <c r="WZH5" s="325"/>
      <c r="WZI5" s="325"/>
      <c r="WZJ5" s="325"/>
      <c r="WZK5" s="325"/>
      <c r="WZL5" s="325"/>
      <c r="WZM5" s="325"/>
      <c r="WZN5" s="325"/>
      <c r="WZO5" s="325"/>
      <c r="WZP5" s="325"/>
      <c r="WZQ5" s="325"/>
      <c r="WZR5" s="325"/>
      <c r="WZS5" s="325"/>
      <c r="WZT5" s="325"/>
      <c r="WZU5" s="325"/>
      <c r="WZV5" s="325"/>
      <c r="WZW5" s="325"/>
      <c r="WZX5" s="325"/>
      <c r="WZY5" s="325"/>
      <c r="WZZ5" s="325"/>
      <c r="XAA5" s="325"/>
      <c r="XAB5" s="325"/>
      <c r="XAC5" s="325"/>
      <c r="XAD5" s="325"/>
      <c r="XAE5" s="325"/>
      <c r="XAF5" s="325"/>
      <c r="XAG5" s="325"/>
      <c r="XAH5" s="325"/>
      <c r="XAI5" s="325"/>
      <c r="XAJ5" s="325"/>
      <c r="XAK5" s="325"/>
      <c r="XAL5" s="325"/>
      <c r="XAM5" s="325"/>
      <c r="XAN5" s="325"/>
      <c r="XAO5" s="325"/>
      <c r="XAP5" s="325"/>
      <c r="XAQ5" s="325"/>
      <c r="XAR5" s="325"/>
      <c r="XAS5" s="325"/>
      <c r="XAT5" s="325"/>
      <c r="XAU5" s="325"/>
      <c r="XAV5" s="325"/>
      <c r="XAW5" s="325"/>
      <c r="XAX5" s="325"/>
      <c r="XAY5" s="325"/>
      <c r="XAZ5" s="325"/>
      <c r="XBA5" s="325"/>
      <c r="XBB5" s="325"/>
      <c r="XBC5" s="325"/>
      <c r="XBD5" s="325"/>
      <c r="XBE5" s="325"/>
      <c r="XBF5" s="325"/>
      <c r="XBG5" s="325"/>
      <c r="XBH5" s="325"/>
      <c r="XBI5" s="325"/>
      <c r="XBJ5" s="325"/>
      <c r="XBK5" s="325"/>
      <c r="XBL5" s="325"/>
      <c r="XBM5" s="325"/>
      <c r="XBN5" s="325"/>
      <c r="XBO5" s="325"/>
      <c r="XBP5" s="325"/>
      <c r="XBQ5" s="325"/>
      <c r="XBR5" s="325"/>
      <c r="XBS5" s="325"/>
      <c r="XBT5" s="325"/>
      <c r="XBU5" s="325"/>
      <c r="XBV5" s="325"/>
      <c r="XBW5" s="325"/>
      <c r="XBX5" s="325"/>
      <c r="XBY5" s="325"/>
      <c r="XBZ5" s="325"/>
      <c r="XCA5" s="325"/>
      <c r="XCB5" s="325"/>
      <c r="XCC5" s="325"/>
      <c r="XCD5" s="325"/>
      <c r="XCE5" s="325"/>
      <c r="XCF5" s="325"/>
      <c r="XCG5" s="325"/>
      <c r="XCH5" s="325"/>
      <c r="XCI5" s="325"/>
      <c r="XCJ5" s="325"/>
      <c r="XCK5" s="325"/>
      <c r="XCL5" s="325"/>
      <c r="XCM5" s="325"/>
      <c r="XCN5" s="325"/>
      <c r="XCO5" s="325"/>
      <c r="XCP5" s="325"/>
      <c r="XCQ5" s="325"/>
      <c r="XCR5" s="325"/>
      <c r="XCS5" s="325"/>
      <c r="XCT5" s="325"/>
      <c r="XCU5" s="325"/>
      <c r="XCV5" s="325"/>
      <c r="XCW5" s="325"/>
      <c r="XCX5" s="325"/>
      <c r="XCY5" s="325"/>
      <c r="XCZ5" s="325"/>
      <c r="XDA5" s="325"/>
      <c r="XDB5" s="325"/>
      <c r="XDC5" s="325"/>
      <c r="XDD5" s="325"/>
      <c r="XDE5" s="325"/>
      <c r="XDF5" s="325"/>
      <c r="XDG5" s="325"/>
      <c r="XDH5" s="325"/>
      <c r="XDI5" s="325"/>
      <c r="XDJ5" s="325"/>
      <c r="XDK5" s="325"/>
      <c r="XDL5" s="325"/>
      <c r="XDM5" s="325"/>
      <c r="XDN5" s="325"/>
      <c r="XDO5" s="325"/>
      <c r="XDP5" s="325"/>
      <c r="XDQ5" s="325"/>
      <c r="XDR5" s="325"/>
      <c r="XDS5" s="325"/>
      <c r="XDT5" s="325"/>
      <c r="XDU5" s="325"/>
      <c r="XDV5" s="325"/>
      <c r="XDW5" s="325"/>
      <c r="XDX5" s="325"/>
      <c r="XDY5" s="325"/>
      <c r="XDZ5" s="325"/>
      <c r="XEA5" s="325"/>
      <c r="XEB5" s="325"/>
      <c r="XEC5" s="325"/>
      <c r="XED5" s="325"/>
      <c r="XEE5" s="325"/>
      <c r="XEF5" s="325"/>
      <c r="XEG5" s="325"/>
      <c r="XEH5" s="325"/>
      <c r="XEI5" s="325"/>
      <c r="XEJ5" s="325"/>
      <c r="XEK5" s="325"/>
      <c r="XEL5" s="325"/>
      <c r="XEM5" s="325"/>
      <c r="XEN5" s="325"/>
      <c r="XEO5" s="325"/>
      <c r="XEP5" s="325"/>
      <c r="XEQ5" s="325"/>
      <c r="XER5" s="325"/>
      <c r="XES5" s="325"/>
      <c r="XET5" s="325"/>
      <c r="XEU5" s="325"/>
      <c r="XEV5" s="325"/>
      <c r="XEW5" s="325"/>
      <c r="XEX5" s="325"/>
    </row>
    <row r="6" spans="1:16378" x14ac:dyDescent="0.25">
      <c r="A6" s="229">
        <v>45861</v>
      </c>
      <c r="B6" s="86" t="s">
        <v>63</v>
      </c>
      <c r="C6" s="464" t="str">
        <f>VLOOKUP(Table2[[#This Row],[Course Title]],'TSD-Data'!$A$1:$E$70,2,FALSE)</f>
        <v>A-493-2501</v>
      </c>
      <c r="D6" s="464" t="str">
        <f>VLOOKUP(Table2[[#This Row],[Course Title]],'TSD-Data'!$A$1:$E$70,3,FALSE)</f>
        <v>05ZE</v>
      </c>
      <c r="E6" s="86" t="s">
        <v>166</v>
      </c>
      <c r="F6" s="80">
        <v>46252</v>
      </c>
      <c r="G6" s="80">
        <v>46254</v>
      </c>
      <c r="H6" s="471" t="s">
        <v>167</v>
      </c>
      <c r="I6" s="404">
        <v>0.33333333333333331</v>
      </c>
      <c r="J6" s="404"/>
      <c r="K6" s="404"/>
      <c r="L6" s="104"/>
      <c r="M6" s="104"/>
      <c r="N6" s="104"/>
      <c r="O6" s="104"/>
      <c r="P6" s="104"/>
      <c r="Q6" s="405" t="s">
        <v>168</v>
      </c>
      <c r="R6" s="405"/>
      <c r="S6" s="406"/>
      <c r="T6" s="403">
        <f>VLOOKUP(Table2[[#This Row],[Course Title]],'TSD-Data'!$A$1:$E$70,4,FALSE)</f>
        <v>30</v>
      </c>
      <c r="U6" s="407">
        <f>VLOOKUP(Table2[[#This Row],[Course Title]],'TSD-Data'!$A$1:$F$70,6,FALSE)</f>
        <v>8</v>
      </c>
      <c r="V6" s="408">
        <f>VLOOKUP(Table2[[#This Row],[Course Title]],'TSD-Data'!$A$1:$F$70,5,FALSE)</f>
        <v>1</v>
      </c>
      <c r="W6" s="409">
        <v>30</v>
      </c>
      <c r="X6" s="407"/>
      <c r="Y6" s="407"/>
      <c r="Z6" s="408"/>
      <c r="AA6" s="408"/>
      <c r="AB6" s="410"/>
      <c r="AC6" s="410"/>
      <c r="AD6" s="403"/>
      <c r="AE6" s="403"/>
      <c r="AF6" s="410"/>
      <c r="AG6" s="407">
        <v>4</v>
      </c>
      <c r="AH6" s="411" t="str">
        <f>VLOOKUP(Table2[[#This Row],[Course Title]],'TSD-Data'!$A$1:$G$70,7,FALSE)</f>
        <v>N4</v>
      </c>
    </row>
    <row r="7" spans="1:16378" x14ac:dyDescent="0.25">
      <c r="A7" s="229">
        <v>45890</v>
      </c>
      <c r="B7" s="465" t="s">
        <v>61</v>
      </c>
      <c r="C7" s="466" t="str">
        <f>VLOOKUP(Table2[[#This Row],[Course Title]],'TSD-Data'!$A$1:$E$70,2,FALSE)</f>
        <v>A-493-0103</v>
      </c>
      <c r="D7" s="466" t="str">
        <f>VLOOKUP(Table2[[#This Row],[Course Title]],'TSD-Data'!$A$1:$E$70,3,FALSE)</f>
        <v>12JY</v>
      </c>
      <c r="E7" s="465" t="s">
        <v>169</v>
      </c>
      <c r="F7" s="467">
        <v>45936</v>
      </c>
      <c r="G7" s="467">
        <v>45940</v>
      </c>
      <c r="H7" s="472" t="s">
        <v>163</v>
      </c>
      <c r="I7" s="412">
        <v>8000</v>
      </c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</row>
    <row r="8" spans="1:16378" s="325" customFormat="1" x14ac:dyDescent="0.25">
      <c r="A8" s="229">
        <v>45896</v>
      </c>
      <c r="B8" s="468" t="s">
        <v>159</v>
      </c>
      <c r="C8" s="466" t="str">
        <f>VLOOKUP(Table2[[#This Row],[Course Title]],'TSD-Data'!$A$1:$E$70,2,FALSE)</f>
        <v>A-493-0061</v>
      </c>
      <c r="D8" s="466" t="str">
        <f>VLOOKUP(Table2[[#This Row],[Course Title]],'TSD-Data'!$A$1:$E$70,3,FALSE)</f>
        <v>288E</v>
      </c>
      <c r="E8" s="468" t="s">
        <v>170</v>
      </c>
      <c r="F8" s="326">
        <v>46071</v>
      </c>
      <c r="G8" s="326">
        <v>46072</v>
      </c>
      <c r="H8" s="317" t="s">
        <v>163</v>
      </c>
      <c r="I8" s="318">
        <v>0.33333333333333331</v>
      </c>
      <c r="J8" s="318"/>
      <c r="K8" s="317"/>
      <c r="L8" s="317"/>
      <c r="M8" s="317"/>
      <c r="N8" s="317"/>
      <c r="O8" s="317"/>
      <c r="P8" s="320" t="s">
        <v>164</v>
      </c>
      <c r="Q8" s="320"/>
      <c r="R8" s="321"/>
      <c r="S8" s="316">
        <f>VLOOKUP(Table2[[#This Row],[Course Title]],'TSD-Data'!$A$1:$E$70,4,FALSE)</f>
        <v>45</v>
      </c>
      <c r="T8" s="322">
        <f>VLOOKUP(Table2[[#This Row],[Course Title]],'TSD-Data'!$A$1:$F$70,6,FALSE)</f>
        <v>30</v>
      </c>
      <c r="U8" s="323">
        <f>VLOOKUP(Table2[[#This Row],[Course Title]],'TSD-Data'!$A$1:$F$70,5,FALSE)</f>
        <v>4</v>
      </c>
      <c r="V8" s="324">
        <v>0</v>
      </c>
      <c r="W8" s="322"/>
      <c r="X8" s="322"/>
      <c r="Y8" s="323"/>
      <c r="Z8" s="323"/>
      <c r="AA8" s="316"/>
      <c r="AB8" s="316"/>
      <c r="AC8" s="316"/>
      <c r="AD8" s="316"/>
      <c r="AE8" s="323">
        <f ca="1">Table2[[#This Row],[End Date]]+2-TODAY()</f>
        <v>-66</v>
      </c>
      <c r="AF8" s="316">
        <f>IF(ISBLANK(Table2[[#This Row],[Roster Received by]]),1,0)</f>
        <v>0</v>
      </c>
      <c r="AG8" s="322">
        <f ca="1">IF(Table2[[#This Row],[Start Date]]&gt;TODAY(),1,)</f>
        <v>0</v>
      </c>
      <c r="AH8" s="322">
        <f>IF(ISBLANK(Table2[[#This Row],[Primary Instructor]]),0,1)</f>
        <v>1</v>
      </c>
      <c r="AI8" s="322">
        <f>IF(ISBLANK(Table2[[#This Row],[Instructor 2]]),0,1)</f>
        <v>0</v>
      </c>
      <c r="AJ8" s="322">
        <f>Table2[[#This Row],[Course Length (Hours)]]/(SUM(Table2[[#This Row],[1]:[2]]))</f>
        <v>30</v>
      </c>
      <c r="AK8" s="316"/>
      <c r="AL8" s="327">
        <v>2</v>
      </c>
      <c r="AM8" s="334" t="str">
        <f>VLOOKUP(Table2[[#This Row],[Course Title]],'TSD-Data'!$A$1:$G$70,7,FALSE)</f>
        <v>N5</v>
      </c>
    </row>
    <row r="9" spans="1:16378" s="325" customFormat="1" x14ac:dyDescent="0.25">
      <c r="A9" s="229">
        <v>45896</v>
      </c>
      <c r="B9" s="468" t="s">
        <v>159</v>
      </c>
      <c r="C9" s="466" t="str">
        <f>VLOOKUP(Table2[[#This Row],[Course Title]],'TSD-Data'!$A$1:$E$70,2,FALSE)</f>
        <v>A-322-2604</v>
      </c>
      <c r="D9" s="466" t="str">
        <f>VLOOKUP(Table2[[#This Row],[Course Title]],'TSD-Data'!$A$1:$E$70,3,FALSE)</f>
        <v>10ZZ</v>
      </c>
      <c r="E9" s="468" t="s">
        <v>170</v>
      </c>
      <c r="F9" s="326">
        <v>46077</v>
      </c>
      <c r="G9" s="326">
        <v>46078</v>
      </c>
      <c r="H9" s="317" t="s">
        <v>163</v>
      </c>
      <c r="I9" s="318">
        <v>0.33333333333333331</v>
      </c>
      <c r="J9" s="318"/>
      <c r="K9" s="317"/>
      <c r="L9" s="317"/>
      <c r="M9" s="317"/>
      <c r="N9" s="317"/>
      <c r="O9" s="317"/>
      <c r="P9" s="320" t="s">
        <v>164</v>
      </c>
      <c r="Q9" s="320"/>
      <c r="R9" s="321"/>
      <c r="S9" s="316">
        <f>VLOOKUP(Table2[[#This Row],[Course Title]],'TSD-Data'!$A$1:$E$70,4,FALSE)</f>
        <v>45</v>
      </c>
      <c r="T9" s="322">
        <f>VLOOKUP(Table2[[#This Row],[Course Title]],'TSD-Data'!$A$1:$F$70,6,FALSE)</f>
        <v>24</v>
      </c>
      <c r="U9" s="323">
        <f>VLOOKUP(Table2[[#This Row],[Course Title]],'TSD-Data'!$A$1:$F$70,5,FALSE)</f>
        <v>3</v>
      </c>
      <c r="V9" s="324">
        <v>0</v>
      </c>
      <c r="W9" s="322"/>
      <c r="X9" s="322"/>
      <c r="Y9" s="323"/>
      <c r="Z9" s="323"/>
      <c r="AA9" s="316"/>
      <c r="AB9" s="316"/>
      <c r="AC9" s="316"/>
      <c r="AD9" s="316"/>
      <c r="AE9" s="323">
        <f ca="1">Table2[[#This Row],[End Date]]+2-TODAY()</f>
        <v>-67</v>
      </c>
      <c r="AF9" s="316">
        <f>IF(ISBLANK(Table2[[#This Row],[Roster Received by]]),1,0)</f>
        <v>0</v>
      </c>
      <c r="AG9" s="322">
        <f ca="1">IF(Table2[[#This Row],[Start Date]]&gt;TODAY(),1,)</f>
        <v>0</v>
      </c>
      <c r="AH9" s="322">
        <f>IF(ISBLANK(Table2[[#This Row],[Primary Instructor]]),0,1)</f>
        <v>1</v>
      </c>
      <c r="AI9" s="322">
        <f>IF(ISBLANK(Table2[[#This Row],[Instructor 2]]),0,1)</f>
        <v>0</v>
      </c>
      <c r="AJ9" s="322">
        <f>Table2[[#This Row],[Course Length (Hours)]]/(SUM(Table2[[#This Row],[1]:[2]]))</f>
        <v>24</v>
      </c>
      <c r="AK9" s="316"/>
      <c r="AL9" s="327">
        <v>2</v>
      </c>
      <c r="AM9" s="334" t="str">
        <f>VLOOKUP(Table2[[#This Row],[Course Title]],'TSD-Data'!$A$1:$G$70,7,FALSE)</f>
        <v>N8</v>
      </c>
    </row>
    <row r="10" spans="1:16378" s="325" customFormat="1" x14ac:dyDescent="0.25">
      <c r="A10" s="229">
        <v>45896</v>
      </c>
      <c r="B10" s="468" t="s">
        <v>159</v>
      </c>
      <c r="C10" s="466" t="str">
        <f>VLOOKUP(Table2[[#This Row],[Course Title]],'TSD-Data'!$A$1:$E$70,2,FALSE)</f>
        <v>A-493-0078</v>
      </c>
      <c r="D10" s="466">
        <f>VLOOKUP(Table2[[#This Row],[Course Title]],'TSD-Data'!$A$1:$E$70,3,FALSE)</f>
        <v>1228</v>
      </c>
      <c r="E10" s="468" t="s">
        <v>171</v>
      </c>
      <c r="F10" s="326">
        <v>46084</v>
      </c>
      <c r="G10" s="326">
        <v>46085</v>
      </c>
      <c r="H10" s="317" t="s">
        <v>163</v>
      </c>
      <c r="I10" s="318">
        <v>0.33333333333333331</v>
      </c>
      <c r="J10" s="318"/>
      <c r="K10" s="317"/>
      <c r="L10" s="317"/>
      <c r="M10" s="317"/>
      <c r="N10" s="317"/>
      <c r="O10" s="317"/>
      <c r="P10" s="320" t="s">
        <v>164</v>
      </c>
      <c r="Q10" s="320"/>
      <c r="R10" s="321"/>
      <c r="S10" s="316">
        <f>VLOOKUP(Table2[[#This Row],[Course Title]],'TSD-Data'!$A$1:$E$70,4,FALSE)</f>
        <v>45</v>
      </c>
      <c r="T10" s="322">
        <f>VLOOKUP(Table2[[#This Row],[Course Title]],'TSD-Data'!$A$1:$F$70,6,FALSE)</f>
        <v>32</v>
      </c>
      <c r="U10" s="323">
        <f>VLOOKUP(Table2[[#This Row],[Course Title]],'TSD-Data'!$A$1:$F$70,5,FALSE)</f>
        <v>4</v>
      </c>
      <c r="V10" s="324">
        <v>0</v>
      </c>
      <c r="W10" s="322"/>
      <c r="X10" s="322"/>
      <c r="Y10" s="323"/>
      <c r="Z10" s="323"/>
      <c r="AA10" s="316"/>
      <c r="AB10" s="316"/>
      <c r="AC10" s="316"/>
      <c r="AD10" s="316"/>
      <c r="AE10" s="323">
        <f ca="1">Table2[[#This Row],[End Date]]+2-TODAY()</f>
        <v>-66</v>
      </c>
      <c r="AF10" s="316">
        <f>IF(ISBLANK(Table2[[#This Row],[Roster Received by]]),1,0)</f>
        <v>0</v>
      </c>
      <c r="AG10" s="322">
        <f ca="1">IF(Table2[[#This Row],[Start Date]]&gt;TODAY(),1,)</f>
        <v>0</v>
      </c>
      <c r="AH10" s="322">
        <f>IF(ISBLANK(Table2[[#This Row],[Primary Instructor]]),0,1)</f>
        <v>1</v>
      </c>
      <c r="AI10" s="322">
        <f>IF(ISBLANK(Table2[[#This Row],[Instructor 2]]),0,1)</f>
        <v>0</v>
      </c>
      <c r="AJ10" s="322">
        <f>Table2[[#This Row],[Course Length (Hours)]]/(SUM(Table2[[#This Row],[1]:[2]]))</f>
        <v>32</v>
      </c>
      <c r="AK10" s="316"/>
      <c r="AL10" s="327">
        <v>2</v>
      </c>
      <c r="AM10" s="334" t="str">
        <f>VLOOKUP(Table2[[#This Row],[Course Title]],'TSD-Data'!$A$1:$G$70,7,FALSE)</f>
        <v>N5</v>
      </c>
    </row>
    <row r="11" spans="1:16378" x14ac:dyDescent="0.25">
      <c r="A11" s="475">
        <v>45939</v>
      </c>
      <c r="B11" s="98" t="s">
        <v>106</v>
      </c>
      <c r="C11" s="464" t="str">
        <f>VLOOKUP(Table2[[#This Row],[Course Title]],'TSD-Data'!$A$1:$E$80,2,FALSE)</f>
        <v>A-493-0072</v>
      </c>
      <c r="D11" s="464">
        <v>1228</v>
      </c>
      <c r="E11" s="98" t="s">
        <v>25</v>
      </c>
      <c r="F11" s="80">
        <v>45950</v>
      </c>
      <c r="G11" s="80">
        <v>45953</v>
      </c>
      <c r="H11" s="473" t="s">
        <v>163</v>
      </c>
      <c r="I11" s="404"/>
      <c r="J11" s="478">
        <v>0.33333333333333331</v>
      </c>
      <c r="K11" s="404">
        <v>0.20833333333333334</v>
      </c>
      <c r="L11" s="404">
        <v>0.625</v>
      </c>
      <c r="M11" s="404">
        <v>0.54166666666666663</v>
      </c>
      <c r="N11" s="404">
        <v>8.3333333333333329E-2</v>
      </c>
      <c r="O11" s="404">
        <v>0.875</v>
      </c>
      <c r="P11" s="406" t="s">
        <v>172</v>
      </c>
      <c r="Q11" s="406"/>
      <c r="R11" s="406"/>
      <c r="S11" s="403">
        <f>VLOOKUP(Table2[[#This Row],[Course Title]],'TSD-Data'!$A$1:$E$80,4,FALSE)</f>
        <v>30</v>
      </c>
      <c r="T11" s="403">
        <f>VLOOKUP(Table2[[#This Row],[Course Title]],'TSD-Data'!$A$1:$F$80,6,FALSE)</f>
        <v>40</v>
      </c>
      <c r="U11" s="408">
        <f>VLOOKUP(Table2[[#This Row],[Course Title]],'TSD-Data'!$A$1:$F$80,5,FALSE)</f>
        <v>5</v>
      </c>
      <c r="V11" s="408">
        <v>454</v>
      </c>
      <c r="W11" s="403">
        <f>Table2[[#This Row],[Quotas]]-Table2[[#This Row],[Open Quotas]]</f>
        <v>22</v>
      </c>
      <c r="X11" s="403"/>
      <c r="Y11" s="408"/>
      <c r="Z11" s="408"/>
      <c r="AA11" s="403"/>
      <c r="AB11" s="403"/>
      <c r="AC11" s="403"/>
      <c r="AD11" s="403"/>
      <c r="AE11" s="408">
        <f ca="1">Table2[[#This Row],[End Date]]+2-TODAY()</f>
        <v>-65</v>
      </c>
      <c r="AF11" s="403">
        <f>IF(ISBLANK(Table2[[#This Row],[Roster Received by]]),1,0)</f>
        <v>0</v>
      </c>
      <c r="AG11" s="403">
        <f ca="1">IF(Table2[[#This Row],[Start Date]]&gt;TODAY(),1,)</f>
        <v>0</v>
      </c>
      <c r="AH11" s="403">
        <f>IF(ISBLANK(Table2[[#This Row],[Primary Instructor]]),0,1)</f>
        <v>1</v>
      </c>
      <c r="AI11" s="403">
        <f>IF(ISBLANK(Table2[[#This Row],[Instructor 2]]),0,1)</f>
        <v>0</v>
      </c>
      <c r="AJ11" s="403">
        <f>Table2[[#This Row],[Course Length (Hours)]]/(SUM(Table2[[#This Row],[1]:[2]]))</f>
        <v>40</v>
      </c>
      <c r="AK11" s="403">
        <v>22</v>
      </c>
      <c r="AL11" s="403">
        <v>1</v>
      </c>
      <c r="AM11" s="403" t="str">
        <f>VLOOKUP(Table2[[#This Row],[Course Title]],'TSD-Data'!$A$1:$G$70,7,FALSE)</f>
        <v>N3</v>
      </c>
    </row>
    <row r="12" spans="1:16378" x14ac:dyDescent="0.25">
      <c r="A12" s="476">
        <v>45939</v>
      </c>
      <c r="B12" s="469" t="s">
        <v>100</v>
      </c>
      <c r="C12" s="470" t="s">
        <v>101</v>
      </c>
      <c r="D12" s="470" t="s">
        <v>102</v>
      </c>
      <c r="E12" s="700" t="s">
        <v>25</v>
      </c>
      <c r="F12" s="413">
        <v>45950</v>
      </c>
      <c r="G12" s="413">
        <v>45953</v>
      </c>
      <c r="H12" s="479"/>
      <c r="I12" s="480"/>
      <c r="J12" s="480"/>
      <c r="K12" s="461"/>
      <c r="L12" s="461"/>
      <c r="M12" s="461"/>
      <c r="N12" s="462">
        <f>VLOOKUP(Table2[[#This Row],[Course Title]],'TSD-Data'!$A$1:$E$80,4,FALSE)</f>
        <v>100</v>
      </c>
      <c r="O12" s="462">
        <f>VLOOKUP(Table2[[#This Row],[Course Title]],'TSD-Data'!$A$1:$F$80,6,FALSE)</f>
        <v>16</v>
      </c>
      <c r="P12" s="463">
        <f>VLOOKUP(Table2[[#This Row],[Course Title]],'TSD-Data'!$A$1:$F$80,5,FALSE)</f>
        <v>3</v>
      </c>
      <c r="Q12" s="463">
        <v>864</v>
      </c>
      <c r="R12" s="462">
        <f>Table2[[#This Row],[Quotas]]-Table2[[#This Row],[Open Quotas]]</f>
        <v>100</v>
      </c>
      <c r="S12" s="462"/>
      <c r="T12" s="463"/>
      <c r="U12" s="463"/>
      <c r="V12" s="462"/>
      <c r="W12" s="462"/>
      <c r="X12" s="462"/>
      <c r="Y12" s="462"/>
      <c r="Z12" s="463">
        <f ca="1">Table2[[#This Row],[End Date]]+2-TODAY()</f>
        <v>-67</v>
      </c>
      <c r="AA12" s="462">
        <f>IF(ISBLANK(Table2[[#This Row],[Roster Received by]]),1,0)</f>
        <v>0</v>
      </c>
      <c r="AB12" s="462">
        <f ca="1">IF(Table2[[#This Row],[Start Date]]&gt;TODAY(),1,)</f>
        <v>0</v>
      </c>
      <c r="AC12" s="462">
        <f>IF(ISBLANK(Table2[[#This Row],[Primary Instructor]]),0,1)</f>
        <v>1</v>
      </c>
      <c r="AD12" s="462">
        <f>IF(ISBLANK(Table2[[#This Row],[Instructor 2]]),0,1)</f>
        <v>0</v>
      </c>
      <c r="AE12" s="462">
        <f>Table2[[#This Row],[Course Length (Hours)]]/(SUM(Table2[[#This Row],[1]:[2]]))</f>
        <v>16</v>
      </c>
      <c r="AF12" s="462">
        <v>21</v>
      </c>
      <c r="AG12" s="462">
        <v>1</v>
      </c>
      <c r="AH12" s="462" t="str">
        <f>VLOOKUP(Table2[[#This Row],[Course Title]],'TSD-Data'!$A$1:$G$70,7,FALSE)</f>
        <v>N8</v>
      </c>
    </row>
    <row r="13" spans="1:16378" x14ac:dyDescent="0.25">
      <c r="A13" s="229">
        <v>45944</v>
      </c>
      <c r="B13" s="646" t="s">
        <v>41</v>
      </c>
      <c r="C13" s="462" t="str">
        <f>VLOOKUP(Table2[[#This Row],[Course Title]],'TSD-Data'!$A$1:$E$80,2,FALSE)</f>
        <v>A-493-2099</v>
      </c>
      <c r="D13" s="462" t="s">
        <v>43</v>
      </c>
      <c r="E13" s="481" t="s">
        <v>173</v>
      </c>
      <c r="F13" s="647">
        <v>45944</v>
      </c>
      <c r="G13" s="647">
        <v>45944</v>
      </c>
      <c r="H13" s="413" t="s">
        <v>163</v>
      </c>
      <c r="I13" s="482">
        <v>0.33333333333333331</v>
      </c>
      <c r="J13" s="483"/>
      <c r="K13" s="470"/>
      <c r="L13" s="470"/>
      <c r="M13" s="470"/>
      <c r="N13" s="470"/>
      <c r="O13" s="470"/>
      <c r="P13" s="461" t="s">
        <v>174</v>
      </c>
      <c r="Q13" s="461"/>
      <c r="R13" s="461"/>
      <c r="S13" s="462">
        <f>VLOOKUP(Table2[[#This Row],[Course Title]],'TSD-Data'!$A$1:$E$80,4,FALSE)</f>
        <v>30</v>
      </c>
      <c r="T13" s="462">
        <f>VLOOKUP(Table2[[#This Row],[Course Title]],'TSD-Data'!$A$1:$F$80,6,FALSE)</f>
        <v>16</v>
      </c>
      <c r="U13" s="463">
        <f>VLOOKUP(Table2[[#This Row],[Course Title]],'TSD-Data'!$A$1:$F$80,5,FALSE)</f>
        <v>2</v>
      </c>
      <c r="V13" s="463">
        <v>13</v>
      </c>
      <c r="W13" s="484">
        <f>Table2[[#This Row],[Quotas]]-Table2[[#This Row],[Open Quotas]]</f>
        <v>18</v>
      </c>
      <c r="X13" s="462"/>
      <c r="Y13" s="463"/>
      <c r="Z13" s="463"/>
      <c r="AA13" s="462"/>
      <c r="AB13" s="462"/>
      <c r="AC13" s="462"/>
      <c r="AD13" s="462"/>
      <c r="AE13" s="463">
        <f ca="1">Table2[[#This Row],[End Date]]+2-TODAY()</f>
        <v>-68</v>
      </c>
      <c r="AF13" s="462">
        <f>IF(ISBLANK(Table2[[#This Row],[Roster Received by]]),1,0)</f>
        <v>0</v>
      </c>
      <c r="AG13" s="462">
        <f ca="1">IF(Table2[[#This Row],[Start Date]]&gt;TODAY(),1,)</f>
        <v>0</v>
      </c>
      <c r="AH13" s="462">
        <f>IF(ISBLANK(Table2[[#This Row],[Primary Instructor]]),0,1)</f>
        <v>1</v>
      </c>
      <c r="AI13" s="462">
        <f>IF(ISBLANK(Table2[[#This Row],[Instructor 2]]),0,1)</f>
        <v>0</v>
      </c>
      <c r="AJ13" s="462">
        <f>Table2[[#This Row],[Course Length (Hours)]]/(SUM(Table2[[#This Row],[1]:[2]]))</f>
        <v>16</v>
      </c>
      <c r="AK13" s="462">
        <v>11</v>
      </c>
      <c r="AL13" s="462">
        <v>1</v>
      </c>
      <c r="AM13" s="462" t="str">
        <f>VLOOKUP(Table2[[#This Row],[Course Title]],'TSD-Data'!$A$1:$G$80,7,FALSE)</f>
        <v>N8</v>
      </c>
    </row>
    <row r="14" spans="1:16378" x14ac:dyDescent="0.25">
      <c r="A14" s="229">
        <v>45944</v>
      </c>
      <c r="B14" s="648" t="s">
        <v>32</v>
      </c>
      <c r="C14" s="462" t="str">
        <f>VLOOKUP(Table2[[#This Row],[Course Title]],'TSD-Data'!$A$1:$E$80,2,FALSE)</f>
        <v>A-493-0550</v>
      </c>
      <c r="D14" s="462" t="str">
        <f>VLOOKUP(Table2[[#This Row],[Course Title]],'TSD-Data'!$A$1:$E$80,3,FALSE)</f>
        <v>09K5</v>
      </c>
      <c r="E14" s="469" t="s">
        <v>173</v>
      </c>
      <c r="F14" s="647">
        <v>45945</v>
      </c>
      <c r="G14" s="647">
        <v>45945</v>
      </c>
      <c r="H14" s="413" t="s">
        <v>163</v>
      </c>
      <c r="I14" s="482">
        <v>0.33333333333333331</v>
      </c>
      <c r="J14" s="485"/>
      <c r="K14" s="413"/>
      <c r="L14" s="413"/>
      <c r="M14" s="413"/>
      <c r="N14" s="413"/>
      <c r="O14" s="413"/>
      <c r="P14" s="461" t="s">
        <v>174</v>
      </c>
      <c r="Q14" s="461"/>
      <c r="R14" s="461"/>
      <c r="S14" s="462">
        <f>VLOOKUP(Table2[[#This Row],[Course Title]],'TSD-Data'!$A$1:$E$80,4,FALSE)</f>
        <v>45</v>
      </c>
      <c r="T14" s="462">
        <f>VLOOKUP(Table2[[#This Row],[Course Title]],'TSD-Data'!$A$1:$F$80,6,FALSE)</f>
        <v>32</v>
      </c>
      <c r="U14" s="463">
        <f>VLOOKUP(Table2[[#This Row],[Course Title]],'TSD-Data'!$A$1:$F$80,5,FALSE)</f>
        <v>4</v>
      </c>
      <c r="V14" s="463">
        <v>17</v>
      </c>
      <c r="W14" s="484">
        <f>Table2[[#This Row],[Quotas]]-Table2[[#This Row],[Open Quotas]]</f>
        <v>24</v>
      </c>
      <c r="X14" s="462"/>
      <c r="Y14" s="463"/>
      <c r="Z14" s="463"/>
      <c r="AA14" s="462"/>
      <c r="AB14" s="462"/>
      <c r="AC14" s="462"/>
      <c r="AD14" s="462"/>
      <c r="AE14" s="463">
        <f ca="1">Table2[[#This Row],[End Date]]+2-TODAY()</f>
        <v>-65</v>
      </c>
      <c r="AF14" s="462">
        <f>IF(ISBLANK(Table2[[#This Row],[Roster Received by]]),1,0)</f>
        <v>0</v>
      </c>
      <c r="AG14" s="462">
        <f ca="1">IF(Table2[[#This Row],[Start Date]]&gt;TODAY(),1,)</f>
        <v>0</v>
      </c>
      <c r="AH14" s="462">
        <f>IF(ISBLANK(Table2[[#This Row],[Primary Instructor]]),0,1)</f>
        <v>1</v>
      </c>
      <c r="AI14" s="462">
        <f>IF(ISBLANK(Table2[[#This Row],[Instructor 2]]),0,1)</f>
        <v>0</v>
      </c>
      <c r="AJ14" s="462">
        <f>Table2[[#This Row],[Course Length (Hours)]]/(SUM(Table2[[#This Row],[1]:[2]]))</f>
        <v>32</v>
      </c>
      <c r="AK14" s="462">
        <v>4</v>
      </c>
      <c r="AL14" s="462">
        <v>1</v>
      </c>
      <c r="AM14" s="462" t="str">
        <f>VLOOKUP(Table2[[#This Row],[Course Title]],'TSD-Data'!$A$1:$G$80,7,FALSE)</f>
        <v>N5</v>
      </c>
    </row>
    <row r="15" spans="1:16378" x14ac:dyDescent="0.25">
      <c r="A15" s="229">
        <v>45944</v>
      </c>
      <c r="B15" s="648" t="s">
        <v>36</v>
      </c>
      <c r="C15" s="462" t="str">
        <f>VLOOKUP(Table2[[#This Row],[Course Title]],'TSD-Data'!$A$1:$E$80,2,FALSE)</f>
        <v>A-493-2099</v>
      </c>
      <c r="D15" s="462" t="str">
        <f>VLOOKUP(Table2[[#This Row],[Course Title]],'TSD-Data'!$A$1:$E$80,3,FALSE)</f>
        <v>438G</v>
      </c>
      <c r="E15" s="481" t="s">
        <v>173</v>
      </c>
      <c r="F15" s="647">
        <v>45945</v>
      </c>
      <c r="G15" s="647">
        <v>45945</v>
      </c>
      <c r="H15" s="413" t="s">
        <v>163</v>
      </c>
      <c r="I15" s="482">
        <v>1300.5</v>
      </c>
      <c r="J15" s="482"/>
      <c r="K15" s="413"/>
      <c r="L15" s="413"/>
      <c r="M15" s="413"/>
      <c r="N15" s="413"/>
      <c r="O15" s="413"/>
      <c r="P15" s="461" t="s">
        <v>174</v>
      </c>
      <c r="Q15" s="461"/>
      <c r="R15" s="461"/>
      <c r="S15" s="462">
        <f>VLOOKUP(Table2[[#This Row],[Course Title]],'TSD-Data'!$A$1:$E$80,4,FALSE)</f>
        <v>30</v>
      </c>
      <c r="T15" s="462">
        <f>VLOOKUP(Table2[[#This Row],[Course Title]],'TSD-Data'!$A$1:$F$80,6,FALSE)</f>
        <v>16</v>
      </c>
      <c r="U15" s="463">
        <f>VLOOKUP(Table2[[#This Row],[Course Title]],'TSD-Data'!$A$1:$F$80,5,FALSE)</f>
        <v>2</v>
      </c>
      <c r="V15" s="463">
        <v>13</v>
      </c>
      <c r="W15" s="484">
        <f>Table2[[#This Row],[Quotas]]-Table2[[#This Row],[Open Quotas]]</f>
        <v>11</v>
      </c>
      <c r="X15" s="462"/>
      <c r="Y15" s="463"/>
      <c r="Z15" s="463"/>
      <c r="AA15" s="462"/>
      <c r="AB15" s="462"/>
      <c r="AC15" s="462"/>
      <c r="AD15" s="462"/>
      <c r="AE15" s="463">
        <f ca="1">Table2[[#This Row],[End Date]]+2-TODAY()</f>
        <v>-66</v>
      </c>
      <c r="AF15" s="462">
        <f>IF(ISBLANK(Table2[[#This Row],[Roster Received by]]),1,0)</f>
        <v>0</v>
      </c>
      <c r="AG15" s="462">
        <f ca="1">IF(Table2[[#This Row],[Start Date]]&gt;TODAY(),1,)</f>
        <v>0</v>
      </c>
      <c r="AH15" s="462">
        <f>IF(ISBLANK(Table2[[#This Row],[Primary Instructor]]),0,1)</f>
        <v>1</v>
      </c>
      <c r="AI15" s="462">
        <f>IF(ISBLANK(Table2[[#This Row],[Instructor 2]]),0,1)</f>
        <v>0</v>
      </c>
      <c r="AJ15" s="462">
        <f>Table2[[#This Row],[Course Length (Hours)]]/(SUM(Table2[[#This Row],[1]:[2]]))</f>
        <v>16</v>
      </c>
      <c r="AK15" s="462">
        <v>11</v>
      </c>
      <c r="AL15" s="462">
        <v>1</v>
      </c>
      <c r="AM15" s="462" t="str">
        <f>VLOOKUP(Table2[[#This Row],[Course Title]],'TSD-Data'!$A$1:$G$80,7,FALSE)</f>
        <v>N8</v>
      </c>
    </row>
    <row r="16" spans="1:16378" s="428" customFormat="1" x14ac:dyDescent="0.25">
      <c r="A16" s="654">
        <v>45946</v>
      </c>
      <c r="B16" s="430" t="s">
        <v>58</v>
      </c>
      <c r="C16" s="316" t="str">
        <f>VLOOKUP(Table2[[#This Row],[Course Title]],'TSD-Data'!$A$1:$E$80,2,FALSE)</f>
        <v>A-493-0083</v>
      </c>
      <c r="D16" s="316" t="s">
        <v>60</v>
      </c>
      <c r="E16" s="364" t="s">
        <v>173</v>
      </c>
      <c r="F16" s="344">
        <v>45946</v>
      </c>
      <c r="G16" s="344">
        <v>45947</v>
      </c>
      <c r="H16" s="317" t="s">
        <v>163</v>
      </c>
      <c r="I16" s="318">
        <v>0.33333333333333331</v>
      </c>
      <c r="J16" s="345"/>
      <c r="K16" s="344"/>
      <c r="L16" s="344"/>
      <c r="M16" s="344"/>
      <c r="N16" s="344"/>
      <c r="O16" s="344"/>
      <c r="P16" s="321" t="s">
        <v>175</v>
      </c>
      <c r="Q16" s="321" t="s">
        <v>174</v>
      </c>
      <c r="R16" s="321"/>
      <c r="S16" s="316">
        <f>VLOOKUP(Table2[[#This Row],[Course Title]],'TSD-Data'!$A$1:$E$80,4,FALSE)</f>
        <v>30</v>
      </c>
      <c r="T16" s="316">
        <f>VLOOKUP(Table2[[#This Row],[Course Title]],'TSD-Data'!$A$1:$F$80,6,FALSE)</f>
        <v>8</v>
      </c>
      <c r="U16" s="323">
        <f>VLOOKUP(Table2[[#This Row],[Course Title]],'TSD-Data'!$A$1:$F$80,5,FALSE)</f>
        <v>1</v>
      </c>
      <c r="V16" s="323">
        <v>13</v>
      </c>
      <c r="W16" s="452">
        <f>Table2[[#This Row],[Quotas]]-Table2[[#This Row],[Open Quotas]]</f>
        <v>20</v>
      </c>
      <c r="X16" s="316"/>
      <c r="Y16" s="323"/>
      <c r="Z16" s="323"/>
      <c r="AA16" s="316"/>
      <c r="AB16" s="316"/>
      <c r="AC16" s="316"/>
      <c r="AD16" s="316"/>
      <c r="AE16" s="323">
        <f ca="1">Table2[[#This Row],[End Date]]+2-TODAY()</f>
        <v>-66</v>
      </c>
      <c r="AF16" s="316">
        <f>IF(ISBLANK(Table2[[#This Row],[Roster Received by]]),1,0)</f>
        <v>0</v>
      </c>
      <c r="AG16" s="316">
        <f ca="1">IF(Table2[[#This Row],[Start Date]]&gt;TODAY(),1,)</f>
        <v>0</v>
      </c>
      <c r="AH16" s="316">
        <f>IF(ISBLANK(Table2[[#This Row],[Primary Instructor]]),0,1)</f>
        <v>1</v>
      </c>
      <c r="AI16" s="316">
        <f>IF(ISBLANK(Table2[[#This Row],[Instructor 2]]),0,1)</f>
        <v>0</v>
      </c>
      <c r="AJ16" s="316">
        <f>Table2[[#This Row],[Course Length (Hours)]]/(SUM(Table2[[#This Row],[1]:[2]]))</f>
        <v>8</v>
      </c>
      <c r="AK16" s="124">
        <v>25</v>
      </c>
      <c r="AL16" s="316">
        <v>1</v>
      </c>
      <c r="AM16" s="363" t="str">
        <f>VLOOKUP(Table2[[#This Row],[Course Title]],'TSD-Data'!$A$1:$G$80,7,FALSE)</f>
        <v>N4</v>
      </c>
    </row>
    <row r="17" spans="1:31" x14ac:dyDescent="0.25">
      <c r="A17" s="229">
        <v>45960</v>
      </c>
      <c r="B17" s="659" t="s">
        <v>63</v>
      </c>
      <c r="C17" s="403" t="s">
        <v>64</v>
      </c>
      <c r="D17" s="403">
        <v>3683</v>
      </c>
      <c r="E17" s="659" t="s">
        <v>176</v>
      </c>
      <c r="F17" s="104">
        <v>46070</v>
      </c>
      <c r="G17" s="104">
        <v>46072</v>
      </c>
      <c r="H17" s="474"/>
      <c r="I17" s="221"/>
      <c r="J17" s="221"/>
      <c r="K17" s="221"/>
      <c r="L17" s="221"/>
      <c r="M17" s="221"/>
      <c r="N17" s="221"/>
      <c r="O17" s="221"/>
      <c r="P17" s="221"/>
      <c r="Q17" s="221"/>
      <c r="R17" s="221"/>
      <c r="S17" s="221"/>
      <c r="T17" s="221"/>
      <c r="U17" s="221"/>
      <c r="V17" s="221"/>
      <c r="W17" s="221"/>
      <c r="X17" s="221"/>
      <c r="Y17" s="221"/>
      <c r="Z17" s="221"/>
      <c r="AA17" s="221"/>
      <c r="AB17" s="221"/>
      <c r="AC17" s="221"/>
      <c r="AD17" s="221"/>
      <c r="AE17" s="221"/>
    </row>
    <row r="18" spans="1:31" x14ac:dyDescent="0.25">
      <c r="A18" s="701">
        <v>45986</v>
      </c>
      <c r="B18" s="698" t="s">
        <v>106</v>
      </c>
      <c r="C18" s="403" t="str">
        <f>VLOOKUP(Table2[[#This Row],[Course Title]],'TSD-Data'!$A$1:$E$80,2,FALSE)</f>
        <v>A-493-0331</v>
      </c>
      <c r="D18" s="403">
        <v>1228</v>
      </c>
      <c r="E18" s="659" t="s">
        <v>25</v>
      </c>
      <c r="F18" s="699">
        <v>45993</v>
      </c>
      <c r="G18" s="699">
        <v>45996</v>
      </c>
      <c r="H18" s="221"/>
      <c r="I18" s="221"/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D18" s="221"/>
      <c r="AE18" s="221"/>
    </row>
    <row r="19" spans="1:31" x14ac:dyDescent="0.25">
      <c r="A19" s="705">
        <v>45999</v>
      </c>
      <c r="B19" s="481" t="s">
        <v>77</v>
      </c>
      <c r="C19" s="462" t="str">
        <f>VLOOKUP(Table2[[#This Row],[Course Title]],'TSD-Data'!$A$1:$E$80,2,FALSE)</f>
        <v>A-493-0069</v>
      </c>
      <c r="D19" s="462" t="str">
        <f>VLOOKUP(Table2[[#This Row],[Course Title]],'TSD-Data'!$A$1:$E$80,3,FALSE)</f>
        <v>450U</v>
      </c>
      <c r="E19" s="481" t="s">
        <v>177</v>
      </c>
      <c r="F19" s="413">
        <v>46043</v>
      </c>
      <c r="G19" s="413">
        <v>46045</v>
      </c>
      <c r="H19" s="221"/>
      <c r="I19" s="221"/>
      <c r="J19" s="221"/>
      <c r="K19" s="221"/>
      <c r="L19" s="221"/>
      <c r="M19" s="221"/>
      <c r="N19" s="221"/>
      <c r="O19" s="221"/>
      <c r="P19" s="221"/>
      <c r="Q19" s="221"/>
      <c r="R19" s="221"/>
      <c r="S19" s="221"/>
      <c r="T19" s="221"/>
      <c r="U19" s="221"/>
      <c r="V19" s="221"/>
      <c r="W19" s="221"/>
      <c r="X19" s="221"/>
      <c r="Y19" s="221"/>
      <c r="Z19" s="221"/>
      <c r="AA19" s="221"/>
      <c r="AB19" s="221"/>
      <c r="AC19" s="221"/>
      <c r="AD19" s="221"/>
      <c r="AE19" s="221"/>
    </row>
    <row r="20" spans="1:31" x14ac:dyDescent="0.25">
      <c r="A20" s="221"/>
      <c r="B20" s="221"/>
      <c r="C20" s="221"/>
      <c r="D20" s="221"/>
      <c r="E20" s="221"/>
      <c r="F20" s="221"/>
      <c r="G20" s="221"/>
      <c r="H20" s="221"/>
      <c r="I20" s="221"/>
      <c r="J20" s="221"/>
      <c r="K20" s="221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21"/>
      <c r="AA20" s="221"/>
      <c r="AB20" s="221"/>
      <c r="AC20" s="221"/>
      <c r="AD20" s="221"/>
      <c r="AE20" s="221"/>
    </row>
    <row r="21" spans="1:31" x14ac:dyDescent="0.25">
      <c r="A21" s="221"/>
      <c r="B21" s="221"/>
      <c r="C21" s="221"/>
      <c r="D21" s="221"/>
      <c r="E21" s="221"/>
      <c r="F21" s="221"/>
      <c r="G21" s="221"/>
      <c r="H21" s="221"/>
      <c r="I21" s="221"/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21"/>
      <c r="AA21" s="221"/>
      <c r="AB21" s="221"/>
      <c r="AC21" s="221"/>
      <c r="AD21" s="221"/>
      <c r="AE21" s="221"/>
    </row>
    <row r="22" spans="1:31" x14ac:dyDescent="0.25">
      <c r="A22" s="221"/>
      <c r="B22" s="221"/>
      <c r="C22" s="221"/>
      <c r="D22" s="221"/>
      <c r="E22" s="221"/>
      <c r="F22" s="221"/>
      <c r="G22" s="221"/>
      <c r="H22" s="221"/>
      <c r="I22" s="221"/>
      <c r="J22" s="221"/>
      <c r="K22" s="221"/>
      <c r="L22" s="221"/>
      <c r="M22" s="221"/>
      <c r="N22" s="221"/>
      <c r="O22" s="221"/>
      <c r="P22" s="221"/>
      <c r="Q22" s="221"/>
      <c r="R22" s="221"/>
      <c r="S22" s="221"/>
      <c r="T22" s="221"/>
      <c r="U22" s="221"/>
      <c r="V22" s="221"/>
      <c r="W22" s="221"/>
      <c r="X22" s="221"/>
      <c r="Y22" s="221"/>
      <c r="Z22" s="221"/>
      <c r="AA22" s="221"/>
      <c r="AB22" s="221"/>
      <c r="AC22" s="221"/>
      <c r="AD22" s="221"/>
      <c r="AE22" s="221"/>
    </row>
    <row r="23" spans="1:31" x14ac:dyDescent="0.25">
      <c r="A23" s="221"/>
      <c r="B23" s="221"/>
      <c r="C23" s="221"/>
      <c r="D23" s="221"/>
      <c r="E23" s="221"/>
      <c r="F23" s="221"/>
      <c r="G23" s="221"/>
      <c r="H23" s="221"/>
      <c r="I23" s="221"/>
      <c r="J23" s="221"/>
      <c r="K23" s="221"/>
      <c r="L23" s="221"/>
      <c r="M23" s="221"/>
      <c r="N23" s="221"/>
      <c r="O23" s="221"/>
      <c r="P23" s="221"/>
      <c r="Q23" s="221"/>
      <c r="R23" s="221"/>
      <c r="S23" s="221"/>
      <c r="T23" s="221"/>
      <c r="U23" s="221"/>
      <c r="V23" s="221"/>
      <c r="W23" s="221"/>
      <c r="X23" s="221"/>
      <c r="Y23" s="221"/>
      <c r="Z23" s="221"/>
      <c r="AA23" s="221"/>
      <c r="AB23" s="221"/>
      <c r="AC23" s="221"/>
      <c r="AD23" s="221"/>
      <c r="AE23" s="221"/>
    </row>
    <row r="24" spans="1:31" x14ac:dyDescent="0.25">
      <c r="A24" s="221"/>
      <c r="B24" s="221"/>
      <c r="C24" s="221"/>
      <c r="D24" s="221"/>
      <c r="E24" s="221"/>
      <c r="F24" s="221"/>
      <c r="G24" s="221"/>
      <c r="H24" s="221"/>
      <c r="I24" s="221"/>
      <c r="J24" s="221"/>
      <c r="K24" s="221"/>
      <c r="L24" s="221"/>
      <c r="M24" s="221"/>
      <c r="N24" s="221"/>
      <c r="O24" s="221"/>
      <c r="P24" s="221"/>
      <c r="Q24" s="221"/>
      <c r="R24" s="221"/>
      <c r="S24" s="221"/>
      <c r="T24" s="221"/>
      <c r="U24" s="221"/>
      <c r="V24" s="221"/>
      <c r="W24" s="221"/>
      <c r="X24" s="221"/>
      <c r="Y24" s="221"/>
      <c r="Z24" s="221"/>
      <c r="AA24" s="221"/>
      <c r="AB24" s="221"/>
      <c r="AC24" s="221"/>
      <c r="AD24" s="221"/>
      <c r="AE24" s="221"/>
    </row>
    <row r="25" spans="1:31" x14ac:dyDescent="0.25">
      <c r="A25" s="221"/>
      <c r="B25" s="221"/>
      <c r="C25" s="221"/>
      <c r="D25" s="221"/>
      <c r="E25" s="221"/>
      <c r="F25" s="221"/>
      <c r="G25" s="221"/>
      <c r="H25" s="221"/>
      <c r="I25" s="221"/>
      <c r="J25" s="221"/>
      <c r="K25" s="221"/>
      <c r="L25" s="221"/>
      <c r="M25" s="221"/>
      <c r="N25" s="221"/>
      <c r="O25" s="221"/>
      <c r="P25" s="221"/>
      <c r="Q25" s="221"/>
      <c r="R25" s="221"/>
      <c r="S25" s="221"/>
      <c r="T25" s="221"/>
      <c r="U25" s="221"/>
      <c r="V25" s="221"/>
      <c r="W25" s="221"/>
      <c r="X25" s="221"/>
      <c r="Y25" s="221"/>
      <c r="Z25" s="221"/>
      <c r="AA25" s="221"/>
      <c r="AB25" s="221"/>
      <c r="AC25" s="221"/>
      <c r="AD25" s="221"/>
      <c r="AE25" s="221"/>
    </row>
    <row r="26" spans="1:31" x14ac:dyDescent="0.25">
      <c r="A26" s="221"/>
      <c r="B26" s="221"/>
      <c r="C26" s="221"/>
      <c r="D26" s="221"/>
      <c r="E26" s="221"/>
      <c r="F26" s="221"/>
      <c r="G26" s="221"/>
      <c r="H26" s="221"/>
      <c r="I26" s="221"/>
      <c r="J26" s="221"/>
      <c r="K26" s="221"/>
      <c r="L26" s="221"/>
      <c r="M26" s="221"/>
      <c r="N26" s="221"/>
      <c r="O26" s="221"/>
      <c r="P26" s="221"/>
      <c r="Q26" s="221"/>
      <c r="R26" s="221"/>
      <c r="S26" s="221"/>
      <c r="T26" s="221"/>
      <c r="U26" s="221"/>
      <c r="V26" s="221"/>
      <c r="W26" s="221"/>
      <c r="X26" s="221"/>
      <c r="Y26" s="221"/>
      <c r="Z26" s="221"/>
      <c r="AA26" s="221"/>
      <c r="AB26" s="221"/>
      <c r="AC26" s="221"/>
      <c r="AD26" s="221"/>
      <c r="AE26" s="221"/>
    </row>
    <row r="27" spans="1:31" x14ac:dyDescent="0.25">
      <c r="A27" s="221"/>
      <c r="B27" s="221"/>
      <c r="C27" s="221"/>
      <c r="D27" s="221"/>
      <c r="E27" s="221"/>
      <c r="F27" s="221"/>
      <c r="G27" s="221"/>
      <c r="H27" s="221"/>
      <c r="I27" s="221"/>
      <c r="J27" s="221"/>
      <c r="K27" s="221"/>
      <c r="L27" s="221"/>
      <c r="M27" s="221"/>
      <c r="N27" s="221"/>
      <c r="O27" s="221"/>
      <c r="P27" s="221"/>
      <c r="Q27" s="221"/>
      <c r="R27" s="221"/>
      <c r="S27" s="221"/>
      <c r="T27" s="221"/>
      <c r="U27" s="221"/>
      <c r="V27" s="221"/>
      <c r="W27" s="221"/>
      <c r="X27" s="221"/>
      <c r="Y27" s="221"/>
      <c r="Z27" s="221"/>
      <c r="AA27" s="221"/>
      <c r="AB27" s="221"/>
      <c r="AC27" s="221"/>
      <c r="AD27" s="221"/>
      <c r="AE27" s="221"/>
    </row>
    <row r="28" spans="1:31" x14ac:dyDescent="0.25">
      <c r="A28" s="221"/>
      <c r="B28" s="221"/>
      <c r="C28" s="221"/>
      <c r="D28" s="221"/>
      <c r="E28" s="221"/>
      <c r="F28" s="221"/>
      <c r="G28" s="221"/>
      <c r="H28" s="221"/>
      <c r="I28" s="221"/>
      <c r="J28" s="221"/>
      <c r="K28" s="221"/>
      <c r="L28" s="221"/>
      <c r="M28" s="221"/>
      <c r="N28" s="221"/>
      <c r="O28" s="221"/>
      <c r="P28" s="221"/>
      <c r="Q28" s="221"/>
      <c r="R28" s="221"/>
      <c r="S28" s="221"/>
      <c r="T28" s="221"/>
      <c r="U28" s="221"/>
      <c r="V28" s="221"/>
      <c r="W28" s="221"/>
      <c r="X28" s="221"/>
      <c r="Y28" s="221"/>
      <c r="Z28" s="221"/>
      <c r="AA28" s="221"/>
      <c r="AB28" s="221"/>
      <c r="AC28" s="221"/>
      <c r="AD28" s="221"/>
      <c r="AE28" s="221"/>
    </row>
    <row r="29" spans="1:31" x14ac:dyDescent="0.25">
      <c r="A29" s="221"/>
      <c r="B29" s="221"/>
      <c r="C29" s="221"/>
      <c r="D29" s="221"/>
      <c r="E29" s="221"/>
      <c r="F29" s="221"/>
      <c r="G29" s="221"/>
      <c r="H29" s="221"/>
      <c r="I29" s="221"/>
      <c r="J29" s="221"/>
      <c r="K29" s="221"/>
      <c r="L29" s="221"/>
      <c r="M29" s="221"/>
      <c r="N29" s="221"/>
      <c r="O29" s="221"/>
      <c r="P29" s="221"/>
      <c r="Q29" s="221"/>
      <c r="R29" s="221"/>
      <c r="S29" s="221"/>
      <c r="T29" s="221"/>
      <c r="U29" s="221"/>
      <c r="V29" s="221"/>
      <c r="W29" s="221"/>
      <c r="X29" s="221"/>
      <c r="Y29" s="221"/>
      <c r="Z29" s="221"/>
      <c r="AA29" s="221"/>
      <c r="AB29" s="221"/>
      <c r="AC29" s="221"/>
      <c r="AD29" s="221"/>
      <c r="AE29" s="221"/>
    </row>
    <row r="30" spans="1:31" x14ac:dyDescent="0.25">
      <c r="A30" s="221"/>
      <c r="B30" s="221"/>
      <c r="C30" s="221"/>
      <c r="D30" s="221"/>
      <c r="E30" s="221"/>
      <c r="F30" s="221"/>
      <c r="G30" s="221"/>
      <c r="H30" s="221"/>
      <c r="I30" s="221"/>
      <c r="J30" s="221"/>
      <c r="K30" s="221"/>
      <c r="L30" s="221"/>
      <c r="M30" s="221"/>
      <c r="N30" s="221"/>
      <c r="O30" s="221"/>
      <c r="P30" s="221"/>
      <c r="Q30" s="221"/>
      <c r="R30" s="221"/>
      <c r="S30" s="221"/>
      <c r="T30" s="221"/>
      <c r="U30" s="221"/>
      <c r="V30" s="221"/>
      <c r="W30" s="221"/>
      <c r="X30" s="221"/>
      <c r="Y30" s="221"/>
      <c r="Z30" s="221"/>
      <c r="AA30" s="221"/>
      <c r="AB30" s="221"/>
      <c r="AC30" s="221"/>
      <c r="AD30" s="221"/>
      <c r="AE30" s="221"/>
    </row>
    <row r="31" spans="1:31" x14ac:dyDescent="0.25">
      <c r="A31" s="221"/>
      <c r="B31" s="221"/>
      <c r="C31" s="221"/>
      <c r="D31" s="221"/>
      <c r="E31" s="221"/>
      <c r="F31" s="221"/>
      <c r="G31" s="221"/>
      <c r="H31" s="221"/>
      <c r="I31" s="221"/>
      <c r="J31" s="221"/>
      <c r="K31" s="221"/>
      <c r="L31" s="221"/>
      <c r="M31" s="221"/>
      <c r="N31" s="221"/>
      <c r="O31" s="221"/>
      <c r="P31" s="221"/>
      <c r="Q31" s="221"/>
      <c r="R31" s="221"/>
      <c r="S31" s="221"/>
      <c r="T31" s="221"/>
      <c r="U31" s="221"/>
      <c r="V31" s="221"/>
      <c r="W31" s="221"/>
      <c r="X31" s="221"/>
      <c r="Y31" s="221"/>
      <c r="Z31" s="221"/>
      <c r="AA31" s="221"/>
      <c r="AB31" s="221"/>
      <c r="AC31" s="221"/>
      <c r="AD31" s="221"/>
      <c r="AE31" s="221"/>
    </row>
    <row r="32" spans="1:31" x14ac:dyDescent="0.25">
      <c r="A32" s="221"/>
      <c r="B32" s="221"/>
      <c r="C32" s="221"/>
      <c r="D32" s="221"/>
      <c r="E32" s="221"/>
      <c r="F32" s="221"/>
      <c r="G32" s="221"/>
      <c r="H32" s="221"/>
      <c r="I32" s="221"/>
      <c r="J32" s="221"/>
      <c r="K32" s="221"/>
      <c r="L32" s="221"/>
      <c r="M32" s="221"/>
      <c r="N32" s="221"/>
      <c r="O32" s="221"/>
      <c r="P32" s="221"/>
      <c r="Q32" s="221"/>
      <c r="R32" s="221"/>
      <c r="S32" s="221"/>
      <c r="T32" s="221"/>
      <c r="U32" s="221"/>
      <c r="V32" s="221"/>
      <c r="W32" s="221"/>
      <c r="X32" s="221"/>
      <c r="Y32" s="221"/>
      <c r="Z32" s="221"/>
      <c r="AA32" s="221"/>
      <c r="AB32" s="221"/>
      <c r="AC32" s="221"/>
      <c r="AD32" s="221"/>
      <c r="AE32" s="221"/>
    </row>
    <row r="33" spans="1:31" x14ac:dyDescent="0.25">
      <c r="A33" s="221"/>
      <c r="B33" s="221"/>
      <c r="C33" s="221"/>
      <c r="D33" s="221"/>
      <c r="E33" s="221"/>
      <c r="F33" s="221"/>
      <c r="G33" s="221"/>
      <c r="H33" s="221"/>
      <c r="I33" s="221"/>
      <c r="J33" s="221"/>
      <c r="K33" s="221"/>
      <c r="L33" s="221"/>
      <c r="M33" s="221"/>
      <c r="N33" s="221"/>
      <c r="O33" s="221"/>
      <c r="P33" s="221"/>
      <c r="Q33" s="221"/>
      <c r="R33" s="221"/>
      <c r="S33" s="221"/>
      <c r="T33" s="221"/>
      <c r="U33" s="221"/>
      <c r="V33" s="221"/>
      <c r="W33" s="221"/>
      <c r="X33" s="221"/>
      <c r="Y33" s="221"/>
      <c r="Z33" s="221"/>
      <c r="AA33" s="221"/>
      <c r="AB33" s="221"/>
      <c r="AC33" s="221"/>
      <c r="AD33" s="221"/>
      <c r="AE33" s="221"/>
    </row>
  </sheetData>
  <protectedRanges>
    <protectedRange algorithmName="SHA-512" hashValue="n6K25g9uzAcpntxjqTQaPVdKX1eij75CLB1gBuUNBybVL5B3VaxVW/Tcen54TXijIel0fCN9KO3xZiLZCJMSZw==" saltValue="89UdTK4UUElaUoKBccfOYw==" spinCount="100000" sqref="D4" name="CIN CDP_1_1_1"/>
    <protectedRange algorithmName="SHA-512" hashValue="n6K25g9uzAcpntxjqTQaPVdKX1eij75CLB1gBuUNBybVL5B3VaxVW/Tcen54TXijIel0fCN9KO3xZiLZCJMSZw==" saltValue="89UdTK4UUElaUoKBccfOYw==" spinCount="100000" sqref="D8" name="CIN CDP_1_1_5"/>
    <protectedRange algorithmName="SHA-512" hashValue="n6K25g9uzAcpntxjqTQaPVdKX1eij75CLB1gBuUNBybVL5B3VaxVW/Tcen54TXijIel0fCN9KO3xZiLZCJMSZw==" saltValue="89UdTK4UUElaUoKBccfOYw==" spinCount="100000" sqref="D9" name="CIN CDP_1_1_6"/>
    <protectedRange algorithmName="SHA-512" hashValue="n6K25g9uzAcpntxjqTQaPVdKX1eij75CLB1gBuUNBybVL5B3VaxVW/Tcen54TXijIel0fCN9KO3xZiLZCJMSZw==" saltValue="89UdTK4UUElaUoKBccfOYw==" spinCount="100000" sqref="D10" name="CIN CDP_1_1_7"/>
    <protectedRange algorithmName="SHA-512" hashValue="n6K25g9uzAcpntxjqTQaPVdKX1eij75CLB1gBuUNBybVL5B3VaxVW/Tcen54TXijIel0fCN9KO3xZiLZCJMSZw==" saltValue="89UdTK4UUElaUoKBccfOYw==" spinCount="100000" sqref="C11:D11" name="CIN CDP_1_1_8"/>
    <protectedRange algorithmName="SHA-512" hashValue="n6K25g9uzAcpntxjqTQaPVdKX1eij75CLB1gBuUNBybVL5B3VaxVW/Tcen54TXijIel0fCN9KO3xZiLZCJMSZw==" saltValue="89UdTK4UUElaUoKBccfOYw==" spinCount="100000" sqref="C13:D13" name="CIN CDP_1_1"/>
    <protectedRange algorithmName="SHA-512" hashValue="n6K25g9uzAcpntxjqTQaPVdKX1eij75CLB1gBuUNBybVL5B3VaxVW/Tcen54TXijIel0fCN9KO3xZiLZCJMSZw==" saltValue="89UdTK4UUElaUoKBccfOYw==" spinCount="100000" sqref="C14:D14" name="CIN CDP_1_1_2"/>
    <protectedRange algorithmName="SHA-512" hashValue="n6K25g9uzAcpntxjqTQaPVdKX1eij75CLB1gBuUNBybVL5B3VaxVW/Tcen54TXijIel0fCN9KO3xZiLZCJMSZw==" saltValue="89UdTK4UUElaUoKBccfOYw==" spinCount="100000" sqref="C15:D15" name="CIN CDP_1_1_9"/>
    <protectedRange algorithmName="SHA-512" hashValue="n6K25g9uzAcpntxjqTQaPVdKX1eij75CLB1gBuUNBybVL5B3VaxVW/Tcen54TXijIel0fCN9KO3xZiLZCJMSZw==" saltValue="89UdTK4UUElaUoKBccfOYw==" spinCount="100000" sqref="C16:D16" name="CIN CDP_1_1_4"/>
    <protectedRange algorithmName="SHA-512" hashValue="n6K25g9uzAcpntxjqTQaPVdKX1eij75CLB1gBuUNBybVL5B3VaxVW/Tcen54TXijIel0fCN9KO3xZiLZCJMSZw==" saltValue="89UdTK4UUElaUoKBccfOYw==" spinCount="100000" sqref="D17" name="CIN CDP_1_1_10"/>
    <protectedRange algorithmName="SHA-512" hashValue="n6K25g9uzAcpntxjqTQaPVdKX1eij75CLB1gBuUNBybVL5B3VaxVW/Tcen54TXijIel0fCN9KO3xZiLZCJMSZw==" saltValue="89UdTK4UUElaUoKBccfOYw==" spinCount="100000" sqref="D18" name="CIN CDP_1_1_11"/>
    <protectedRange algorithmName="SHA-512" hashValue="n6K25g9uzAcpntxjqTQaPVdKX1eij75CLB1gBuUNBybVL5B3VaxVW/Tcen54TXijIel0fCN9KO3xZiLZCJMSZw==" saltValue="89UdTK4UUElaUoKBccfOYw==" spinCount="100000" sqref="D19" name="CIN CDP_1_1_15"/>
  </protectedRanges>
  <conditionalFormatting sqref="B13">
    <cfRule type="expression" dxfId="1663" priority="41">
      <formula>$AB13="McQueen, Jennifer"</formula>
    </cfRule>
    <cfRule type="expression" dxfId="1662" priority="40">
      <formula>$AB13="Jenne, Richard"</formula>
    </cfRule>
    <cfRule type="expression" dxfId="1661" priority="39">
      <formula>$AB13="Benzick, Sue"</formula>
    </cfRule>
  </conditionalFormatting>
  <conditionalFormatting sqref="E11 Y11:Z11">
    <cfRule type="expression" dxfId="1660" priority="52">
      <formula>$Z11="Benzick, Sue"</formula>
    </cfRule>
    <cfRule type="expression" dxfId="1659" priority="53">
      <formula>$Z11="Jenne, Richard"</formula>
    </cfRule>
  </conditionalFormatting>
  <conditionalFormatting sqref="F15">
    <cfRule type="expression" dxfId="1655" priority="16">
      <formula>#REF!="Benzick, Sue"</formula>
    </cfRule>
    <cfRule type="expression" dxfId="1654" priority="17">
      <formula>#REF!="Jenne, Richard"</formula>
    </cfRule>
    <cfRule type="expression" dxfId="1653" priority="18">
      <formula>#REF!="McQueen, Jennifer"</formula>
    </cfRule>
  </conditionalFormatting>
  <conditionalFormatting sqref="F16:G16">
    <cfRule type="expression" dxfId="1652" priority="3">
      <formula>#REF!="Benzick, Sue"</formula>
    </cfRule>
    <cfRule type="expression" dxfId="1651" priority="4">
      <formula>#REF!="Jenne, Richard"</formula>
    </cfRule>
    <cfRule type="expression" dxfId="1650" priority="5">
      <formula>#REF!="McQueen, Jennifer"</formula>
    </cfRule>
  </conditionalFormatting>
  <conditionalFormatting sqref="H4:H11">
    <cfRule type="containsText" dxfId="1649" priority="47" operator="containsText" text="Unfunded">
      <formula>NOT(ISERROR(SEARCH("Unfunded",H4)))</formula>
    </cfRule>
    <cfRule type="containsText" dxfId="1648" priority="48" operator="containsText" text="Funded">
      <formula>NOT(ISERROR(SEARCH("Funded",H4)))</formula>
    </cfRule>
  </conditionalFormatting>
  <conditionalFormatting sqref="H13:H16">
    <cfRule type="containsText" dxfId="1647" priority="1" operator="containsText" text="Unfunded">
      <formula>NOT(ISERROR(SEARCH("Unfunded",H13)))</formula>
    </cfRule>
    <cfRule type="containsText" dxfId="1646" priority="2" operator="containsText" text="Funded">
      <formula>NOT(ISERROR(SEARCH("Funded",H13)))</formula>
    </cfRule>
  </conditionalFormatting>
  <conditionalFormatting sqref="I13:I15">
    <cfRule type="expression" dxfId="1642" priority="13">
      <formula>#REF!="Benzick, Sue"</formula>
    </cfRule>
    <cfRule type="expression" dxfId="1641" priority="14">
      <formula>#REF!="Jenne, Richard"</formula>
    </cfRule>
    <cfRule type="expression" dxfId="1640" priority="15">
      <formula>#REF!="McQueen, Jennifer"</formula>
    </cfRule>
  </conditionalFormatting>
  <conditionalFormatting sqref="I16:O16">
    <cfRule type="expression" dxfId="1639" priority="6">
      <formula>#REF!="Benzick, Sue"</formula>
    </cfRule>
    <cfRule type="expression" dxfId="1638" priority="7">
      <formula>#REF!="Jenne, Richard"</formula>
    </cfRule>
    <cfRule type="expression" dxfId="1637" priority="8">
      <formula>#REF!="McQueen, Jennifer"</formula>
    </cfRule>
  </conditionalFormatting>
  <conditionalFormatting sqref="J5:O5">
    <cfRule type="expression" dxfId="1636" priority="68">
      <formula>#REF!="McQueen, Jennifer"</formula>
    </cfRule>
    <cfRule type="expression" dxfId="1635" priority="66">
      <formula>#REF!="Benzick, Sue"</formula>
    </cfRule>
    <cfRule type="expression" dxfId="1634" priority="67">
      <formula>#REF!="Jenne, Richard"</formula>
    </cfRule>
  </conditionalFormatting>
  <conditionalFormatting sqref="J14:O14">
    <cfRule type="expression" dxfId="1633" priority="24">
      <formula>#REF!="Jenne, Richard"</formula>
    </cfRule>
    <cfRule type="expression" dxfId="1632" priority="25">
      <formula>#REF!="McQueen, Jennifer"</formula>
    </cfRule>
    <cfRule type="expression" dxfId="1631" priority="23">
      <formula>#REF!="Benzick, Sue"</formula>
    </cfRule>
  </conditionalFormatting>
  <conditionalFormatting sqref="Z13:Z15">
    <cfRule type="expression" dxfId="1630" priority="20">
      <formula>$Z13="Jenne, Richard"</formula>
    </cfRule>
    <cfRule type="expression" dxfId="1629" priority="19">
      <formula>$Z13="Benzick, Sue"</formula>
    </cfRule>
  </conditionalFormatting>
  <conditionalFormatting sqref="Z16">
    <cfRule type="expression" dxfId="1628" priority="9">
      <formula>$Y16="Benzick, Sue"</formula>
    </cfRule>
    <cfRule type="expression" dxfId="1627" priority="10">
      <formula>$Y16="Jenne, Richard"</formula>
    </cfRule>
  </conditionalFormatting>
  <dataValidations count="1">
    <dataValidation allowBlank="1" showInputMessage="1" showErrorMessage="1" sqref="Y4:Y5 Z6 Y8:Y11 T12 Y13:Y16" xr:uid="{280735AD-9393-4A13-9548-B1BEC2849C05}"/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4" id="{6450F992-AEC1-4CE5-90BF-6CD42276DC4E}">
            <xm:f>'FY 2026 Schedule'!#REF!="Benzick, Sue"</xm:f>
            <x14:dxf>
              <font>
                <b/>
                <i val="0"/>
              </font>
            </x14:dxf>
          </x14:cfRule>
          <x14:cfRule type="expression" priority="45" id="{3C1E4ECB-B9F1-48FB-9C0D-E47C0F29C77D}">
            <xm:f>'FY 2026 Schedule'!#REF!="Jenne, Richard"</xm:f>
            <x14:dxf>
              <font>
                <b/>
                <i val="0"/>
              </font>
            </x14:dxf>
          </x14:cfRule>
          <x14:cfRule type="expression" priority="46" id="{E2C47D4A-BAF6-42CF-A767-1C2D8E78F12A}">
            <xm:f>'FY 2026 Schedule'!#REF!="McQueen, Jennifer"</xm:f>
            <x14:dxf>
              <font>
                <b/>
                <i val="0"/>
              </font>
            </x14:dxf>
          </x14:cfRule>
          <xm:sqref>E12</xm:sqref>
        </x14:conditionalFormatting>
        <x14:conditionalFormatting xmlns:xm="http://schemas.microsoft.com/office/excel/2006/main">
          <x14:cfRule type="expression" priority="49" id="{85F36C4D-7022-451F-A5E8-06EDA207C5B1}">
            <xm:f>'FY 2026 Schedule'!#REF!="Benzick, Sue"</xm:f>
            <x14:dxf>
              <font>
                <b/>
                <i val="0"/>
              </font>
            </x14:dxf>
          </x14:cfRule>
          <x14:cfRule type="expression" priority="50" id="{F9CF1551-68CF-49B0-80C6-3D2D7CBAC9B7}">
            <xm:f>'FY 2026 Schedule'!#REF!="Jenne, Richard"</xm:f>
            <x14:dxf>
              <font>
                <b/>
                <i val="0"/>
              </font>
            </x14:dxf>
          </x14:cfRule>
          <x14:cfRule type="expression" priority="51" id="{2B782D55-0045-42B3-86BD-52A5DB9879C2}">
            <xm:f>'FY 2026 Schedule'!#REF!="McQueen, Jennifer"</xm:f>
            <x14:dxf>
              <font>
                <b/>
                <i val="0"/>
              </font>
            </x14:dxf>
          </x14:cfRule>
          <xm:sqref>I11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84DEEC20-2CBD-48B2-B014-51948FF1B981}">
          <x14:formula1>
            <xm:f>'TSD-Data'!$Q$2:$Q$13</xm:f>
          </x14:formula1>
          <xm:sqref>R4:R5 S6 R8:R11 M12 R13:R16</xm:sqref>
        </x14:dataValidation>
        <x14:dataValidation type="list" allowBlank="1" showInputMessage="1" showErrorMessage="1" xr:uid="{25075241-160E-433D-87AF-62DABA40036C}">
          <x14:formula1>
            <xm:f>'TSD-Data'!$N$2:$N$10</xm:f>
          </x14:formula1>
          <xm:sqref>AD4:AD5 AD11 Y12 AD13:AD16</xm:sqref>
        </x14:dataValidation>
        <x14:dataValidation type="list" allowBlank="1" showInputMessage="1" showErrorMessage="1" xr:uid="{12B7A7D4-296D-4D60-9BF9-E690C2577975}">
          <x14:formula1>
            <xm:f>'TSD-Data'!$L$2:$L$102</xm:f>
          </x14:formula1>
          <xm:sqref>E4:E5 E7 E11 E13:E19</xm:sqref>
        </x14:dataValidation>
        <x14:dataValidation type="list" allowBlank="1" showInputMessage="1" showErrorMessage="1" xr:uid="{9B760F2C-AAA5-4777-93A2-EEE7453008FF}">
          <x14:formula1>
            <xm:f>'TSD-Data'!$A$2:$A$70</xm:f>
          </x14:formula1>
          <xm:sqref>B4:B5 B7</xm:sqref>
        </x14:dataValidation>
        <x14:dataValidation type="list" allowBlank="1" showInputMessage="1" showErrorMessage="1" xr:uid="{721DAE03-5107-4601-96DA-74459EE8872E}">
          <x14:formula1>
            <xm:f>'TSD-Data'!$A$2:$A$77</xm:f>
          </x14:formula1>
          <xm:sqref>B11:B19</xm:sqref>
        </x14:dataValidation>
        <x14:dataValidation type="list" allowBlank="1" showInputMessage="1" showErrorMessage="1" xr:uid="{1987BB65-ACC6-465A-B135-7C00A4A2118B}">
          <x14:formula1>
            <xm:f>'TSD-Data'!$H$2:$H$45</xm:f>
          </x14:formula1>
          <xm:sqref>P4:Q5 P13:Q16 K12:L12 P8:Q11 Q6:R6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9DE3D-EB10-4E9D-B779-3906CC1B29D9}">
  <dimension ref="A1:Y15"/>
  <sheetViews>
    <sheetView workbookViewId="0">
      <selection sqref="A1:A1048576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178</v>
      </c>
    </row>
    <row r="3" spans="1:25" x14ac:dyDescent="0.25">
      <c r="A3" t="s">
        <v>179</v>
      </c>
      <c r="B3" t="s">
        <v>180</v>
      </c>
      <c r="C3" t="s">
        <v>181</v>
      </c>
      <c r="D3" t="s">
        <v>32</v>
      </c>
      <c r="E3" t="s">
        <v>182</v>
      </c>
      <c r="F3" t="s">
        <v>36</v>
      </c>
      <c r="G3" t="s">
        <v>38</v>
      </c>
      <c r="H3" t="s">
        <v>41</v>
      </c>
      <c r="I3" t="s">
        <v>183</v>
      </c>
      <c r="J3" t="s">
        <v>184</v>
      </c>
      <c r="K3" t="s">
        <v>55</v>
      </c>
      <c r="L3" t="s">
        <v>58</v>
      </c>
      <c r="M3" t="s">
        <v>185</v>
      </c>
      <c r="N3" t="s">
        <v>186</v>
      </c>
      <c r="O3" t="s">
        <v>187</v>
      </c>
      <c r="P3" t="s">
        <v>188</v>
      </c>
      <c r="Q3" t="s">
        <v>189</v>
      </c>
      <c r="R3" t="s">
        <v>190</v>
      </c>
      <c r="S3" t="s">
        <v>191</v>
      </c>
      <c r="T3" t="s">
        <v>192</v>
      </c>
      <c r="U3" t="s">
        <v>193</v>
      </c>
      <c r="V3" t="s">
        <v>194</v>
      </c>
      <c r="W3" t="s">
        <v>116</v>
      </c>
      <c r="X3" t="s">
        <v>195</v>
      </c>
      <c r="Y3" t="s">
        <v>196</v>
      </c>
    </row>
    <row r="4" spans="1:25" x14ac:dyDescent="0.25">
      <c r="A4" t="s">
        <v>197</v>
      </c>
      <c r="B4" t="s">
        <v>198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199</v>
      </c>
      <c r="B5" t="s">
        <v>198</v>
      </c>
      <c r="C5">
        <v>2</v>
      </c>
      <c r="D5">
        <v>2</v>
      </c>
      <c r="E5">
        <v>2</v>
      </c>
      <c r="F5">
        <v>2</v>
      </c>
      <c r="G5">
        <v>2</v>
      </c>
      <c r="H5">
        <v>2</v>
      </c>
      <c r="I5">
        <v>4</v>
      </c>
      <c r="K5">
        <v>10</v>
      </c>
      <c r="P5">
        <v>1</v>
      </c>
      <c r="Q5">
        <v>1</v>
      </c>
      <c r="R5">
        <v>2</v>
      </c>
      <c r="S5">
        <v>3</v>
      </c>
      <c r="V5">
        <v>1</v>
      </c>
      <c r="Y5">
        <v>34</v>
      </c>
    </row>
    <row r="6" spans="1:25" x14ac:dyDescent="0.25">
      <c r="A6" t="s">
        <v>200</v>
      </c>
      <c r="B6" t="s">
        <v>198</v>
      </c>
      <c r="M6">
        <v>30</v>
      </c>
      <c r="Q6">
        <v>30</v>
      </c>
      <c r="S6">
        <v>30</v>
      </c>
      <c r="V6">
        <v>30</v>
      </c>
      <c r="Y6">
        <v>120</v>
      </c>
    </row>
    <row r="7" spans="1:25" x14ac:dyDescent="0.25">
      <c r="A7" t="s">
        <v>201</v>
      </c>
      <c r="B7" t="s">
        <v>198</v>
      </c>
      <c r="Y7">
        <v>0</v>
      </c>
    </row>
    <row r="8" spans="1:25" x14ac:dyDescent="0.25">
      <c r="A8" t="s">
        <v>202</v>
      </c>
      <c r="B8" t="s">
        <v>198</v>
      </c>
      <c r="Y8">
        <v>0</v>
      </c>
    </row>
    <row r="9" spans="1:25" x14ac:dyDescent="0.25">
      <c r="A9" t="s">
        <v>203</v>
      </c>
      <c r="B9" t="s">
        <v>198</v>
      </c>
      <c r="W9">
        <v>1</v>
      </c>
      <c r="Y9">
        <v>1</v>
      </c>
    </row>
    <row r="10" spans="1:25" x14ac:dyDescent="0.25">
      <c r="A10" t="s">
        <v>204</v>
      </c>
      <c r="B10" t="s">
        <v>198</v>
      </c>
      <c r="I10">
        <v>2</v>
      </c>
      <c r="Y10">
        <v>2</v>
      </c>
    </row>
    <row r="11" spans="1:25" x14ac:dyDescent="0.25">
      <c r="A11" t="s">
        <v>205</v>
      </c>
      <c r="B11" t="s">
        <v>198</v>
      </c>
      <c r="Y11">
        <v>0</v>
      </c>
    </row>
    <row r="12" spans="1:25" x14ac:dyDescent="0.25">
      <c r="A12" t="s">
        <v>206</v>
      </c>
      <c r="B12" t="s">
        <v>198</v>
      </c>
      <c r="Y12">
        <v>0</v>
      </c>
    </row>
    <row r="13" spans="1:25" x14ac:dyDescent="0.25">
      <c r="A13" t="s">
        <v>207</v>
      </c>
      <c r="B13" t="s">
        <v>198</v>
      </c>
      <c r="Y13">
        <v>0</v>
      </c>
    </row>
    <row r="14" spans="1:25" x14ac:dyDescent="0.25">
      <c r="A14" t="s">
        <v>208</v>
      </c>
      <c r="B14" t="s">
        <v>198</v>
      </c>
      <c r="Y14">
        <v>0</v>
      </c>
    </row>
    <row r="15" spans="1:25" x14ac:dyDescent="0.25">
      <c r="A15" t="s">
        <v>209</v>
      </c>
      <c r="B15" t="s">
        <v>198</v>
      </c>
      <c r="Y15">
        <v>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0669D-2ECC-463B-A7D6-8D15B7D81945}">
  <dimension ref="A1:Y15"/>
  <sheetViews>
    <sheetView workbookViewId="0">
      <selection activeCell="A7" sqref="A7"/>
    </sheetView>
  </sheetViews>
  <sheetFormatPr defaultRowHeight="15" x14ac:dyDescent="0.25"/>
  <cols>
    <col min="1" max="1" width="22.28515625" bestFit="1" customWidth="1"/>
    <col min="2" max="2" width="22.7109375" bestFit="1" customWidth="1"/>
    <col min="3" max="3" width="20.5703125" bestFit="1" customWidth="1"/>
    <col min="4" max="4" width="30" bestFit="1" customWidth="1"/>
    <col min="5" max="5" width="31.7109375" bestFit="1" customWidth="1"/>
    <col min="6" max="6" width="41.28515625" bestFit="1" customWidth="1"/>
    <col min="7" max="7" width="27.42578125" bestFit="1" customWidth="1"/>
    <col min="8" max="8" width="31" bestFit="1" customWidth="1"/>
    <col min="9" max="9" width="44.28515625" bestFit="1" customWidth="1"/>
    <col min="10" max="10" width="24.28515625" bestFit="1" customWidth="1"/>
    <col min="11" max="11" width="30.7109375" bestFit="1" customWidth="1"/>
    <col min="12" max="12" width="37" bestFit="1" customWidth="1"/>
    <col min="13" max="13" width="32.7109375" bestFit="1" customWidth="1"/>
    <col min="14" max="14" width="34.42578125" bestFit="1" customWidth="1"/>
    <col min="15" max="15" width="28.7109375" bestFit="1" customWidth="1"/>
    <col min="16" max="16" width="53" bestFit="1" customWidth="1"/>
    <col min="17" max="17" width="62.7109375" bestFit="1" customWidth="1"/>
    <col min="18" max="18" width="32.28515625" bestFit="1" customWidth="1"/>
    <col min="19" max="19" width="41.28515625" bestFit="1" customWidth="1"/>
    <col min="20" max="20" width="32.28515625" bestFit="1" customWidth="1"/>
    <col min="21" max="21" width="50.42578125" bestFit="1" customWidth="1"/>
    <col min="22" max="22" width="56.7109375" bestFit="1" customWidth="1"/>
    <col min="23" max="23" width="45.28515625" bestFit="1" customWidth="1"/>
    <col min="24" max="24" width="24.28515625" bestFit="1" customWidth="1"/>
  </cols>
  <sheetData>
    <row r="1" spans="1:25" x14ac:dyDescent="0.25">
      <c r="A1" s="7" t="s">
        <v>210</v>
      </c>
    </row>
    <row r="3" spans="1:25" x14ac:dyDescent="0.25">
      <c r="A3" t="s">
        <v>179</v>
      </c>
      <c r="B3" t="s">
        <v>180</v>
      </c>
      <c r="C3" t="s">
        <v>181</v>
      </c>
      <c r="D3" t="s">
        <v>32</v>
      </c>
      <c r="E3" t="s">
        <v>182</v>
      </c>
      <c r="F3" t="s">
        <v>36</v>
      </c>
      <c r="G3" t="s">
        <v>38</v>
      </c>
      <c r="H3" t="s">
        <v>41</v>
      </c>
      <c r="I3" t="s">
        <v>183</v>
      </c>
      <c r="J3" t="s">
        <v>184</v>
      </c>
      <c r="K3" t="s">
        <v>55</v>
      </c>
      <c r="L3" t="s">
        <v>58</v>
      </c>
      <c r="M3" t="s">
        <v>185</v>
      </c>
      <c r="N3" t="s">
        <v>186</v>
      </c>
      <c r="O3" t="s">
        <v>187</v>
      </c>
      <c r="P3" t="s">
        <v>188</v>
      </c>
      <c r="Q3" t="s">
        <v>189</v>
      </c>
      <c r="R3" t="s">
        <v>190</v>
      </c>
      <c r="S3" t="s">
        <v>191</v>
      </c>
      <c r="T3" t="s">
        <v>192</v>
      </c>
      <c r="U3" t="s">
        <v>193</v>
      </c>
      <c r="V3" t="s">
        <v>194</v>
      </c>
      <c r="W3" t="s">
        <v>116</v>
      </c>
      <c r="X3" t="s">
        <v>195</v>
      </c>
      <c r="Y3" t="s">
        <v>196</v>
      </c>
    </row>
    <row r="4" spans="1:25" x14ac:dyDescent="0.25">
      <c r="A4" t="s">
        <v>197</v>
      </c>
      <c r="B4" t="s">
        <v>211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</row>
    <row r="5" spans="1:25" x14ac:dyDescent="0.25">
      <c r="A5" t="s">
        <v>203</v>
      </c>
      <c r="B5" t="s">
        <v>211</v>
      </c>
      <c r="I5">
        <v>1</v>
      </c>
      <c r="U5">
        <v>1</v>
      </c>
      <c r="Y5">
        <v>2</v>
      </c>
    </row>
    <row r="6" spans="1:25" x14ac:dyDescent="0.25">
      <c r="A6" t="s">
        <v>204</v>
      </c>
      <c r="B6" t="s">
        <v>211</v>
      </c>
      <c r="I6">
        <v>2</v>
      </c>
      <c r="P6">
        <v>2</v>
      </c>
      <c r="Q6">
        <v>5</v>
      </c>
      <c r="Y6">
        <v>9</v>
      </c>
    </row>
    <row r="7" spans="1:25" x14ac:dyDescent="0.25">
      <c r="A7" t="s">
        <v>207</v>
      </c>
      <c r="B7" t="s">
        <v>211</v>
      </c>
      <c r="I7">
        <v>5</v>
      </c>
      <c r="W7">
        <v>20</v>
      </c>
      <c r="Y7">
        <v>25</v>
      </c>
    </row>
    <row r="8" spans="1:25" x14ac:dyDescent="0.25">
      <c r="A8" t="s">
        <v>199</v>
      </c>
      <c r="B8" t="s">
        <v>211</v>
      </c>
      <c r="C8">
        <v>2</v>
      </c>
      <c r="D8">
        <v>5</v>
      </c>
      <c r="E8">
        <v>1</v>
      </c>
      <c r="F8">
        <v>3</v>
      </c>
      <c r="G8">
        <v>2</v>
      </c>
      <c r="H8">
        <v>4</v>
      </c>
      <c r="I8">
        <v>11</v>
      </c>
      <c r="K8">
        <v>2</v>
      </c>
      <c r="O8">
        <v>1</v>
      </c>
      <c r="P8">
        <v>1</v>
      </c>
      <c r="Q8">
        <v>1</v>
      </c>
      <c r="R8">
        <v>7</v>
      </c>
      <c r="S8">
        <v>8</v>
      </c>
      <c r="V8">
        <v>3</v>
      </c>
      <c r="Y8">
        <v>51</v>
      </c>
    </row>
    <row r="9" spans="1:25" x14ac:dyDescent="0.25">
      <c r="A9" t="s">
        <v>200</v>
      </c>
      <c r="B9" t="s">
        <v>211</v>
      </c>
      <c r="M9">
        <v>20</v>
      </c>
      <c r="N9">
        <v>20</v>
      </c>
      <c r="P9">
        <v>20</v>
      </c>
      <c r="Q9">
        <v>20</v>
      </c>
      <c r="R9">
        <v>20</v>
      </c>
      <c r="S9">
        <v>20</v>
      </c>
      <c r="T9">
        <v>20</v>
      </c>
      <c r="V9">
        <v>20</v>
      </c>
      <c r="X9">
        <v>30</v>
      </c>
      <c r="Y9">
        <v>190</v>
      </c>
    </row>
    <row r="10" spans="1:25" x14ac:dyDescent="0.25">
      <c r="A10" t="s">
        <v>201</v>
      </c>
      <c r="B10" t="s">
        <v>211</v>
      </c>
      <c r="Y10">
        <v>0</v>
      </c>
    </row>
    <row r="11" spans="1:25" x14ac:dyDescent="0.25">
      <c r="A11" t="s">
        <v>202</v>
      </c>
      <c r="B11" t="s">
        <v>211</v>
      </c>
      <c r="Y11">
        <v>0</v>
      </c>
    </row>
    <row r="12" spans="1:25" x14ac:dyDescent="0.25">
      <c r="A12" t="s">
        <v>205</v>
      </c>
      <c r="B12" t="s">
        <v>211</v>
      </c>
      <c r="Y12">
        <v>0</v>
      </c>
    </row>
    <row r="13" spans="1:25" x14ac:dyDescent="0.25">
      <c r="A13" t="s">
        <v>206</v>
      </c>
      <c r="B13" t="s">
        <v>211</v>
      </c>
      <c r="Y13">
        <v>0</v>
      </c>
    </row>
    <row r="14" spans="1:25" x14ac:dyDescent="0.25">
      <c r="A14" t="s">
        <v>208</v>
      </c>
      <c r="B14" t="s">
        <v>211</v>
      </c>
      <c r="Y14">
        <v>0</v>
      </c>
    </row>
    <row r="15" spans="1:25" x14ac:dyDescent="0.25">
      <c r="A15" t="s">
        <v>209</v>
      </c>
      <c r="B15" t="s">
        <v>211</v>
      </c>
      <c r="Y15">
        <v>0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4B784-AD2D-4C05-B0C6-AB39F370FAAF}">
  <dimension ref="A1:H16"/>
  <sheetViews>
    <sheetView workbookViewId="0"/>
  </sheetViews>
  <sheetFormatPr defaultRowHeight="15" x14ac:dyDescent="0.25"/>
  <cols>
    <col min="1" max="1" width="22.28515625" bestFit="1" customWidth="1"/>
    <col min="2" max="2" width="52.28515625" bestFit="1" customWidth="1"/>
    <col min="3" max="3" width="29.7109375" bestFit="1" customWidth="1"/>
    <col min="4" max="4" width="43.5703125" bestFit="1" customWidth="1"/>
    <col min="5" max="5" width="33.5703125" bestFit="1" customWidth="1"/>
    <col min="6" max="6" width="28.7109375" bestFit="1" customWidth="1"/>
    <col min="7" max="7" width="27" bestFit="1" customWidth="1"/>
    <col min="8" max="8" width="32.7109375" bestFit="1" customWidth="1"/>
  </cols>
  <sheetData>
    <row r="1" spans="1:8" x14ac:dyDescent="0.25">
      <c r="A1" s="7" t="s">
        <v>212</v>
      </c>
    </row>
    <row r="3" spans="1:8" x14ac:dyDescent="0.25">
      <c r="A3" t="s">
        <v>179</v>
      </c>
      <c r="B3" t="s">
        <v>213</v>
      </c>
      <c r="C3" t="s">
        <v>214</v>
      </c>
      <c r="D3" t="s">
        <v>215</v>
      </c>
      <c r="E3" t="s">
        <v>216</v>
      </c>
      <c r="F3" t="s">
        <v>217</v>
      </c>
      <c r="G3" t="s">
        <v>218</v>
      </c>
      <c r="H3" t="s">
        <v>219</v>
      </c>
    </row>
    <row r="4" spans="1:8" x14ac:dyDescent="0.25">
      <c r="A4" t="s">
        <v>220</v>
      </c>
      <c r="B4" t="s">
        <v>221</v>
      </c>
      <c r="C4">
        <v>0</v>
      </c>
      <c r="D4">
        <v>19</v>
      </c>
      <c r="E4">
        <v>40</v>
      </c>
      <c r="F4">
        <v>6</v>
      </c>
      <c r="G4">
        <v>9</v>
      </c>
      <c r="H4">
        <v>1</v>
      </c>
    </row>
    <row r="5" spans="1:8" x14ac:dyDescent="0.25">
      <c r="A5" t="s">
        <v>209</v>
      </c>
      <c r="B5" t="s">
        <v>221</v>
      </c>
      <c r="C5">
        <v>0</v>
      </c>
      <c r="D5">
        <v>6</v>
      </c>
      <c r="E5">
        <v>24</v>
      </c>
      <c r="F5">
        <v>3</v>
      </c>
      <c r="G5">
        <v>4</v>
      </c>
      <c r="H5">
        <v>4</v>
      </c>
    </row>
    <row r="6" spans="1:8" x14ac:dyDescent="0.25">
      <c r="A6" t="s">
        <v>199</v>
      </c>
      <c r="B6" t="s">
        <v>221</v>
      </c>
      <c r="C6">
        <v>3</v>
      </c>
      <c r="D6">
        <v>12</v>
      </c>
      <c r="E6">
        <v>50</v>
      </c>
      <c r="F6">
        <v>11</v>
      </c>
      <c r="G6">
        <v>17</v>
      </c>
      <c r="H6">
        <v>32</v>
      </c>
    </row>
    <row r="7" spans="1:8" x14ac:dyDescent="0.25">
      <c r="A7" t="s">
        <v>197</v>
      </c>
      <c r="B7" t="s">
        <v>221</v>
      </c>
      <c r="C7">
        <v>10</v>
      </c>
      <c r="D7">
        <v>10</v>
      </c>
      <c r="E7">
        <v>71</v>
      </c>
      <c r="F7">
        <v>0</v>
      </c>
      <c r="G7">
        <v>0</v>
      </c>
      <c r="H7">
        <v>0</v>
      </c>
    </row>
    <row r="8" spans="1:8" x14ac:dyDescent="0.25">
      <c r="A8" t="s">
        <v>200</v>
      </c>
      <c r="B8" t="s">
        <v>221</v>
      </c>
      <c r="E8">
        <v>10</v>
      </c>
    </row>
    <row r="9" spans="1:8" x14ac:dyDescent="0.25">
      <c r="A9" t="s">
        <v>201</v>
      </c>
      <c r="B9" t="s">
        <v>221</v>
      </c>
      <c r="E9">
        <v>28</v>
      </c>
      <c r="F9">
        <v>5</v>
      </c>
      <c r="G9">
        <v>17</v>
      </c>
      <c r="H9">
        <v>33</v>
      </c>
    </row>
    <row r="10" spans="1:8" x14ac:dyDescent="0.25">
      <c r="A10" t="s">
        <v>202</v>
      </c>
      <c r="B10" t="s">
        <v>221</v>
      </c>
      <c r="E10">
        <v>1</v>
      </c>
    </row>
    <row r="11" spans="1:8" x14ac:dyDescent="0.25">
      <c r="A11" t="s">
        <v>203</v>
      </c>
      <c r="B11" t="s">
        <v>221</v>
      </c>
      <c r="E11">
        <v>4</v>
      </c>
      <c r="H11">
        <v>3</v>
      </c>
    </row>
    <row r="12" spans="1:8" x14ac:dyDescent="0.25">
      <c r="A12" t="s">
        <v>204</v>
      </c>
      <c r="B12" t="s">
        <v>221</v>
      </c>
      <c r="D12">
        <v>2</v>
      </c>
      <c r="E12">
        <v>11</v>
      </c>
      <c r="F12">
        <v>1</v>
      </c>
    </row>
    <row r="13" spans="1:8" x14ac:dyDescent="0.25">
      <c r="A13" t="s">
        <v>205</v>
      </c>
      <c r="B13" t="s">
        <v>221</v>
      </c>
      <c r="D13">
        <v>3</v>
      </c>
      <c r="E13">
        <v>21</v>
      </c>
      <c r="F13">
        <v>30</v>
      </c>
      <c r="H13">
        <v>24</v>
      </c>
    </row>
    <row r="14" spans="1:8" x14ac:dyDescent="0.25">
      <c r="A14" t="s">
        <v>206</v>
      </c>
      <c r="B14" t="s">
        <v>221</v>
      </c>
      <c r="E14">
        <v>19</v>
      </c>
      <c r="H14">
        <v>2</v>
      </c>
    </row>
    <row r="15" spans="1:8" x14ac:dyDescent="0.25">
      <c r="A15" t="s">
        <v>207</v>
      </c>
      <c r="B15" t="s">
        <v>221</v>
      </c>
      <c r="E15">
        <v>1</v>
      </c>
      <c r="F15">
        <v>4</v>
      </c>
      <c r="H15">
        <v>12</v>
      </c>
    </row>
    <row r="16" spans="1:8" x14ac:dyDescent="0.25">
      <c r="A16" t="s">
        <v>208</v>
      </c>
      <c r="B16" t="s">
        <v>221</v>
      </c>
      <c r="D16">
        <v>1</v>
      </c>
      <c r="E16">
        <v>6</v>
      </c>
      <c r="F16">
        <v>3</v>
      </c>
      <c r="H16">
        <v>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4C912-3E3D-4CF2-94A0-679216147277}">
  <sheetPr>
    <pageSetUpPr fitToPage="1"/>
  </sheetPr>
  <dimension ref="A1:AA479"/>
  <sheetViews>
    <sheetView zoomScale="90" zoomScaleNormal="90" workbookViewId="0">
      <selection activeCell="A3" sqref="A3"/>
    </sheetView>
  </sheetViews>
  <sheetFormatPr defaultColWidth="8.7109375" defaultRowHeight="15" x14ac:dyDescent="0.25"/>
  <cols>
    <col min="1" max="1" width="42.7109375" style="8" bestFit="1" customWidth="1"/>
    <col min="2" max="2" width="64.28515625" style="9" customWidth="1"/>
    <col min="3" max="3" width="14.28515625" style="2" customWidth="1"/>
    <col min="4" max="4" width="16.28515625" style="11" customWidth="1"/>
    <col min="5" max="5" width="21.7109375" style="9" hidden="1" customWidth="1"/>
    <col min="6" max="6" width="17" style="10" bestFit="1" customWidth="1"/>
    <col min="7" max="7" width="15.7109375" style="10" bestFit="1" customWidth="1"/>
    <col min="8" max="8" width="9.7109375" style="33" hidden="1" customWidth="1"/>
    <col min="9" max="9" width="9.7109375" style="33" customWidth="1"/>
    <col min="10" max="14" width="9.7109375" style="33" hidden="1" customWidth="1"/>
    <col min="15" max="15" width="20" style="9" bestFit="1" customWidth="1"/>
    <col min="16" max="16" width="18.42578125" style="9" hidden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2" hidden="1" customWidth="1"/>
    <col min="21" max="21" width="12.28515625" style="32" hidden="1" customWidth="1"/>
    <col min="22" max="22" width="16.42578125" style="32" hidden="1" customWidth="1"/>
    <col min="23" max="23" width="15.7109375" style="32" hidden="1" customWidth="1"/>
    <col min="24" max="24" width="16.5703125" style="8" hidden="1" customWidth="1"/>
    <col min="25" max="25" width="16" style="32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222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30" customFormat="1" ht="72" customHeight="1" thickBot="1" x14ac:dyDescent="0.3">
      <c r="A3" s="26" t="s">
        <v>223</v>
      </c>
      <c r="B3" s="26" t="s">
        <v>130</v>
      </c>
      <c r="C3" s="26" t="s">
        <v>11</v>
      </c>
      <c r="D3" s="93" t="s">
        <v>131</v>
      </c>
      <c r="E3" s="26" t="s">
        <v>132</v>
      </c>
      <c r="F3" s="27" t="s">
        <v>133</v>
      </c>
      <c r="G3" s="27" t="s">
        <v>134</v>
      </c>
      <c r="H3" s="62" t="s">
        <v>135</v>
      </c>
      <c r="I3" s="62" t="s">
        <v>136</v>
      </c>
      <c r="J3" s="62" t="s">
        <v>137</v>
      </c>
      <c r="K3" s="62" t="s">
        <v>138</v>
      </c>
      <c r="L3" s="62" t="s">
        <v>139</v>
      </c>
      <c r="M3" s="62" t="s">
        <v>140</v>
      </c>
      <c r="N3" s="62" t="s">
        <v>141</v>
      </c>
      <c r="O3" s="26" t="s">
        <v>142</v>
      </c>
      <c r="P3" s="26" t="s">
        <v>143</v>
      </c>
      <c r="Q3" s="29" t="s">
        <v>144</v>
      </c>
      <c r="R3" s="29" t="s">
        <v>146</v>
      </c>
      <c r="S3" s="28" t="s">
        <v>150</v>
      </c>
      <c r="T3" s="28" t="s">
        <v>151</v>
      </c>
      <c r="U3" s="28" t="s">
        <v>152</v>
      </c>
      <c r="V3" s="28" t="s">
        <v>153</v>
      </c>
      <c r="W3" s="28" t="s">
        <v>154</v>
      </c>
      <c r="X3" s="28" t="s">
        <v>155</v>
      </c>
      <c r="Y3" s="28" t="s">
        <v>156</v>
      </c>
      <c r="Z3" s="28" t="s">
        <v>157</v>
      </c>
      <c r="AA3" s="28" t="s">
        <v>158</v>
      </c>
    </row>
    <row r="4" spans="1:27" s="76" customFormat="1" x14ac:dyDescent="0.25">
      <c r="A4" s="69"/>
      <c r="B4" s="197" t="s">
        <v>23</v>
      </c>
      <c r="C4" s="70" t="s">
        <v>26</v>
      </c>
      <c r="D4" s="70" t="s">
        <v>27</v>
      </c>
      <c r="E4" s="69"/>
      <c r="F4" s="72">
        <v>45600</v>
      </c>
      <c r="G4" s="72">
        <v>45604</v>
      </c>
      <c r="H4" s="75"/>
      <c r="I4" s="75">
        <v>0.54166666666666663</v>
      </c>
      <c r="J4" s="72"/>
      <c r="K4" s="72"/>
      <c r="L4" s="72"/>
      <c r="M4" s="72"/>
      <c r="N4" s="72"/>
      <c r="O4" s="69" t="s">
        <v>224</v>
      </c>
      <c r="P4" s="69"/>
      <c r="Q4" s="73">
        <v>45</v>
      </c>
      <c r="R4" s="198">
        <v>5</v>
      </c>
      <c r="S4" s="73"/>
      <c r="T4" s="73"/>
      <c r="U4" s="14"/>
      <c r="V4" s="14"/>
      <c r="W4" s="14"/>
      <c r="X4" s="69"/>
      <c r="Y4" s="60">
        <f ca="1">Table210[[#This Row],[End Date]]+2-TODAY()</f>
        <v>-401</v>
      </c>
      <c r="Z4" s="14">
        <f>IF(ISBLANK(Table210[[#This Row],[Roster Received By]]),1,0)</f>
        <v>1</v>
      </c>
      <c r="AA4" s="14">
        <f ca="1">IF(Table210[[#This Row],[Start Date]]&gt;TODAY(),1,)</f>
        <v>0</v>
      </c>
    </row>
    <row r="5" spans="1:27" s="76" customFormat="1" x14ac:dyDescent="0.25">
      <c r="A5" s="52"/>
      <c r="B5" s="197" t="s">
        <v>23</v>
      </c>
      <c r="C5" s="70" t="s">
        <v>26</v>
      </c>
      <c r="D5" s="70" t="s">
        <v>27</v>
      </c>
      <c r="E5" s="69"/>
      <c r="F5" s="72">
        <v>45635</v>
      </c>
      <c r="G5" s="72">
        <v>45639</v>
      </c>
      <c r="H5" s="78"/>
      <c r="I5" s="75">
        <v>0.33333333333333331</v>
      </c>
      <c r="J5" s="72"/>
      <c r="K5" s="72"/>
      <c r="L5" s="72"/>
      <c r="M5" s="72"/>
      <c r="N5" s="72"/>
      <c r="O5" s="69" t="s">
        <v>224</v>
      </c>
      <c r="P5" s="69"/>
      <c r="Q5" s="73">
        <v>45</v>
      </c>
      <c r="R5" s="198">
        <v>5</v>
      </c>
      <c r="S5" s="73"/>
      <c r="T5" s="73"/>
      <c r="U5" s="14"/>
      <c r="V5" s="14"/>
      <c r="W5" s="14"/>
      <c r="X5" s="69"/>
      <c r="Y5" s="60">
        <f ca="1">Table210[[#This Row],[End Date]]+2-TODAY()</f>
        <v>-366</v>
      </c>
      <c r="Z5" s="14">
        <f>IF(ISBLANK(Table210[[#This Row],[Roster Received By]]),1,0)</f>
        <v>1</v>
      </c>
      <c r="AA5" s="14">
        <f ca="1">IF(Table210[[#This Row],[Start Date]]&gt;TODAY(),1,)</f>
        <v>0</v>
      </c>
    </row>
    <row r="6" spans="1:27" s="76" customFormat="1" x14ac:dyDescent="0.25">
      <c r="A6" s="52"/>
      <c r="B6" s="197" t="s">
        <v>23</v>
      </c>
      <c r="C6" s="70" t="s">
        <v>26</v>
      </c>
      <c r="D6" s="70" t="s">
        <v>27</v>
      </c>
      <c r="E6" s="69"/>
      <c r="F6" s="72">
        <v>45670</v>
      </c>
      <c r="G6" s="72">
        <v>45674</v>
      </c>
      <c r="H6" s="78"/>
      <c r="I6" s="75">
        <v>0.54166666666666663</v>
      </c>
      <c r="J6" s="72"/>
      <c r="K6" s="72"/>
      <c r="L6" s="72"/>
      <c r="M6" s="72"/>
      <c r="N6" s="72"/>
      <c r="O6" s="69" t="s">
        <v>224</v>
      </c>
      <c r="P6" s="69"/>
      <c r="Q6" s="73">
        <v>45</v>
      </c>
      <c r="R6" s="198">
        <v>5</v>
      </c>
      <c r="S6" s="73"/>
      <c r="T6" s="73"/>
      <c r="U6" s="14"/>
      <c r="V6" s="14"/>
      <c r="W6" s="14"/>
      <c r="X6" s="69"/>
      <c r="Y6" s="60">
        <f ca="1">Table210[[#This Row],[End Date]]+2-TODAY()</f>
        <v>-331</v>
      </c>
      <c r="Z6" s="14">
        <f>IF(ISBLANK(Table210[[#This Row],[Roster Received By]]),1,0)</f>
        <v>1</v>
      </c>
      <c r="AA6" s="14">
        <f ca="1">IF(Table210[[#This Row],[Start Date]]&gt;TODAY(),1,)</f>
        <v>0</v>
      </c>
    </row>
    <row r="7" spans="1:27" s="76" customFormat="1" x14ac:dyDescent="0.25">
      <c r="A7" s="52"/>
      <c r="B7" s="197" t="s">
        <v>23</v>
      </c>
      <c r="C7" s="70" t="s">
        <v>26</v>
      </c>
      <c r="D7" s="70" t="s">
        <v>27</v>
      </c>
      <c r="E7" s="69"/>
      <c r="F7" s="72">
        <v>45698</v>
      </c>
      <c r="G7" s="72">
        <v>45702</v>
      </c>
      <c r="H7" s="78"/>
      <c r="I7" s="78">
        <v>0.33333333333333331</v>
      </c>
      <c r="J7" s="72"/>
      <c r="K7" s="72"/>
      <c r="L7" s="72"/>
      <c r="M7" s="72"/>
      <c r="N7" s="72"/>
      <c r="O7" s="69" t="s">
        <v>224</v>
      </c>
      <c r="P7" s="69"/>
      <c r="Q7" s="73">
        <v>45</v>
      </c>
      <c r="R7" s="198">
        <v>5</v>
      </c>
      <c r="S7" s="73"/>
      <c r="T7" s="73"/>
      <c r="U7" s="14"/>
      <c r="V7" s="14"/>
      <c r="W7" s="14"/>
      <c r="X7" s="69"/>
      <c r="Y7" s="60">
        <f ca="1">Table210[[#This Row],[End Date]]+2-TODAY()</f>
        <v>-303</v>
      </c>
      <c r="Z7" s="14">
        <f>IF(ISBLANK(Table210[[#This Row],[Roster Received By]]),1,0)</f>
        <v>1</v>
      </c>
      <c r="AA7" s="14">
        <f ca="1">IF(Table210[[#This Row],[Start Date]]&gt;TODAY(),1,)</f>
        <v>0</v>
      </c>
    </row>
    <row r="8" spans="1:27" s="76" customFormat="1" x14ac:dyDescent="0.25">
      <c r="A8" s="52"/>
      <c r="B8" s="197" t="s">
        <v>23</v>
      </c>
      <c r="C8" s="70" t="s">
        <v>26</v>
      </c>
      <c r="D8" s="70" t="s">
        <v>27</v>
      </c>
      <c r="E8" s="69"/>
      <c r="F8" s="72">
        <v>45789</v>
      </c>
      <c r="G8" s="72">
        <v>45793</v>
      </c>
      <c r="H8" s="75"/>
      <c r="I8" s="75">
        <v>0.54166666666666663</v>
      </c>
      <c r="J8" s="72"/>
      <c r="K8" s="72"/>
      <c r="L8" s="72"/>
      <c r="M8" s="72"/>
      <c r="N8" s="72"/>
      <c r="O8" s="69" t="s">
        <v>224</v>
      </c>
      <c r="P8" s="69"/>
      <c r="Q8" s="73">
        <v>45</v>
      </c>
      <c r="R8" s="198">
        <v>5</v>
      </c>
      <c r="S8" s="73"/>
      <c r="T8" s="73"/>
      <c r="U8" s="14"/>
      <c r="V8" s="14"/>
      <c r="W8" s="14"/>
      <c r="X8" s="69"/>
      <c r="Y8" s="60">
        <f ca="1">Table210[[#This Row],[End Date]]+2-TODAY()</f>
        <v>-212</v>
      </c>
      <c r="Z8" s="14">
        <f>IF(ISBLANK(Table210[[#This Row],[Roster Received By]]),1,0)</f>
        <v>1</v>
      </c>
      <c r="AA8" s="14">
        <f ca="1">IF(Table210[[#This Row],[Start Date]]&gt;TODAY(),1,)</f>
        <v>0</v>
      </c>
    </row>
    <row r="9" spans="1:27" s="76" customFormat="1" x14ac:dyDescent="0.25">
      <c r="A9" s="52"/>
      <c r="B9" s="197" t="s">
        <v>23</v>
      </c>
      <c r="C9" s="70" t="s">
        <v>26</v>
      </c>
      <c r="D9" s="70" t="s">
        <v>27</v>
      </c>
      <c r="E9" s="69"/>
      <c r="F9" s="72">
        <v>45831</v>
      </c>
      <c r="G9" s="72">
        <v>45835</v>
      </c>
      <c r="H9" s="78"/>
      <c r="I9" s="78">
        <v>0.33333333333333331</v>
      </c>
      <c r="J9" s="72"/>
      <c r="K9" s="72"/>
      <c r="L9" s="72"/>
      <c r="M9" s="72"/>
      <c r="N9" s="72"/>
      <c r="O9" s="69" t="s">
        <v>224</v>
      </c>
      <c r="P9" s="69"/>
      <c r="Q9" s="73">
        <v>45</v>
      </c>
      <c r="R9" s="198">
        <v>5</v>
      </c>
      <c r="S9" s="73"/>
      <c r="T9" s="73"/>
      <c r="U9" s="14"/>
      <c r="V9" s="14"/>
      <c r="W9" s="14"/>
      <c r="X9" s="69"/>
      <c r="Y9" s="60">
        <f ca="1">Table210[[#This Row],[End Date]]+2-TODAY()</f>
        <v>-170</v>
      </c>
      <c r="Z9" s="14">
        <f>IF(ISBLANK(Table210[[#This Row],[Roster Received By]]),1,0)</f>
        <v>1</v>
      </c>
      <c r="AA9" s="14">
        <f ca="1">IF(Table210[[#This Row],[Start Date]]&gt;TODAY(),1,)</f>
        <v>0</v>
      </c>
    </row>
    <row r="10" spans="1:27" s="76" customFormat="1" x14ac:dyDescent="0.25">
      <c r="A10" s="52"/>
      <c r="B10" s="197" t="s">
        <v>23</v>
      </c>
      <c r="C10" s="70" t="s">
        <v>26</v>
      </c>
      <c r="D10" s="70" t="s">
        <v>27</v>
      </c>
      <c r="E10" s="69"/>
      <c r="F10" s="72">
        <v>45859</v>
      </c>
      <c r="G10" s="72">
        <v>45863</v>
      </c>
      <c r="H10" s="78"/>
      <c r="I10" s="78">
        <v>0.33333333333333331</v>
      </c>
      <c r="J10" s="72"/>
      <c r="K10" s="72"/>
      <c r="L10" s="72"/>
      <c r="M10" s="72"/>
      <c r="N10" s="72"/>
      <c r="O10" s="69" t="s">
        <v>224</v>
      </c>
      <c r="P10" s="69"/>
      <c r="Q10" s="73">
        <v>45</v>
      </c>
      <c r="R10" s="198">
        <v>5</v>
      </c>
      <c r="S10" s="73"/>
      <c r="T10" s="73"/>
      <c r="U10" s="14"/>
      <c r="V10" s="14"/>
      <c r="W10" s="70"/>
      <c r="X10" s="69"/>
      <c r="Y10" s="60">
        <f ca="1">Table210[[#This Row],[End Date]]+2-TODAY()</f>
        <v>-142</v>
      </c>
      <c r="Z10" s="14">
        <f>IF(ISBLANK(Table210[[#This Row],[Roster Received By]]),1,0)</f>
        <v>1</v>
      </c>
      <c r="AA10" s="14">
        <f ca="1">IF(Table210[[#This Row],[Start Date]]&gt;TODAY(),1,)</f>
        <v>0</v>
      </c>
    </row>
    <row r="11" spans="1:27" s="76" customFormat="1" x14ac:dyDescent="0.25">
      <c r="A11" s="52"/>
      <c r="B11" s="197" t="s">
        <v>23</v>
      </c>
      <c r="C11" s="70" t="s">
        <v>26</v>
      </c>
      <c r="D11" s="70" t="s">
        <v>27</v>
      </c>
      <c r="E11" s="69"/>
      <c r="F11" s="72">
        <v>45873</v>
      </c>
      <c r="G11" s="72">
        <v>45877</v>
      </c>
      <c r="H11" s="78"/>
      <c r="I11" s="78">
        <v>0.54166666666666663</v>
      </c>
      <c r="J11" s="72"/>
      <c r="K11" s="72"/>
      <c r="L11" s="72"/>
      <c r="M11" s="72"/>
      <c r="N11" s="72"/>
      <c r="O11" s="69" t="s">
        <v>224</v>
      </c>
      <c r="P11" s="69"/>
      <c r="Q11" s="73">
        <v>45</v>
      </c>
      <c r="R11" s="198">
        <v>5</v>
      </c>
      <c r="S11" s="73"/>
      <c r="T11" s="73"/>
      <c r="U11" s="14"/>
      <c r="V11" s="14"/>
      <c r="W11" s="70"/>
      <c r="X11" s="69"/>
      <c r="Y11" s="60">
        <f ca="1">Table210[[#This Row],[End Date]]+2-TODAY()</f>
        <v>-128</v>
      </c>
      <c r="Z11" s="14">
        <f>IF(ISBLANK(Table210[[#This Row],[Roster Received By]]),1,0)</f>
        <v>1</v>
      </c>
      <c r="AA11" s="14">
        <f ca="1">IF(Table210[[#This Row],[Start Date]]&gt;TODAY(),1,)</f>
        <v>0</v>
      </c>
    </row>
    <row r="12" spans="1:27" s="76" customFormat="1" x14ac:dyDescent="0.25">
      <c r="A12" s="52"/>
      <c r="B12" s="69" t="s">
        <v>44</v>
      </c>
      <c r="C12" s="70" t="s">
        <v>46</v>
      </c>
      <c r="D12" s="70" t="s">
        <v>47</v>
      </c>
      <c r="E12" s="69"/>
      <c r="F12" s="72">
        <v>45613</v>
      </c>
      <c r="G12" s="72">
        <v>45617</v>
      </c>
      <c r="H12" s="75"/>
      <c r="I12" s="75">
        <v>0.79166666666666663</v>
      </c>
      <c r="J12" s="72"/>
      <c r="K12" s="72"/>
      <c r="L12" s="72"/>
      <c r="M12" s="72"/>
      <c r="N12" s="72"/>
      <c r="O12" s="69" t="s">
        <v>225</v>
      </c>
      <c r="P12" s="69"/>
      <c r="Q12" s="73">
        <v>45</v>
      </c>
      <c r="R12" s="198">
        <v>5</v>
      </c>
      <c r="S12" s="73"/>
      <c r="T12" s="73"/>
      <c r="U12" s="14"/>
      <c r="V12" s="14"/>
      <c r="W12" s="70"/>
      <c r="X12" s="69"/>
      <c r="Y12" s="60">
        <f ca="1">Table210[[#This Row],[End Date]]+2-TODAY()</f>
        <v>-388</v>
      </c>
      <c r="Z12" s="14">
        <f>IF(ISBLANK(Table210[[#This Row],[Roster Received By]]),1,0)</f>
        <v>1</v>
      </c>
      <c r="AA12" s="14">
        <f ca="1">IF(Table210[[#This Row],[Start Date]]&gt;TODAY(),1,)</f>
        <v>0</v>
      </c>
    </row>
    <row r="13" spans="1:27" s="76" customFormat="1" x14ac:dyDescent="0.25">
      <c r="A13" s="52"/>
      <c r="B13" s="69" t="s">
        <v>44</v>
      </c>
      <c r="C13" s="70" t="s">
        <v>46</v>
      </c>
      <c r="D13" s="70" t="s">
        <v>47</v>
      </c>
      <c r="E13" s="69"/>
      <c r="F13" s="72">
        <v>45635</v>
      </c>
      <c r="G13" s="72">
        <v>45639</v>
      </c>
      <c r="H13" s="78"/>
      <c r="I13" s="75">
        <v>0.33333333333333331</v>
      </c>
      <c r="J13" s="72"/>
      <c r="K13" s="72"/>
      <c r="L13" s="72"/>
      <c r="M13" s="72"/>
      <c r="N13" s="72"/>
      <c r="O13" s="69" t="s">
        <v>225</v>
      </c>
      <c r="P13" s="69"/>
      <c r="Q13" s="73">
        <v>45</v>
      </c>
      <c r="R13" s="198">
        <v>5</v>
      </c>
      <c r="S13" s="73"/>
      <c r="T13" s="73"/>
      <c r="U13" s="14"/>
      <c r="V13" s="14"/>
      <c r="W13" s="14"/>
      <c r="X13" s="69"/>
      <c r="Y13" s="60">
        <f ca="1">Table210[[#This Row],[End Date]]+2-TODAY()</f>
        <v>-366</v>
      </c>
      <c r="Z13" s="14">
        <f>IF(ISBLANK(Table210[[#This Row],[Roster Received By]]),1,0)</f>
        <v>1</v>
      </c>
      <c r="AA13" s="14">
        <f ca="1">IF(Table210[[#This Row],[Start Date]]&gt;TODAY(),1,)</f>
        <v>0</v>
      </c>
    </row>
    <row r="14" spans="1:27" s="76" customFormat="1" x14ac:dyDescent="0.25">
      <c r="A14" s="52"/>
      <c r="B14" s="69" t="s">
        <v>44</v>
      </c>
      <c r="C14" s="70" t="s">
        <v>46</v>
      </c>
      <c r="D14" s="70" t="s">
        <v>47</v>
      </c>
      <c r="E14" s="69"/>
      <c r="F14" s="72">
        <v>45670</v>
      </c>
      <c r="G14" s="72">
        <v>45674</v>
      </c>
      <c r="H14" s="78"/>
      <c r="I14" s="75">
        <v>0.54166666666666663</v>
      </c>
      <c r="J14" s="72"/>
      <c r="K14" s="72"/>
      <c r="L14" s="72"/>
      <c r="M14" s="72"/>
      <c r="N14" s="72"/>
      <c r="O14" s="69" t="s">
        <v>225</v>
      </c>
      <c r="P14" s="69"/>
      <c r="Q14" s="73">
        <v>45</v>
      </c>
      <c r="R14" s="198">
        <v>5</v>
      </c>
      <c r="S14" s="73"/>
      <c r="T14" s="73"/>
      <c r="U14" s="14"/>
      <c r="V14" s="14"/>
      <c r="W14" s="14"/>
      <c r="X14" s="69"/>
      <c r="Y14" s="60">
        <f ca="1">Table210[[#This Row],[End Date]]+2-TODAY()</f>
        <v>-331</v>
      </c>
      <c r="Z14" s="14">
        <f>IF(ISBLANK(Table210[[#This Row],[Roster Received By]]),1,0)</f>
        <v>1</v>
      </c>
      <c r="AA14" s="14">
        <f ca="1">IF(Table210[[#This Row],[Start Date]]&gt;TODAY(),1,)</f>
        <v>0</v>
      </c>
    </row>
    <row r="15" spans="1:27" s="76" customFormat="1" x14ac:dyDescent="0.25">
      <c r="A15" s="52"/>
      <c r="B15" s="69" t="s">
        <v>44</v>
      </c>
      <c r="C15" s="70" t="s">
        <v>46</v>
      </c>
      <c r="D15" s="70" t="s">
        <v>47</v>
      </c>
      <c r="E15" s="69"/>
      <c r="F15" s="72">
        <v>45691</v>
      </c>
      <c r="G15" s="72">
        <v>45695</v>
      </c>
      <c r="H15" s="78"/>
      <c r="I15" s="78">
        <v>0.33333333333333331</v>
      </c>
      <c r="J15" s="72"/>
      <c r="K15" s="72"/>
      <c r="L15" s="72"/>
      <c r="M15" s="72"/>
      <c r="N15" s="72"/>
      <c r="O15" s="69" t="s">
        <v>225</v>
      </c>
      <c r="P15" s="69"/>
      <c r="Q15" s="73">
        <v>45</v>
      </c>
      <c r="R15" s="198">
        <v>5</v>
      </c>
      <c r="S15" s="73"/>
      <c r="T15" s="73"/>
      <c r="U15" s="14"/>
      <c r="V15" s="14"/>
      <c r="W15" s="14"/>
      <c r="X15" s="69"/>
      <c r="Y15" s="60">
        <f ca="1">Table210[[#This Row],[End Date]]+2-TODAY()</f>
        <v>-310</v>
      </c>
      <c r="Z15" s="14">
        <f>IF(ISBLANK(Table210[[#This Row],[Roster Received By]]),1,0)</f>
        <v>1</v>
      </c>
      <c r="AA15" s="14">
        <f ca="1">IF(Table210[[#This Row],[Start Date]]&gt;TODAY(),1,)</f>
        <v>0</v>
      </c>
    </row>
    <row r="16" spans="1:27" s="76" customFormat="1" x14ac:dyDescent="0.25">
      <c r="A16" s="52"/>
      <c r="B16" s="69" t="s">
        <v>44</v>
      </c>
      <c r="C16" s="70" t="s">
        <v>46</v>
      </c>
      <c r="D16" s="70" t="s">
        <v>47</v>
      </c>
      <c r="E16" s="69"/>
      <c r="F16" s="72">
        <v>45739</v>
      </c>
      <c r="G16" s="72">
        <v>45743</v>
      </c>
      <c r="H16" s="75"/>
      <c r="I16" s="75">
        <v>0.79166666666666663</v>
      </c>
      <c r="J16" s="72"/>
      <c r="K16" s="72"/>
      <c r="L16" s="72"/>
      <c r="M16" s="72"/>
      <c r="N16" s="72"/>
      <c r="O16" s="69" t="s">
        <v>225</v>
      </c>
      <c r="P16" s="69"/>
      <c r="Q16" s="73">
        <v>45</v>
      </c>
      <c r="R16" s="198">
        <v>5</v>
      </c>
      <c r="S16" s="73"/>
      <c r="T16" s="73"/>
      <c r="U16" s="14"/>
      <c r="V16" s="14"/>
      <c r="W16" s="14"/>
      <c r="X16" s="69"/>
      <c r="Y16" s="60">
        <f ca="1">Table210[[#This Row],[End Date]]+2-TODAY()</f>
        <v>-262</v>
      </c>
      <c r="Z16" s="14">
        <f>IF(ISBLANK(Table210[[#This Row],[Roster Received By]]),1,0)</f>
        <v>1</v>
      </c>
      <c r="AA16" s="14">
        <f ca="1">IF(Table210[[#This Row],[Start Date]]&gt;TODAY(),1,)</f>
        <v>0</v>
      </c>
    </row>
    <row r="17" spans="1:27" s="76" customFormat="1" x14ac:dyDescent="0.25">
      <c r="A17" s="52"/>
      <c r="B17" s="69" t="s">
        <v>44</v>
      </c>
      <c r="C17" s="70" t="s">
        <v>46</v>
      </c>
      <c r="D17" s="70" t="s">
        <v>47</v>
      </c>
      <c r="E17" s="69"/>
      <c r="F17" s="72">
        <v>45775</v>
      </c>
      <c r="G17" s="72">
        <v>45779</v>
      </c>
      <c r="H17" s="75"/>
      <c r="I17" s="75">
        <v>0.54166666666666663</v>
      </c>
      <c r="J17" s="72"/>
      <c r="K17" s="72"/>
      <c r="L17" s="72"/>
      <c r="M17" s="72"/>
      <c r="N17" s="72"/>
      <c r="O17" s="69" t="s">
        <v>225</v>
      </c>
      <c r="P17" s="69"/>
      <c r="Q17" s="73">
        <v>45</v>
      </c>
      <c r="R17" s="198">
        <v>5</v>
      </c>
      <c r="S17" s="73"/>
      <c r="T17" s="73"/>
      <c r="U17" s="14"/>
      <c r="V17" s="14"/>
      <c r="W17" s="14"/>
      <c r="X17" s="69"/>
      <c r="Y17" s="60">
        <f ca="1">Table210[[#This Row],[End Date]]+2-TODAY()</f>
        <v>-226</v>
      </c>
      <c r="Z17" s="14">
        <f>IF(ISBLANK(Table210[[#This Row],[Roster Received By]]),1,0)</f>
        <v>1</v>
      </c>
      <c r="AA17" s="14">
        <f ca="1">IF(Table210[[#This Row],[Start Date]]&gt;TODAY(),1,)</f>
        <v>0</v>
      </c>
    </row>
    <row r="18" spans="1:27" s="76" customFormat="1" x14ac:dyDescent="0.25">
      <c r="A18" s="52"/>
      <c r="B18" s="69" t="s">
        <v>44</v>
      </c>
      <c r="C18" s="70" t="s">
        <v>46</v>
      </c>
      <c r="D18" s="70" t="s">
        <v>47</v>
      </c>
      <c r="E18" s="69"/>
      <c r="F18" s="72">
        <v>45796</v>
      </c>
      <c r="G18" s="72">
        <v>45800</v>
      </c>
      <c r="H18" s="75"/>
      <c r="I18" s="75">
        <v>0.33333333333333331</v>
      </c>
      <c r="J18" s="72"/>
      <c r="K18" s="72"/>
      <c r="L18" s="72"/>
      <c r="M18" s="72"/>
      <c r="N18" s="72"/>
      <c r="O18" s="69" t="s">
        <v>225</v>
      </c>
      <c r="P18" s="69"/>
      <c r="Q18" s="73">
        <v>45</v>
      </c>
      <c r="R18" s="198">
        <v>5</v>
      </c>
      <c r="S18" s="73"/>
      <c r="T18" s="73"/>
      <c r="U18" s="14"/>
      <c r="V18" s="14"/>
      <c r="W18" s="14"/>
      <c r="X18" s="69"/>
      <c r="Y18" s="60">
        <f ca="1">Table210[[#This Row],[End Date]]+2-TODAY()</f>
        <v>-205</v>
      </c>
      <c r="Z18" s="14">
        <f>IF(ISBLANK(Table210[[#This Row],[Roster Received By]]),1,0)</f>
        <v>1</v>
      </c>
      <c r="AA18" s="14">
        <f ca="1">IF(Table210[[#This Row],[Start Date]]&gt;TODAY(),1,)</f>
        <v>0</v>
      </c>
    </row>
    <row r="19" spans="1:27" s="105" customFormat="1" x14ac:dyDescent="0.25">
      <c r="A19" s="52"/>
      <c r="B19" s="69" t="s">
        <v>44</v>
      </c>
      <c r="C19" s="70" t="s">
        <v>46</v>
      </c>
      <c r="D19" s="70" t="s">
        <v>47</v>
      </c>
      <c r="E19" s="69"/>
      <c r="F19" s="72">
        <v>45830</v>
      </c>
      <c r="G19" s="72">
        <v>45834</v>
      </c>
      <c r="H19" s="78"/>
      <c r="I19" s="78">
        <v>0.79166666666666663</v>
      </c>
      <c r="J19" s="72"/>
      <c r="K19" s="72"/>
      <c r="L19" s="72"/>
      <c r="M19" s="72"/>
      <c r="N19" s="72"/>
      <c r="O19" s="69" t="s">
        <v>225</v>
      </c>
      <c r="P19" s="69"/>
      <c r="Q19" s="73">
        <v>45</v>
      </c>
      <c r="R19" s="198">
        <v>5</v>
      </c>
      <c r="S19" s="73"/>
      <c r="T19" s="73"/>
      <c r="U19" s="14"/>
      <c r="V19" s="14"/>
      <c r="W19" s="14"/>
      <c r="X19" s="69"/>
      <c r="Y19" s="60">
        <f ca="1">Table210[[#This Row],[End Date]]+2-TODAY()</f>
        <v>-171</v>
      </c>
      <c r="Z19" s="14">
        <f>IF(ISBLANK(Table210[[#This Row],[Roster Received By]]),1,0)</f>
        <v>1</v>
      </c>
      <c r="AA19" s="14">
        <f ca="1">IF(Table210[[#This Row],[Start Date]]&gt;TODAY(),1,)</f>
        <v>0</v>
      </c>
    </row>
    <row r="20" spans="1:27" s="105" customFormat="1" x14ac:dyDescent="0.25">
      <c r="A20" s="52"/>
      <c r="B20" s="69" t="s">
        <v>44</v>
      </c>
      <c r="C20" s="70" t="s">
        <v>46</v>
      </c>
      <c r="D20" s="70" t="s">
        <v>47</v>
      </c>
      <c r="E20" s="69"/>
      <c r="F20" s="72">
        <v>45852</v>
      </c>
      <c r="G20" s="72">
        <v>45856</v>
      </c>
      <c r="H20" s="78"/>
      <c r="I20" s="78">
        <v>0.54166666666666663</v>
      </c>
      <c r="J20" s="72"/>
      <c r="K20" s="72"/>
      <c r="L20" s="72"/>
      <c r="M20" s="72"/>
      <c r="N20" s="72"/>
      <c r="O20" s="69" t="s">
        <v>225</v>
      </c>
      <c r="P20" s="69"/>
      <c r="Q20" s="73">
        <v>45</v>
      </c>
      <c r="R20" s="198">
        <v>5</v>
      </c>
      <c r="S20" s="73"/>
      <c r="T20" s="73"/>
      <c r="U20" s="14"/>
      <c r="V20" s="14"/>
      <c r="W20" s="70"/>
      <c r="X20" s="69"/>
      <c r="Y20" s="60">
        <f ca="1">Table210[[#This Row],[End Date]]+2-TODAY()</f>
        <v>-149</v>
      </c>
      <c r="Z20" s="14">
        <f>IF(ISBLANK(Table210[[#This Row],[Roster Received By]]),1,0)</f>
        <v>1</v>
      </c>
      <c r="AA20" s="14">
        <f ca="1">IF(Table210[[#This Row],[Start Date]]&gt;TODAY(),1,)</f>
        <v>0</v>
      </c>
    </row>
    <row r="21" spans="1:27" s="105" customFormat="1" x14ac:dyDescent="0.25">
      <c r="A21" s="52"/>
      <c r="B21" s="69" t="s">
        <v>44</v>
      </c>
      <c r="C21" s="70" t="s">
        <v>46</v>
      </c>
      <c r="D21" s="70" t="s">
        <v>47</v>
      </c>
      <c r="E21" s="69"/>
      <c r="F21" s="72">
        <v>45880</v>
      </c>
      <c r="G21" s="72">
        <v>45884</v>
      </c>
      <c r="H21" s="78"/>
      <c r="I21" s="78">
        <v>0.33333333333333331</v>
      </c>
      <c r="J21" s="72"/>
      <c r="K21" s="72"/>
      <c r="L21" s="72"/>
      <c r="M21" s="72"/>
      <c r="N21" s="72"/>
      <c r="O21" s="69" t="s">
        <v>225</v>
      </c>
      <c r="P21" s="69"/>
      <c r="Q21" s="73">
        <v>45</v>
      </c>
      <c r="R21" s="198">
        <v>5</v>
      </c>
      <c r="S21" s="73"/>
      <c r="T21" s="73"/>
      <c r="U21" s="14"/>
      <c r="V21" s="14"/>
      <c r="W21" s="70"/>
      <c r="X21" s="69"/>
      <c r="Y21" s="60">
        <f ca="1">Table210[[#This Row],[End Date]]+2-TODAY()</f>
        <v>-121</v>
      </c>
      <c r="Z21" s="14">
        <f>IF(ISBLANK(Table210[[#This Row],[Roster Received By]]),1,0)</f>
        <v>1</v>
      </c>
      <c r="AA21" s="14">
        <f ca="1">IF(Table210[[#This Row],[Start Date]]&gt;TODAY(),1,)</f>
        <v>0</v>
      </c>
    </row>
    <row r="22" spans="1:27" s="105" customFormat="1" x14ac:dyDescent="0.25">
      <c r="A22" s="52"/>
      <c r="B22" s="69" t="s">
        <v>44</v>
      </c>
      <c r="C22" s="70" t="s">
        <v>46</v>
      </c>
      <c r="D22" s="70" t="s">
        <v>47</v>
      </c>
      <c r="E22" s="69"/>
      <c r="F22" s="72">
        <v>45921</v>
      </c>
      <c r="G22" s="72">
        <v>45925</v>
      </c>
      <c r="H22" s="72"/>
      <c r="I22" s="71">
        <v>0.79166666666666663</v>
      </c>
      <c r="J22" s="75"/>
      <c r="K22" s="75"/>
      <c r="L22" s="75"/>
      <c r="M22" s="75"/>
      <c r="N22" s="75"/>
      <c r="O22" s="69" t="s">
        <v>225</v>
      </c>
      <c r="P22" s="69"/>
      <c r="Q22" s="14">
        <v>45</v>
      </c>
      <c r="R22" s="187">
        <v>5</v>
      </c>
      <c r="S22" s="14"/>
      <c r="T22" s="73"/>
      <c r="U22" s="14"/>
      <c r="V22" s="14"/>
      <c r="W22" s="70"/>
      <c r="X22" s="69"/>
      <c r="Y22" s="60">
        <f ca="1">Table210[[#This Row],[End Date]]+2-TODAY()</f>
        <v>-80</v>
      </c>
      <c r="Z22" s="14">
        <f>IF(ISBLANK(Table210[[#This Row],[Roster Received By]]),1,0)</f>
        <v>1</v>
      </c>
      <c r="AA22" s="14">
        <f ca="1">IF(Table210[[#This Row],[Start Date]]&gt;TODAY(),1,)</f>
        <v>0</v>
      </c>
    </row>
    <row r="23" spans="1:27" s="105" customFormat="1" x14ac:dyDescent="0.25">
      <c r="A23" s="121" t="s">
        <v>226</v>
      </c>
      <c r="B23" s="122" t="s">
        <v>227</v>
      </c>
      <c r="C23" s="124" t="s">
        <v>228</v>
      </c>
      <c r="D23" s="124" t="s">
        <v>228</v>
      </c>
      <c r="E23" s="122" t="s">
        <v>229</v>
      </c>
      <c r="F23" s="125">
        <v>45576</v>
      </c>
      <c r="G23" s="125">
        <v>45576</v>
      </c>
      <c r="H23" s="125"/>
      <c r="I23" s="126"/>
      <c r="J23" s="128"/>
      <c r="K23" s="128"/>
      <c r="L23" s="128"/>
      <c r="M23" s="128"/>
      <c r="N23" s="128"/>
      <c r="O23" s="122"/>
      <c r="P23" s="122"/>
      <c r="Q23" s="127">
        <v>0</v>
      </c>
      <c r="R23" s="127">
        <v>0</v>
      </c>
      <c r="S23" s="14"/>
      <c r="T23" s="73"/>
      <c r="U23" s="14"/>
      <c r="V23" s="14"/>
      <c r="W23" s="14"/>
      <c r="X23" s="69"/>
      <c r="Y23" s="60">
        <f ca="1">Table210[[#This Row],[End Date]]+2-TODAY()</f>
        <v>-429</v>
      </c>
      <c r="Z23" s="14">
        <f>IF(ISBLANK(Table210[[#This Row],[Roster Received By]]),1,0)</f>
        <v>1</v>
      </c>
      <c r="AA23" s="14">
        <f ca="1">IF(Table210[[#This Row],[Start Date]]&gt;TODAY(),1,)</f>
        <v>0</v>
      </c>
    </row>
    <row r="24" spans="1:27" s="105" customFormat="1" x14ac:dyDescent="0.25">
      <c r="A24" s="121" t="s">
        <v>230</v>
      </c>
      <c r="B24" s="122" t="s">
        <v>227</v>
      </c>
      <c r="C24" s="124" t="s">
        <v>228</v>
      </c>
      <c r="D24" s="124" t="s">
        <v>228</v>
      </c>
      <c r="E24" s="122" t="s">
        <v>229</v>
      </c>
      <c r="F24" s="125">
        <v>45621</v>
      </c>
      <c r="G24" s="125">
        <v>45621</v>
      </c>
      <c r="H24" s="128"/>
      <c r="I24" s="128"/>
      <c r="J24" s="125"/>
      <c r="K24" s="125"/>
      <c r="L24" s="125"/>
      <c r="M24" s="125"/>
      <c r="N24" s="125"/>
      <c r="O24" s="122"/>
      <c r="P24" s="122"/>
      <c r="Q24" s="127">
        <v>0</v>
      </c>
      <c r="R24" s="127">
        <v>0</v>
      </c>
      <c r="S24" s="127"/>
      <c r="T24" s="152"/>
      <c r="U24" s="127"/>
      <c r="V24" s="127"/>
      <c r="W24" s="124"/>
      <c r="X24" s="122"/>
      <c r="Y24" s="153">
        <f ca="1">Table210[[#This Row],[End Date]]+2-TODAY()</f>
        <v>-384</v>
      </c>
      <c r="Z24" s="127">
        <f>IF(ISBLANK(Table210[[#This Row],[Roster Received By]]),1,0)</f>
        <v>1</v>
      </c>
      <c r="AA24" s="127">
        <f ca="1">IF(Table210[[#This Row],[Start Date]]&gt;TODAY(),1,)</f>
        <v>0</v>
      </c>
    </row>
    <row r="25" spans="1:27" s="105" customFormat="1" x14ac:dyDescent="0.25">
      <c r="A25" s="121" t="s">
        <v>231</v>
      </c>
      <c r="B25" s="122" t="s">
        <v>227</v>
      </c>
      <c r="C25" s="124" t="s">
        <v>228</v>
      </c>
      <c r="D25" s="124" t="s">
        <v>228</v>
      </c>
      <c r="E25" s="122" t="s">
        <v>229</v>
      </c>
      <c r="F25" s="125">
        <v>45642</v>
      </c>
      <c r="G25" s="125">
        <v>45642</v>
      </c>
      <c r="H25" s="125"/>
      <c r="I25" s="126"/>
      <c r="J25" s="128"/>
      <c r="K25" s="128"/>
      <c r="L25" s="128"/>
      <c r="M25" s="128"/>
      <c r="N25" s="128"/>
      <c r="O25" s="122"/>
      <c r="P25" s="122"/>
      <c r="Q25" s="127">
        <v>0</v>
      </c>
      <c r="R25" s="127">
        <v>0</v>
      </c>
      <c r="S25" s="127"/>
      <c r="T25" s="152"/>
      <c r="U25" s="127"/>
      <c r="V25" s="127"/>
      <c r="W25" s="127"/>
      <c r="X25" s="122"/>
      <c r="Y25" s="153">
        <f ca="1">Table210[[#This Row],[End Date]]+2-TODAY()</f>
        <v>-363</v>
      </c>
      <c r="Z25" s="127">
        <f>IF(ISBLANK(Table210[[#This Row],[Roster Received By]]),1,0)</f>
        <v>1</v>
      </c>
      <c r="AA25" s="127">
        <f ca="1">IF(Table210[[#This Row],[Start Date]]&gt;TODAY(),1,)</f>
        <v>0</v>
      </c>
    </row>
    <row r="26" spans="1:27" s="105" customFormat="1" x14ac:dyDescent="0.25">
      <c r="A26" s="121" t="s">
        <v>232</v>
      </c>
      <c r="B26" s="122" t="s">
        <v>227</v>
      </c>
      <c r="C26" s="124" t="s">
        <v>228</v>
      </c>
      <c r="D26" s="124" t="s">
        <v>228</v>
      </c>
      <c r="E26" s="122" t="s">
        <v>229</v>
      </c>
      <c r="F26" s="125">
        <v>45688</v>
      </c>
      <c r="G26" s="125">
        <v>45688</v>
      </c>
      <c r="H26" s="154"/>
      <c r="I26" s="154"/>
      <c r="J26" s="125"/>
      <c r="K26" s="125"/>
      <c r="L26" s="125"/>
      <c r="M26" s="125"/>
      <c r="N26" s="125"/>
      <c r="O26" s="122"/>
      <c r="P26" s="122"/>
      <c r="Q26" s="127">
        <v>0</v>
      </c>
      <c r="R26" s="127">
        <v>0</v>
      </c>
      <c r="S26" s="127"/>
      <c r="T26" s="152"/>
      <c r="U26" s="127"/>
      <c r="V26" s="127"/>
      <c r="W26" s="127"/>
      <c r="X26" s="122"/>
      <c r="Y26" s="153">
        <f ca="1">Table210[[#This Row],[End Date]]+2-TODAY()</f>
        <v>-317</v>
      </c>
      <c r="Z26" s="127">
        <f>IF(ISBLANK(Table210[[#This Row],[Roster Received By]]),1,0)</f>
        <v>1</v>
      </c>
      <c r="AA26" s="127">
        <f ca="1">IF(Table210[[#This Row],[Start Date]]&gt;TODAY(),1,)</f>
        <v>0</v>
      </c>
    </row>
    <row r="27" spans="1:27" s="76" customFormat="1" ht="14.25" customHeight="1" x14ac:dyDescent="0.25">
      <c r="A27" s="121" t="s">
        <v>233</v>
      </c>
      <c r="B27" s="122" t="s">
        <v>227</v>
      </c>
      <c r="C27" s="124" t="s">
        <v>228</v>
      </c>
      <c r="D27" s="124" t="s">
        <v>228</v>
      </c>
      <c r="E27" s="122" t="s">
        <v>229</v>
      </c>
      <c r="F27" s="125">
        <v>45758</v>
      </c>
      <c r="G27" s="125">
        <v>45758</v>
      </c>
      <c r="H27" s="125"/>
      <c r="I27" s="126"/>
      <c r="J27" s="128"/>
      <c r="K27" s="128"/>
      <c r="L27" s="128"/>
      <c r="M27" s="128"/>
      <c r="N27" s="128"/>
      <c r="O27" s="122"/>
      <c r="P27" s="122"/>
      <c r="Q27" s="127">
        <v>0</v>
      </c>
      <c r="R27" s="127">
        <v>0</v>
      </c>
      <c r="S27" s="127"/>
      <c r="T27" s="152"/>
      <c r="U27" s="127"/>
      <c r="V27" s="127"/>
      <c r="W27" s="127"/>
      <c r="X27" s="122"/>
      <c r="Y27" s="153">
        <f ca="1">Table210[[#This Row],[End Date]]+2-TODAY()</f>
        <v>-247</v>
      </c>
      <c r="Z27" s="127">
        <f>IF(ISBLANK(Table210[[#This Row],[Roster Received By]]),1,0)</f>
        <v>1</v>
      </c>
      <c r="AA27" s="127">
        <f ca="1">IF(Table210[[#This Row],[Start Date]]&gt;TODAY(),1,)</f>
        <v>0</v>
      </c>
    </row>
    <row r="28" spans="1:27" s="76" customFormat="1" ht="14.25" customHeight="1" x14ac:dyDescent="0.25">
      <c r="A28" s="121" t="s">
        <v>234</v>
      </c>
      <c r="B28" s="122" t="s">
        <v>227</v>
      </c>
      <c r="C28" s="124" t="s">
        <v>228</v>
      </c>
      <c r="D28" s="124" t="s">
        <v>228</v>
      </c>
      <c r="E28" s="122" t="s">
        <v>229</v>
      </c>
      <c r="F28" s="125">
        <v>45839</v>
      </c>
      <c r="G28" s="125">
        <v>45839</v>
      </c>
      <c r="H28" s="128"/>
      <c r="I28" s="128"/>
      <c r="J28" s="128"/>
      <c r="K28" s="128"/>
      <c r="L28" s="128"/>
      <c r="M28" s="128"/>
      <c r="N28" s="128"/>
      <c r="O28" s="122"/>
      <c r="P28" s="122"/>
      <c r="Q28" s="127">
        <v>0</v>
      </c>
      <c r="R28" s="127">
        <v>0</v>
      </c>
      <c r="S28" s="152"/>
      <c r="T28" s="152"/>
      <c r="U28" s="127"/>
      <c r="V28" s="127"/>
      <c r="W28" s="127"/>
      <c r="X28" s="122"/>
      <c r="Y28" s="153">
        <f ca="1">Table210[[#This Row],[End Date]]+2-TODAY()</f>
        <v>-166</v>
      </c>
      <c r="Z28" s="127">
        <f>IF(ISBLANK(Table210[[#This Row],[Roster Received By]]),1,0)</f>
        <v>1</v>
      </c>
      <c r="AA28" s="127">
        <f ca="1">IF(Table210[[#This Row],[Start Date]]&gt;TODAY(),1,)</f>
        <v>0</v>
      </c>
    </row>
    <row r="29" spans="1:27" s="105" customFormat="1" x14ac:dyDescent="0.25">
      <c r="A29" s="121" t="s">
        <v>235</v>
      </c>
      <c r="B29" s="122" t="s">
        <v>227</v>
      </c>
      <c r="C29" s="124" t="s">
        <v>228</v>
      </c>
      <c r="D29" s="124" t="s">
        <v>228</v>
      </c>
      <c r="E29" s="122" t="s">
        <v>229</v>
      </c>
      <c r="F29" s="125">
        <v>45884</v>
      </c>
      <c r="G29" s="125">
        <v>45884</v>
      </c>
      <c r="H29" s="125"/>
      <c r="I29" s="126"/>
      <c r="J29" s="128"/>
      <c r="K29" s="128"/>
      <c r="L29" s="128"/>
      <c r="M29" s="128"/>
      <c r="N29" s="128"/>
      <c r="O29" s="122"/>
      <c r="P29" s="122"/>
      <c r="Q29" s="127">
        <v>0</v>
      </c>
      <c r="R29" s="127">
        <v>0</v>
      </c>
      <c r="S29" s="127"/>
      <c r="T29" s="152"/>
      <c r="U29" s="127"/>
      <c r="V29" s="127"/>
      <c r="W29" s="127"/>
      <c r="X29" s="122"/>
      <c r="Y29" s="153">
        <f ca="1">Table210[[#This Row],[End Date]]+2-TODAY()</f>
        <v>-121</v>
      </c>
      <c r="Z29" s="127">
        <f>IF(ISBLANK(Table210[[#This Row],[Roster Received By]]),1,0)</f>
        <v>1</v>
      </c>
      <c r="AA29" s="127">
        <f ca="1">IF(Table210[[#This Row],[Start Date]]&gt;TODAY(),1,)</f>
        <v>0</v>
      </c>
    </row>
    <row r="30" spans="1:27" s="105" customFormat="1" x14ac:dyDescent="0.25">
      <c r="A30" s="70"/>
      <c r="B30" s="69" t="s">
        <v>74</v>
      </c>
      <c r="C30" s="70" t="s">
        <v>75</v>
      </c>
      <c r="D30" s="70" t="s">
        <v>76</v>
      </c>
      <c r="E30" s="69"/>
      <c r="F30" s="72">
        <v>45565</v>
      </c>
      <c r="G30" s="72">
        <v>45569</v>
      </c>
      <c r="H30" s="75"/>
      <c r="I30" s="75">
        <v>0.54166666666666663</v>
      </c>
      <c r="J30" s="72"/>
      <c r="K30" s="72"/>
      <c r="L30" s="72"/>
      <c r="M30" s="72"/>
      <c r="N30" s="72"/>
      <c r="O30" s="69" t="s">
        <v>164</v>
      </c>
      <c r="P30" s="69"/>
      <c r="Q30" s="189">
        <v>45</v>
      </c>
      <c r="R30" s="198">
        <v>5</v>
      </c>
      <c r="S30" s="189"/>
      <c r="T30" s="189"/>
      <c r="U30" s="77"/>
      <c r="V30" s="77"/>
      <c r="W30" s="77"/>
      <c r="X30" s="77"/>
      <c r="Y30" s="199">
        <f ca="1">Table210[[#This Row],[End Date]]+2-TODAY()</f>
        <v>-436</v>
      </c>
      <c r="Z30" s="70">
        <f>IF(ISBLANK(Table210[[#This Row],[Roster Received By]]),1,0)</f>
        <v>1</v>
      </c>
      <c r="AA30" s="70">
        <f ca="1">IF(Table210[[#This Row],[Start Date]]&gt;TODAY(),1,)</f>
        <v>0</v>
      </c>
    </row>
    <row r="31" spans="1:27" s="105" customFormat="1" x14ac:dyDescent="0.25">
      <c r="A31" s="69"/>
      <c r="B31" s="69" t="s">
        <v>74</v>
      </c>
      <c r="C31" s="70" t="s">
        <v>75</v>
      </c>
      <c r="D31" s="70" t="s">
        <v>76</v>
      </c>
      <c r="E31" s="69"/>
      <c r="F31" s="72">
        <v>45586</v>
      </c>
      <c r="G31" s="72">
        <v>45590</v>
      </c>
      <c r="H31" s="75"/>
      <c r="I31" s="75">
        <v>0.33333333333333331</v>
      </c>
      <c r="J31" s="72"/>
      <c r="K31" s="72"/>
      <c r="L31" s="72"/>
      <c r="M31" s="72"/>
      <c r="N31" s="72"/>
      <c r="O31" s="69" t="s">
        <v>164</v>
      </c>
      <c r="P31" s="69"/>
      <c r="Q31" s="73">
        <v>45</v>
      </c>
      <c r="R31" s="198">
        <v>5</v>
      </c>
      <c r="S31" s="73"/>
      <c r="T31" s="73"/>
      <c r="U31" s="14"/>
      <c r="V31" s="14"/>
      <c r="W31" s="14"/>
      <c r="X31" s="69"/>
      <c r="Y31" s="60">
        <f ca="1">Table210[[#This Row],[End Date]]+2-TODAY()</f>
        <v>-415</v>
      </c>
      <c r="Z31" s="14">
        <f>IF(ISBLANK(Table210[[#This Row],[Roster Received By]]),1,0)</f>
        <v>1</v>
      </c>
      <c r="AA31" s="14">
        <f ca="1">IF(Table210[[#This Row],[Start Date]]&gt;TODAY(),1,)</f>
        <v>0</v>
      </c>
    </row>
    <row r="32" spans="1:27" s="105" customFormat="1" x14ac:dyDescent="0.25">
      <c r="A32" s="69"/>
      <c r="B32" s="69" t="s">
        <v>74</v>
      </c>
      <c r="C32" s="70" t="s">
        <v>75</v>
      </c>
      <c r="D32" s="70" t="s">
        <v>76</v>
      </c>
      <c r="E32" s="69"/>
      <c r="F32" s="72">
        <v>45599</v>
      </c>
      <c r="G32" s="72">
        <v>45603</v>
      </c>
      <c r="H32" s="75"/>
      <c r="I32" s="75">
        <v>0.79166666666666663</v>
      </c>
      <c r="J32" s="72"/>
      <c r="K32" s="72"/>
      <c r="L32" s="72"/>
      <c r="M32" s="72"/>
      <c r="N32" s="72"/>
      <c r="O32" s="69" t="s">
        <v>164</v>
      </c>
      <c r="P32" s="69"/>
      <c r="Q32" s="73">
        <v>45</v>
      </c>
      <c r="R32" s="198">
        <v>5</v>
      </c>
      <c r="S32" s="73"/>
      <c r="T32" s="73"/>
      <c r="U32" s="14"/>
      <c r="V32" s="14"/>
      <c r="W32" s="14"/>
      <c r="X32" s="69"/>
      <c r="Y32" s="60">
        <f ca="1">Table210[[#This Row],[End Date]]+2-TODAY()</f>
        <v>-402</v>
      </c>
      <c r="Z32" s="14">
        <f>IF(ISBLANK(Table210[[#This Row],[Roster Received By]]),1,0)</f>
        <v>1</v>
      </c>
      <c r="AA32" s="14">
        <f ca="1">IF(Table210[[#This Row],[Start Date]]&gt;TODAY(),1,)</f>
        <v>0</v>
      </c>
    </row>
    <row r="33" spans="1:27" s="106" customFormat="1" ht="13.5" customHeight="1" x14ac:dyDescent="0.25">
      <c r="A33" s="52"/>
      <c r="B33" s="69" t="s">
        <v>74</v>
      </c>
      <c r="C33" s="70" t="s">
        <v>75</v>
      </c>
      <c r="D33" s="70" t="s">
        <v>76</v>
      </c>
      <c r="E33" s="69"/>
      <c r="F33" s="72">
        <v>45628</v>
      </c>
      <c r="G33" s="72">
        <v>45632</v>
      </c>
      <c r="H33" s="78"/>
      <c r="I33" s="75">
        <v>0.54166666666666663</v>
      </c>
      <c r="J33" s="72"/>
      <c r="K33" s="72"/>
      <c r="L33" s="72"/>
      <c r="M33" s="72"/>
      <c r="N33" s="72"/>
      <c r="O33" s="69" t="s">
        <v>164</v>
      </c>
      <c r="P33" s="69"/>
      <c r="Q33" s="73">
        <v>45</v>
      </c>
      <c r="R33" s="198">
        <v>5</v>
      </c>
      <c r="S33" s="73"/>
      <c r="T33" s="73"/>
      <c r="U33" s="14"/>
      <c r="V33" s="14"/>
      <c r="W33" s="14"/>
      <c r="X33" s="69"/>
      <c r="Y33" s="60">
        <f ca="1">Table210[[#This Row],[End Date]]+2-TODAY()</f>
        <v>-373</v>
      </c>
      <c r="Z33" s="14">
        <f>IF(ISBLANK(Table210[[#This Row],[Roster Received By]]),1,0)</f>
        <v>1</v>
      </c>
      <c r="AA33" s="14">
        <f ca="1">IF(Table210[[#This Row],[Start Date]]&gt;TODAY(),1,)</f>
        <v>0</v>
      </c>
    </row>
    <row r="34" spans="1:27" s="76" customFormat="1" ht="14.25" customHeight="1" x14ac:dyDescent="0.25">
      <c r="A34" s="52"/>
      <c r="B34" s="69" t="s">
        <v>74</v>
      </c>
      <c r="C34" s="70" t="s">
        <v>75</v>
      </c>
      <c r="D34" s="70" t="s">
        <v>76</v>
      </c>
      <c r="E34" s="69"/>
      <c r="F34" s="72">
        <v>45663</v>
      </c>
      <c r="G34" s="72">
        <v>45667</v>
      </c>
      <c r="H34" s="78"/>
      <c r="I34" s="75">
        <v>0.54166666666666663</v>
      </c>
      <c r="J34" s="72"/>
      <c r="K34" s="72"/>
      <c r="L34" s="72"/>
      <c r="M34" s="72"/>
      <c r="N34" s="72"/>
      <c r="O34" s="69" t="s">
        <v>236</v>
      </c>
      <c r="P34" s="69"/>
      <c r="Q34" s="73">
        <v>45</v>
      </c>
      <c r="R34" s="198">
        <v>5</v>
      </c>
      <c r="S34" s="73"/>
      <c r="T34" s="73"/>
      <c r="U34" s="14"/>
      <c r="V34" s="14"/>
      <c r="W34" s="14"/>
      <c r="X34" s="69"/>
      <c r="Y34" s="60">
        <f ca="1">Table210[[#This Row],[End Date]]+2-TODAY()</f>
        <v>-338</v>
      </c>
      <c r="Z34" s="14">
        <f>IF(ISBLANK(Table210[[#This Row],[Roster Received By]]),1,0)</f>
        <v>1</v>
      </c>
      <c r="AA34" s="14">
        <f ca="1">IF(Table210[[#This Row],[Start Date]]&gt;TODAY(),1,)</f>
        <v>0</v>
      </c>
    </row>
    <row r="35" spans="1:27" s="76" customFormat="1" x14ac:dyDescent="0.25">
      <c r="A35" s="52"/>
      <c r="B35" s="69" t="s">
        <v>74</v>
      </c>
      <c r="C35" s="70" t="s">
        <v>75</v>
      </c>
      <c r="D35" s="70" t="s">
        <v>76</v>
      </c>
      <c r="E35" s="69"/>
      <c r="F35" s="72">
        <v>45684</v>
      </c>
      <c r="G35" s="72">
        <v>45688</v>
      </c>
      <c r="H35" s="78"/>
      <c r="I35" s="75">
        <v>0.54166666666666663</v>
      </c>
      <c r="J35" s="72"/>
      <c r="K35" s="72"/>
      <c r="L35" s="72"/>
      <c r="M35" s="72"/>
      <c r="N35" s="72"/>
      <c r="O35" s="69" t="s">
        <v>236</v>
      </c>
      <c r="P35" s="69"/>
      <c r="Q35" s="73">
        <v>45</v>
      </c>
      <c r="R35" s="198">
        <v>5</v>
      </c>
      <c r="S35" s="73"/>
      <c r="T35" s="73"/>
      <c r="U35" s="14"/>
      <c r="V35" s="14"/>
      <c r="W35" s="14"/>
      <c r="X35" s="69"/>
      <c r="Y35" s="60">
        <f ca="1">Table210[[#This Row],[End Date]]+2-TODAY()</f>
        <v>-317</v>
      </c>
      <c r="Z35" s="14">
        <f>IF(ISBLANK(Table210[[#This Row],[Roster Received By]]),1,0)</f>
        <v>1</v>
      </c>
      <c r="AA35" s="14">
        <f ca="1">IF(Table210[[#This Row],[Start Date]]&gt;TODAY(),1,)</f>
        <v>0</v>
      </c>
    </row>
    <row r="36" spans="1:27" s="105" customFormat="1" x14ac:dyDescent="0.25">
      <c r="A36" s="52"/>
      <c r="B36" s="69" t="s">
        <v>74</v>
      </c>
      <c r="C36" s="70" t="s">
        <v>75</v>
      </c>
      <c r="D36" s="70" t="s">
        <v>76</v>
      </c>
      <c r="E36" s="69"/>
      <c r="F36" s="72">
        <v>45698</v>
      </c>
      <c r="G36" s="72">
        <v>45702</v>
      </c>
      <c r="H36" s="78"/>
      <c r="I36" s="78">
        <v>0.33333333333333331</v>
      </c>
      <c r="J36" s="72"/>
      <c r="K36" s="72"/>
      <c r="L36" s="72"/>
      <c r="M36" s="72"/>
      <c r="N36" s="72"/>
      <c r="O36" s="69" t="s">
        <v>236</v>
      </c>
      <c r="P36" s="69"/>
      <c r="Q36" s="73">
        <v>45</v>
      </c>
      <c r="R36" s="198">
        <v>5</v>
      </c>
      <c r="S36" s="73"/>
      <c r="T36" s="73"/>
      <c r="U36" s="14"/>
      <c r="V36" s="14"/>
      <c r="W36" s="14"/>
      <c r="X36" s="69"/>
      <c r="Y36" s="60">
        <f ca="1">Table210[[#This Row],[End Date]]+2-TODAY()</f>
        <v>-303</v>
      </c>
      <c r="Z36" s="14">
        <f>IF(ISBLANK(Table210[[#This Row],[Roster Received By]]),1,0)</f>
        <v>1</v>
      </c>
      <c r="AA36" s="14">
        <f ca="1">IF(Table210[[#This Row],[Start Date]]&gt;TODAY(),1,)</f>
        <v>0</v>
      </c>
    </row>
    <row r="37" spans="1:27" s="106" customFormat="1" ht="14.25" customHeight="1" x14ac:dyDescent="0.25">
      <c r="A37" s="52"/>
      <c r="B37" s="69" t="s">
        <v>74</v>
      </c>
      <c r="C37" s="70" t="s">
        <v>75</v>
      </c>
      <c r="D37" s="70" t="s">
        <v>76</v>
      </c>
      <c r="E37" s="69"/>
      <c r="F37" s="72">
        <v>45711</v>
      </c>
      <c r="G37" s="72">
        <v>45715</v>
      </c>
      <c r="H37" s="75"/>
      <c r="I37" s="75">
        <v>0.79166666666666663</v>
      </c>
      <c r="J37" s="72"/>
      <c r="K37" s="72"/>
      <c r="L37" s="72"/>
      <c r="M37" s="72"/>
      <c r="N37" s="72"/>
      <c r="O37" s="69" t="s">
        <v>236</v>
      </c>
      <c r="P37" s="69"/>
      <c r="Q37" s="73">
        <v>45</v>
      </c>
      <c r="R37" s="198">
        <v>5</v>
      </c>
      <c r="S37" s="73"/>
      <c r="T37" s="73"/>
      <c r="U37" s="14"/>
      <c r="V37" s="14"/>
      <c r="W37" s="14"/>
      <c r="X37" s="69"/>
      <c r="Y37" s="60">
        <f ca="1">Table210[[#This Row],[End Date]]+2-TODAY()</f>
        <v>-290</v>
      </c>
      <c r="Z37" s="14">
        <f>IF(ISBLANK(Table210[[#This Row],[Roster Received By]]),1,0)</f>
        <v>1</v>
      </c>
      <c r="AA37" s="14">
        <f ca="1">IF(Table210[[#This Row],[Start Date]]&gt;TODAY(),1,)</f>
        <v>0</v>
      </c>
    </row>
    <row r="38" spans="1:27" s="76" customFormat="1" ht="14.25" customHeight="1" x14ac:dyDescent="0.25">
      <c r="A38" s="52"/>
      <c r="B38" s="69" t="s">
        <v>74</v>
      </c>
      <c r="C38" s="70" t="s">
        <v>75</v>
      </c>
      <c r="D38" s="70" t="s">
        <v>76</v>
      </c>
      <c r="E38" s="69"/>
      <c r="F38" s="72">
        <v>45726</v>
      </c>
      <c r="G38" s="72">
        <v>45730</v>
      </c>
      <c r="H38" s="75"/>
      <c r="I38" s="75">
        <v>0.54166666666666663</v>
      </c>
      <c r="J38" s="72"/>
      <c r="K38" s="72"/>
      <c r="L38" s="72"/>
      <c r="M38" s="72"/>
      <c r="N38" s="72"/>
      <c r="O38" s="69" t="s">
        <v>236</v>
      </c>
      <c r="P38" s="69"/>
      <c r="Q38" s="73">
        <v>45</v>
      </c>
      <c r="R38" s="198">
        <v>5</v>
      </c>
      <c r="S38" s="73"/>
      <c r="T38" s="73"/>
      <c r="U38" s="14"/>
      <c r="V38" s="14"/>
      <c r="W38" s="14"/>
      <c r="X38" s="69"/>
      <c r="Y38" s="60">
        <f ca="1">Table210[[#This Row],[End Date]]+2-TODAY()</f>
        <v>-275</v>
      </c>
      <c r="Z38" s="14">
        <f>IF(ISBLANK(Table210[[#This Row],[Roster Received By]]),1,0)</f>
        <v>1</v>
      </c>
      <c r="AA38" s="14">
        <f ca="1">IF(Table210[[#This Row],[Start Date]]&gt;TODAY(),1,)</f>
        <v>0</v>
      </c>
    </row>
    <row r="39" spans="1:27" s="76" customFormat="1" ht="14.25" customHeight="1" x14ac:dyDescent="0.25">
      <c r="A39" s="52"/>
      <c r="B39" s="69" t="s">
        <v>74</v>
      </c>
      <c r="C39" s="70" t="s">
        <v>75</v>
      </c>
      <c r="D39" s="70" t="s">
        <v>76</v>
      </c>
      <c r="E39" s="69"/>
      <c r="F39" s="72">
        <v>45754</v>
      </c>
      <c r="G39" s="72">
        <v>45758</v>
      </c>
      <c r="H39" s="75"/>
      <c r="I39" s="75">
        <v>0.54166666666666663</v>
      </c>
      <c r="J39" s="72"/>
      <c r="K39" s="72"/>
      <c r="L39" s="72"/>
      <c r="M39" s="72"/>
      <c r="N39" s="72"/>
      <c r="O39" s="69" t="s">
        <v>236</v>
      </c>
      <c r="P39" s="69"/>
      <c r="Q39" s="73">
        <v>45</v>
      </c>
      <c r="R39" s="198">
        <v>5</v>
      </c>
      <c r="S39" s="73"/>
      <c r="T39" s="73"/>
      <c r="U39" s="14"/>
      <c r="V39" s="14"/>
      <c r="W39" s="14"/>
      <c r="X39" s="69"/>
      <c r="Y39" s="60">
        <f ca="1">Table210[[#This Row],[End Date]]+2-TODAY()</f>
        <v>-247</v>
      </c>
      <c r="Z39" s="14">
        <f>IF(ISBLANK(Table210[[#This Row],[Roster Received By]]),1,0)</f>
        <v>1</v>
      </c>
      <c r="AA39" s="14">
        <f ca="1">IF(Table210[[#This Row],[Start Date]]&gt;TODAY(),1,)</f>
        <v>0</v>
      </c>
    </row>
    <row r="40" spans="1:27" s="76" customFormat="1" ht="14.25" customHeight="1" x14ac:dyDescent="0.25">
      <c r="A40" s="52"/>
      <c r="B40" s="69" t="s">
        <v>74</v>
      </c>
      <c r="C40" s="70" t="s">
        <v>75</v>
      </c>
      <c r="D40" s="70" t="s">
        <v>76</v>
      </c>
      <c r="E40" s="69"/>
      <c r="F40" s="72">
        <v>45782</v>
      </c>
      <c r="G40" s="72">
        <v>45786</v>
      </c>
      <c r="H40" s="75"/>
      <c r="I40" s="75">
        <v>0.33333333333333331</v>
      </c>
      <c r="J40" s="72"/>
      <c r="K40" s="72"/>
      <c r="L40" s="72"/>
      <c r="M40" s="72"/>
      <c r="N40" s="72"/>
      <c r="O40" s="69" t="s">
        <v>236</v>
      </c>
      <c r="P40" s="69"/>
      <c r="Q40" s="73">
        <v>45</v>
      </c>
      <c r="R40" s="198">
        <v>5</v>
      </c>
      <c r="S40" s="73"/>
      <c r="T40" s="73"/>
      <c r="U40" s="14"/>
      <c r="V40" s="14"/>
      <c r="W40" s="14"/>
      <c r="X40" s="69"/>
      <c r="Y40" s="60">
        <f ca="1">Table210[[#This Row],[End Date]]+2-TODAY()</f>
        <v>-219</v>
      </c>
      <c r="Z40" s="14">
        <f>IF(ISBLANK(Table210[[#This Row],[Roster Received By]]),1,0)</f>
        <v>1</v>
      </c>
      <c r="AA40" s="14">
        <f ca="1">IF(Table210[[#This Row],[Start Date]]&gt;TODAY(),1,)</f>
        <v>0</v>
      </c>
    </row>
    <row r="41" spans="1:27" s="76" customFormat="1" ht="14.25" customHeight="1" x14ac:dyDescent="0.25">
      <c r="A41" s="52"/>
      <c r="B41" s="69" t="s">
        <v>74</v>
      </c>
      <c r="C41" s="70" t="s">
        <v>75</v>
      </c>
      <c r="D41" s="70" t="s">
        <v>76</v>
      </c>
      <c r="E41" s="69"/>
      <c r="F41" s="72">
        <v>45795</v>
      </c>
      <c r="G41" s="72">
        <v>45799</v>
      </c>
      <c r="H41" s="75"/>
      <c r="I41" s="75">
        <v>0.79166666666666663</v>
      </c>
      <c r="J41" s="72"/>
      <c r="K41" s="72"/>
      <c r="L41" s="72"/>
      <c r="M41" s="72"/>
      <c r="N41" s="72"/>
      <c r="O41" s="69" t="s">
        <v>236</v>
      </c>
      <c r="P41" s="69"/>
      <c r="Q41" s="73">
        <v>45</v>
      </c>
      <c r="R41" s="198">
        <v>5</v>
      </c>
      <c r="S41" s="73"/>
      <c r="T41" s="73"/>
      <c r="U41" s="14"/>
      <c r="V41" s="14"/>
      <c r="W41" s="14"/>
      <c r="X41" s="69"/>
      <c r="Y41" s="60">
        <f ca="1">Table210[[#This Row],[End Date]]+2-TODAY()</f>
        <v>-206</v>
      </c>
      <c r="Z41" s="14">
        <f>IF(ISBLANK(Table210[[#This Row],[Roster Received By]]),1,0)</f>
        <v>1</v>
      </c>
      <c r="AA41" s="14">
        <f ca="1">IF(Table210[[#This Row],[Start Date]]&gt;TODAY(),1,)</f>
        <v>0</v>
      </c>
    </row>
    <row r="42" spans="1:27" s="76" customFormat="1" ht="14.25" customHeight="1" x14ac:dyDescent="0.25">
      <c r="A42" s="52"/>
      <c r="B42" s="69" t="s">
        <v>74</v>
      </c>
      <c r="C42" s="70" t="s">
        <v>75</v>
      </c>
      <c r="D42" s="70" t="s">
        <v>76</v>
      </c>
      <c r="E42" s="69"/>
      <c r="F42" s="72">
        <v>45831</v>
      </c>
      <c r="G42" s="72">
        <v>45835</v>
      </c>
      <c r="H42" s="78"/>
      <c r="I42" s="78">
        <v>0.54166666666666663</v>
      </c>
      <c r="J42" s="72"/>
      <c r="K42" s="72"/>
      <c r="L42" s="72"/>
      <c r="M42" s="72"/>
      <c r="N42" s="72"/>
      <c r="O42" s="69" t="s">
        <v>236</v>
      </c>
      <c r="P42" s="69"/>
      <c r="Q42" s="73">
        <v>45</v>
      </c>
      <c r="R42" s="198">
        <v>5</v>
      </c>
      <c r="S42" s="73"/>
      <c r="T42" s="73"/>
      <c r="U42" s="14"/>
      <c r="V42" s="14"/>
      <c r="W42" s="14"/>
      <c r="X42" s="69"/>
      <c r="Y42" s="60">
        <f ca="1">Table210[[#This Row],[End Date]]+2-TODAY()</f>
        <v>-170</v>
      </c>
      <c r="Z42" s="14">
        <f>IF(ISBLANK(Table210[[#This Row],[Roster Received By]]),1,0)</f>
        <v>1</v>
      </c>
      <c r="AA42" s="14">
        <f ca="1">IF(Table210[[#This Row],[Start Date]]&gt;TODAY(),1,)</f>
        <v>0</v>
      </c>
    </row>
    <row r="43" spans="1:27" s="76" customFormat="1" ht="14.25" customHeight="1" x14ac:dyDescent="0.25">
      <c r="A43" s="52"/>
      <c r="B43" s="69" t="s">
        <v>74</v>
      </c>
      <c r="C43" s="70" t="s">
        <v>75</v>
      </c>
      <c r="D43" s="70" t="s">
        <v>76</v>
      </c>
      <c r="E43" s="69"/>
      <c r="F43" s="72">
        <v>45845</v>
      </c>
      <c r="G43" s="72">
        <v>45849</v>
      </c>
      <c r="H43" s="78"/>
      <c r="I43" s="78">
        <v>0.54166666666666663</v>
      </c>
      <c r="J43" s="72"/>
      <c r="K43" s="72"/>
      <c r="L43" s="72"/>
      <c r="M43" s="72"/>
      <c r="N43" s="72"/>
      <c r="O43" s="69" t="s">
        <v>236</v>
      </c>
      <c r="P43" s="69"/>
      <c r="Q43" s="73">
        <v>45</v>
      </c>
      <c r="R43" s="198">
        <v>5</v>
      </c>
      <c r="S43" s="73"/>
      <c r="T43" s="73"/>
      <c r="U43" s="14"/>
      <c r="V43" s="14"/>
      <c r="W43" s="70"/>
      <c r="X43" s="69"/>
      <c r="Y43" s="60">
        <f ca="1">Table210[[#This Row],[End Date]]+2-TODAY()</f>
        <v>-156</v>
      </c>
      <c r="Z43" s="14">
        <f>IF(ISBLANK(Table210[[#This Row],[Roster Received By]]),1,0)</f>
        <v>1</v>
      </c>
      <c r="AA43" s="14">
        <f ca="1">IF(Table210[[#This Row],[Start Date]]&gt;TODAY(),1,)</f>
        <v>0</v>
      </c>
    </row>
    <row r="44" spans="1:27" s="76" customFormat="1" ht="14.25" customHeight="1" x14ac:dyDescent="0.25">
      <c r="A44" s="52"/>
      <c r="B44" s="69" t="s">
        <v>74</v>
      </c>
      <c r="C44" s="70" t="s">
        <v>75</v>
      </c>
      <c r="D44" s="70" t="s">
        <v>76</v>
      </c>
      <c r="E44" s="69"/>
      <c r="F44" s="72">
        <v>45866</v>
      </c>
      <c r="G44" s="72">
        <v>45870</v>
      </c>
      <c r="H44" s="78"/>
      <c r="I44" s="78">
        <v>0.54166666666666663</v>
      </c>
      <c r="J44" s="72"/>
      <c r="K44" s="72"/>
      <c r="L44" s="72"/>
      <c r="M44" s="72"/>
      <c r="N44" s="72"/>
      <c r="O44" s="69" t="s">
        <v>236</v>
      </c>
      <c r="P44" s="69"/>
      <c r="Q44" s="73">
        <v>45</v>
      </c>
      <c r="R44" s="198">
        <v>5</v>
      </c>
      <c r="S44" s="73"/>
      <c r="T44" s="73"/>
      <c r="U44" s="14"/>
      <c r="V44" s="14"/>
      <c r="W44" s="70"/>
      <c r="X44" s="69"/>
      <c r="Y44" s="60">
        <f ca="1">Table210[[#This Row],[End Date]]+2-TODAY()</f>
        <v>-135</v>
      </c>
      <c r="Z44" s="14">
        <f>IF(ISBLANK(Table210[[#This Row],[Roster Received By]]),1,0)</f>
        <v>1</v>
      </c>
      <c r="AA44" s="14">
        <f ca="1">IF(Table210[[#This Row],[Start Date]]&gt;TODAY(),1,)</f>
        <v>0</v>
      </c>
    </row>
    <row r="45" spans="1:27" s="76" customFormat="1" ht="14.25" customHeight="1" x14ac:dyDescent="0.25">
      <c r="A45" s="52"/>
      <c r="B45" s="69" t="s">
        <v>74</v>
      </c>
      <c r="C45" s="70" t="s">
        <v>75</v>
      </c>
      <c r="D45" s="70" t="s">
        <v>76</v>
      </c>
      <c r="E45" s="69"/>
      <c r="F45" s="72">
        <v>45886</v>
      </c>
      <c r="G45" s="72">
        <v>45890</v>
      </c>
      <c r="H45" s="75"/>
      <c r="I45" s="75">
        <v>0.79166666666666663</v>
      </c>
      <c r="J45" s="72"/>
      <c r="K45" s="72"/>
      <c r="L45" s="72"/>
      <c r="M45" s="72"/>
      <c r="N45" s="72"/>
      <c r="O45" s="69" t="s">
        <v>236</v>
      </c>
      <c r="P45" s="69"/>
      <c r="Q45" s="73">
        <v>45</v>
      </c>
      <c r="R45" s="198">
        <v>5</v>
      </c>
      <c r="S45" s="73"/>
      <c r="T45" s="73"/>
      <c r="U45" s="14"/>
      <c r="V45" s="14"/>
      <c r="W45" s="14"/>
      <c r="X45" s="69"/>
      <c r="Y45" s="60">
        <f ca="1">Table210[[#This Row],[End Date]]+2-TODAY()</f>
        <v>-115</v>
      </c>
      <c r="Z45" s="14">
        <f>IF(ISBLANK(Table210[[#This Row],[Roster Received By]]),1,0)</f>
        <v>1</v>
      </c>
      <c r="AA45" s="14">
        <f ca="1">IF(Table210[[#This Row],[Start Date]]&gt;TODAY(),1,)</f>
        <v>0</v>
      </c>
    </row>
    <row r="46" spans="1:27" s="76" customFormat="1" ht="16.5" customHeight="1" x14ac:dyDescent="0.25">
      <c r="A46" s="52"/>
      <c r="B46" s="107" t="s">
        <v>74</v>
      </c>
      <c r="C46" s="70" t="s">
        <v>75</v>
      </c>
      <c r="D46" s="70" t="s">
        <v>76</v>
      </c>
      <c r="E46" s="69"/>
      <c r="F46" s="72">
        <v>45915</v>
      </c>
      <c r="G46" s="72">
        <v>45919</v>
      </c>
      <c r="H46" s="72"/>
      <c r="I46" s="71">
        <v>0.33333333333333331</v>
      </c>
      <c r="J46" s="75"/>
      <c r="K46" s="75"/>
      <c r="L46" s="75"/>
      <c r="M46" s="75"/>
      <c r="N46" s="75"/>
      <c r="O46" s="69" t="s">
        <v>236</v>
      </c>
      <c r="P46" s="69"/>
      <c r="Q46" s="14">
        <v>45</v>
      </c>
      <c r="R46" s="187">
        <v>5</v>
      </c>
      <c r="S46" s="14"/>
      <c r="T46" s="73"/>
      <c r="U46" s="14"/>
      <c r="V46" s="14"/>
      <c r="W46" s="14"/>
      <c r="X46" s="69"/>
      <c r="Y46" s="60">
        <f ca="1">Table210[[#This Row],[End Date]]+2-TODAY()</f>
        <v>-86</v>
      </c>
      <c r="Z46" s="14">
        <f>IF(ISBLANK(Table210[[#This Row],[Roster Received By]]),1,0)</f>
        <v>1</v>
      </c>
      <c r="AA46" s="14">
        <f ca="1">IF(Table210[[#This Row],[Start Date]]&gt;TODAY(),1,)</f>
        <v>0</v>
      </c>
    </row>
    <row r="47" spans="1:27" s="76" customFormat="1" ht="16.5" customHeight="1" x14ac:dyDescent="0.25">
      <c r="A47" s="122" t="s">
        <v>237</v>
      </c>
      <c r="B47" s="122" t="s">
        <v>238</v>
      </c>
      <c r="C47" s="124" t="s">
        <v>238</v>
      </c>
      <c r="D47" s="124" t="s">
        <v>238</v>
      </c>
      <c r="E47" s="122"/>
      <c r="F47" s="137">
        <v>45579</v>
      </c>
      <c r="G47" s="125">
        <v>45579</v>
      </c>
      <c r="H47" s="125"/>
      <c r="I47" s="126"/>
      <c r="J47" s="128"/>
      <c r="K47" s="128"/>
      <c r="L47" s="128"/>
      <c r="M47" s="128"/>
      <c r="N47" s="128"/>
      <c r="O47" s="122"/>
      <c r="P47" s="122"/>
      <c r="Q47" s="127">
        <v>0</v>
      </c>
      <c r="R47" s="127">
        <v>0</v>
      </c>
      <c r="S47" s="14"/>
      <c r="T47" s="73"/>
      <c r="U47" s="14"/>
      <c r="V47" s="14"/>
      <c r="W47" s="14"/>
      <c r="X47" s="69"/>
      <c r="Y47" s="60">
        <f ca="1">Table210[[#This Row],[End Date]]+2-TODAY()</f>
        <v>-426</v>
      </c>
      <c r="Z47" s="14">
        <f>IF(ISBLANK(Table210[[#This Row],[Roster Received By]]),1,0)</f>
        <v>1</v>
      </c>
      <c r="AA47" s="14">
        <f ca="1">IF(Table210[[#This Row],[Start Date]]&gt;TODAY(),1,)</f>
        <v>0</v>
      </c>
    </row>
    <row r="48" spans="1:27" s="76" customFormat="1" ht="14.25" customHeight="1" x14ac:dyDescent="0.25">
      <c r="A48" s="121" t="s">
        <v>239</v>
      </c>
      <c r="B48" s="122" t="s">
        <v>238</v>
      </c>
      <c r="C48" s="124" t="s">
        <v>238</v>
      </c>
      <c r="D48" s="124" t="s">
        <v>238</v>
      </c>
      <c r="E48" s="151"/>
      <c r="F48" s="125">
        <v>45607</v>
      </c>
      <c r="G48" s="125">
        <v>45607</v>
      </c>
      <c r="H48" s="128"/>
      <c r="I48" s="128"/>
      <c r="J48" s="125"/>
      <c r="K48" s="125"/>
      <c r="L48" s="125"/>
      <c r="M48" s="125"/>
      <c r="N48" s="125"/>
      <c r="O48" s="122"/>
      <c r="P48" s="122"/>
      <c r="Q48" s="127">
        <v>0</v>
      </c>
      <c r="R48" s="127">
        <v>0</v>
      </c>
      <c r="S48" s="127"/>
      <c r="T48" s="152"/>
      <c r="U48" s="127"/>
      <c r="V48" s="127"/>
      <c r="W48" s="124"/>
      <c r="X48" s="122"/>
      <c r="Y48" s="153">
        <f ca="1">Table210[[#This Row],[End Date]]+2-TODAY()</f>
        <v>-398</v>
      </c>
      <c r="Z48" s="127">
        <f>IF(ISBLANK(Table210[[#This Row],[Roster Received By]]),1,0)</f>
        <v>1</v>
      </c>
      <c r="AA48" s="127">
        <f ca="1">IF(Table210[[#This Row],[Start Date]]&gt;TODAY(),1,)</f>
        <v>0</v>
      </c>
    </row>
    <row r="49" spans="1:27" s="76" customFormat="1" ht="14.25" customHeight="1" x14ac:dyDescent="0.25">
      <c r="A49" s="121" t="s">
        <v>240</v>
      </c>
      <c r="B49" s="122" t="s">
        <v>238</v>
      </c>
      <c r="C49" s="124" t="s">
        <v>238</v>
      </c>
      <c r="D49" s="124" t="s">
        <v>238</v>
      </c>
      <c r="E49" s="122"/>
      <c r="F49" s="125">
        <v>45624</v>
      </c>
      <c r="G49" s="125">
        <v>45624</v>
      </c>
      <c r="H49" s="154"/>
      <c r="I49" s="128"/>
      <c r="J49" s="125"/>
      <c r="K49" s="125"/>
      <c r="L49" s="125"/>
      <c r="M49" s="125"/>
      <c r="N49" s="125"/>
      <c r="O49" s="122"/>
      <c r="P49" s="122"/>
      <c r="Q49" s="127">
        <v>0</v>
      </c>
      <c r="R49" s="127">
        <v>0</v>
      </c>
      <c r="S49" s="152"/>
      <c r="T49" s="152"/>
      <c r="U49" s="127"/>
      <c r="V49" s="127"/>
      <c r="W49" s="127"/>
      <c r="X49" s="122"/>
      <c r="Y49" s="153">
        <f ca="1">Table210[[#This Row],[End Date]]+2-TODAY()</f>
        <v>-381</v>
      </c>
      <c r="Z49" s="127">
        <f>IF(ISBLANK(Table210[[#This Row],[Roster Received By]]),1,0)</f>
        <v>1</v>
      </c>
      <c r="AA49" s="127">
        <f ca="1">IF(Table210[[#This Row],[Start Date]]&gt;TODAY(),1,)</f>
        <v>0</v>
      </c>
    </row>
    <row r="50" spans="1:27" s="76" customFormat="1" ht="14.25" customHeight="1" x14ac:dyDescent="0.25">
      <c r="A50" s="121" t="s">
        <v>241</v>
      </c>
      <c r="B50" s="122" t="s">
        <v>238</v>
      </c>
      <c r="C50" s="124" t="s">
        <v>238</v>
      </c>
      <c r="D50" s="124" t="s">
        <v>238</v>
      </c>
      <c r="E50" s="122"/>
      <c r="F50" s="125">
        <v>45651</v>
      </c>
      <c r="G50" s="125">
        <v>45651</v>
      </c>
      <c r="H50" s="125"/>
      <c r="I50" s="126"/>
      <c r="J50" s="126"/>
      <c r="K50" s="126"/>
      <c r="L50" s="126"/>
      <c r="M50" s="126"/>
      <c r="N50" s="126"/>
      <c r="O50" s="122"/>
      <c r="P50" s="122"/>
      <c r="Q50" s="127">
        <v>0</v>
      </c>
      <c r="R50" s="127">
        <v>0</v>
      </c>
      <c r="S50" s="127"/>
      <c r="T50" s="152"/>
      <c r="U50" s="127"/>
      <c r="V50" s="127"/>
      <c r="W50" s="127"/>
      <c r="X50" s="122"/>
      <c r="Y50" s="153">
        <f ca="1">Table210[[#This Row],[End Date]]+2-TODAY()</f>
        <v>-354</v>
      </c>
      <c r="Z50" s="127">
        <f>IF(ISBLANK(Table210[[#This Row],[Roster Received By]]),1,0)</f>
        <v>1</v>
      </c>
      <c r="AA50" s="127">
        <f ca="1">IF(Table210[[#This Row],[Start Date]]&gt;TODAY(),1,)</f>
        <v>0</v>
      </c>
    </row>
    <row r="51" spans="1:27" s="76" customFormat="1" ht="14.25" customHeight="1" x14ac:dyDescent="0.25">
      <c r="A51" s="122" t="s">
        <v>242</v>
      </c>
      <c r="B51" s="122" t="s">
        <v>238</v>
      </c>
      <c r="C51" s="124" t="s">
        <v>238</v>
      </c>
      <c r="D51" s="124" t="s">
        <v>238</v>
      </c>
      <c r="E51" s="151"/>
      <c r="F51" s="125">
        <v>45658</v>
      </c>
      <c r="G51" s="125">
        <v>45658</v>
      </c>
      <c r="H51" s="154"/>
      <c r="I51" s="154"/>
      <c r="J51" s="125"/>
      <c r="K51" s="125"/>
      <c r="L51" s="125"/>
      <c r="M51" s="125"/>
      <c r="N51" s="125"/>
      <c r="O51" s="122"/>
      <c r="P51" s="122"/>
      <c r="Q51" s="127">
        <v>0</v>
      </c>
      <c r="R51" s="127">
        <v>0</v>
      </c>
      <c r="S51" s="127"/>
      <c r="T51" s="152"/>
      <c r="U51" s="127"/>
      <c r="V51" s="127"/>
      <c r="W51" s="127"/>
      <c r="X51" s="122"/>
      <c r="Y51" s="153">
        <f ca="1">Table210[[#This Row],[End Date]]+2-TODAY()</f>
        <v>-347</v>
      </c>
      <c r="Z51" s="127">
        <f>IF(ISBLANK(Table210[[#This Row],[Roster Received By]]),1,0)</f>
        <v>1</v>
      </c>
      <c r="AA51" s="127">
        <f ca="1">IF(Table210[[#This Row],[Start Date]]&gt;TODAY(),1,)</f>
        <v>0</v>
      </c>
    </row>
    <row r="52" spans="1:27" s="108" customFormat="1" ht="14.25" customHeight="1" x14ac:dyDescent="0.25">
      <c r="A52" s="122" t="s">
        <v>243</v>
      </c>
      <c r="B52" s="122" t="s">
        <v>238</v>
      </c>
      <c r="C52" s="124" t="s">
        <v>238</v>
      </c>
      <c r="D52" s="124" t="s">
        <v>238</v>
      </c>
      <c r="E52" s="122"/>
      <c r="F52" s="125">
        <v>45677</v>
      </c>
      <c r="G52" s="125">
        <v>45677</v>
      </c>
      <c r="H52" s="154"/>
      <c r="I52" s="128"/>
      <c r="J52" s="125"/>
      <c r="K52" s="125"/>
      <c r="L52" s="125"/>
      <c r="M52" s="125"/>
      <c r="N52" s="125"/>
      <c r="O52" s="122"/>
      <c r="P52" s="122"/>
      <c r="Q52" s="127">
        <v>0</v>
      </c>
      <c r="R52" s="127">
        <v>0</v>
      </c>
      <c r="S52" s="152"/>
      <c r="T52" s="152"/>
      <c r="U52" s="127"/>
      <c r="V52" s="127"/>
      <c r="W52" s="124"/>
      <c r="X52" s="122"/>
      <c r="Y52" s="153">
        <f ca="1">Table210[[#This Row],[End Date]]+2-TODAY()</f>
        <v>-328</v>
      </c>
      <c r="Z52" s="127">
        <f>IF(ISBLANK(Table210[[#This Row],[Roster Received By]]),1,0)</f>
        <v>1</v>
      </c>
      <c r="AA52" s="127">
        <f ca="1">IF(Table210[[#This Row],[Start Date]]&gt;TODAY(),1,)</f>
        <v>0</v>
      </c>
    </row>
    <row r="53" spans="1:27" s="76" customFormat="1" ht="16.5" customHeight="1" x14ac:dyDescent="0.25">
      <c r="A53" s="121" t="s">
        <v>244</v>
      </c>
      <c r="B53" s="122" t="s">
        <v>238</v>
      </c>
      <c r="C53" s="124" t="s">
        <v>238</v>
      </c>
      <c r="D53" s="124" t="s">
        <v>238</v>
      </c>
      <c r="E53" s="122"/>
      <c r="F53" s="125">
        <v>45705</v>
      </c>
      <c r="G53" s="125">
        <v>45705</v>
      </c>
      <c r="H53" s="128"/>
      <c r="I53" s="128"/>
      <c r="J53" s="128"/>
      <c r="K53" s="128"/>
      <c r="L53" s="128"/>
      <c r="M53" s="128"/>
      <c r="N53" s="128"/>
      <c r="O53" s="122"/>
      <c r="P53" s="122"/>
      <c r="Q53" s="127">
        <v>0</v>
      </c>
      <c r="R53" s="127">
        <v>0</v>
      </c>
      <c r="S53" s="127"/>
      <c r="T53" s="152"/>
      <c r="U53" s="127"/>
      <c r="V53" s="127"/>
      <c r="W53" s="127"/>
      <c r="X53" s="122"/>
      <c r="Y53" s="153">
        <f ca="1">Table210[[#This Row],[End Date]]+2-TODAY()</f>
        <v>-300</v>
      </c>
      <c r="Z53" s="127">
        <f>IF(ISBLANK(Table210[[#This Row],[Roster Received By]]),1,0)</f>
        <v>1</v>
      </c>
      <c r="AA53" s="127">
        <f ca="1">IF(Table210[[#This Row],[Start Date]]&gt;TODAY(),1,)</f>
        <v>0</v>
      </c>
    </row>
    <row r="54" spans="1:27" s="76" customFormat="1" ht="16.5" customHeight="1" x14ac:dyDescent="0.25">
      <c r="A54" s="121" t="s">
        <v>245</v>
      </c>
      <c r="B54" s="122" t="s">
        <v>238</v>
      </c>
      <c r="C54" s="124" t="s">
        <v>238</v>
      </c>
      <c r="D54" s="124" t="s">
        <v>238</v>
      </c>
      <c r="E54" s="151"/>
      <c r="F54" s="125">
        <v>45803</v>
      </c>
      <c r="G54" s="125">
        <v>45803</v>
      </c>
      <c r="H54" s="154"/>
      <c r="I54" s="154"/>
      <c r="J54" s="125"/>
      <c r="K54" s="125"/>
      <c r="L54" s="125"/>
      <c r="M54" s="125"/>
      <c r="N54" s="125"/>
      <c r="O54" s="122"/>
      <c r="P54" s="122"/>
      <c r="Q54" s="127">
        <v>0</v>
      </c>
      <c r="R54" s="127">
        <v>0</v>
      </c>
      <c r="S54" s="127"/>
      <c r="T54" s="152"/>
      <c r="U54" s="127"/>
      <c r="V54" s="127"/>
      <c r="W54" s="127"/>
      <c r="X54" s="122"/>
      <c r="Y54" s="153">
        <f ca="1">Table210[[#This Row],[End Date]]+2-TODAY()</f>
        <v>-202</v>
      </c>
      <c r="Z54" s="127">
        <f>IF(ISBLANK(Table210[[#This Row],[Roster Received By]]),1,0)</f>
        <v>1</v>
      </c>
      <c r="AA54" s="127">
        <f ca="1">IF(Table210[[#This Row],[Start Date]]&gt;TODAY(),1,)</f>
        <v>0</v>
      </c>
    </row>
    <row r="55" spans="1:27" s="76" customFormat="1" ht="14.25" customHeight="1" x14ac:dyDescent="0.25">
      <c r="A55" s="121" t="s">
        <v>246</v>
      </c>
      <c r="B55" s="122" t="s">
        <v>238</v>
      </c>
      <c r="C55" s="124" t="s">
        <v>238</v>
      </c>
      <c r="D55" s="124" t="s">
        <v>238</v>
      </c>
      <c r="E55" s="151"/>
      <c r="F55" s="125">
        <v>45827</v>
      </c>
      <c r="G55" s="125">
        <v>45827</v>
      </c>
      <c r="H55" s="154"/>
      <c r="I55" s="154"/>
      <c r="J55" s="125"/>
      <c r="K55" s="125"/>
      <c r="L55" s="125"/>
      <c r="M55" s="125"/>
      <c r="N55" s="125"/>
      <c r="O55" s="122"/>
      <c r="P55" s="122"/>
      <c r="Q55" s="127">
        <v>0</v>
      </c>
      <c r="R55" s="127">
        <v>0</v>
      </c>
      <c r="S55" s="127"/>
      <c r="T55" s="152"/>
      <c r="U55" s="127"/>
      <c r="V55" s="127"/>
      <c r="W55" s="127"/>
      <c r="X55" s="122"/>
      <c r="Y55" s="153">
        <f ca="1">Table210[[#This Row],[End Date]]+2-TODAY()</f>
        <v>-178</v>
      </c>
      <c r="Z55" s="127">
        <f>IF(ISBLANK(Table210[[#This Row],[Roster Received By]]),1,0)</f>
        <v>1</v>
      </c>
      <c r="AA55" s="127">
        <f ca="1">IF(Table210[[#This Row],[Start Date]]&gt;TODAY(),1,)</f>
        <v>0</v>
      </c>
    </row>
    <row r="56" spans="1:27" s="76" customFormat="1" ht="14.25" customHeight="1" x14ac:dyDescent="0.25">
      <c r="A56" s="121" t="s">
        <v>247</v>
      </c>
      <c r="B56" s="122" t="s">
        <v>238</v>
      </c>
      <c r="C56" s="124" t="s">
        <v>238</v>
      </c>
      <c r="D56" s="124" t="s">
        <v>238</v>
      </c>
      <c r="E56" s="151"/>
      <c r="F56" s="125">
        <v>45842</v>
      </c>
      <c r="G56" s="125">
        <v>45842</v>
      </c>
      <c r="H56" s="154"/>
      <c r="I56" s="154"/>
      <c r="J56" s="125"/>
      <c r="K56" s="125"/>
      <c r="L56" s="125"/>
      <c r="M56" s="125"/>
      <c r="N56" s="125"/>
      <c r="O56" s="122"/>
      <c r="P56" s="122"/>
      <c r="Q56" s="127">
        <v>0</v>
      </c>
      <c r="R56" s="127">
        <v>0</v>
      </c>
      <c r="S56" s="127"/>
      <c r="T56" s="152"/>
      <c r="U56" s="127"/>
      <c r="V56" s="127"/>
      <c r="W56" s="124"/>
      <c r="X56" s="122"/>
      <c r="Y56" s="153">
        <f ca="1">Table210[[#This Row],[End Date]]+2-TODAY()</f>
        <v>-163</v>
      </c>
      <c r="Z56" s="127">
        <f>IF(ISBLANK(Table210[[#This Row],[Roster Received By]]),1,0)</f>
        <v>1</v>
      </c>
      <c r="AA56" s="127">
        <f ca="1">IF(Table210[[#This Row],[Start Date]]&gt;TODAY(),1,)</f>
        <v>0</v>
      </c>
    </row>
    <row r="57" spans="1:27" s="76" customFormat="1" ht="14.25" customHeight="1" x14ac:dyDescent="0.25">
      <c r="A57" s="121" t="s">
        <v>248</v>
      </c>
      <c r="B57" s="155" t="s">
        <v>238</v>
      </c>
      <c r="C57" s="124" t="s">
        <v>238</v>
      </c>
      <c r="D57" s="124" t="s">
        <v>238</v>
      </c>
      <c r="E57" s="151"/>
      <c r="F57" s="125">
        <v>45901</v>
      </c>
      <c r="G57" s="125">
        <v>45901</v>
      </c>
      <c r="H57" s="128"/>
      <c r="I57" s="128"/>
      <c r="J57" s="125"/>
      <c r="K57" s="125"/>
      <c r="L57" s="125"/>
      <c r="M57" s="125"/>
      <c r="N57" s="125"/>
      <c r="O57" s="122"/>
      <c r="P57" s="122"/>
      <c r="Q57" s="127">
        <v>0</v>
      </c>
      <c r="R57" s="127">
        <v>0</v>
      </c>
      <c r="S57" s="127"/>
      <c r="T57" s="152"/>
      <c r="U57" s="127"/>
      <c r="V57" s="127"/>
      <c r="W57" s="127"/>
      <c r="X57" s="122"/>
      <c r="Y57" s="153">
        <f ca="1">Table210[[#This Row],[End Date]]+2-TODAY()</f>
        <v>-104</v>
      </c>
      <c r="Z57" s="127">
        <f>IF(ISBLANK(Table210[[#This Row],[Roster Received By]]),1,0)</f>
        <v>1</v>
      </c>
      <c r="AA57" s="127">
        <f ca="1">IF(Table210[[#This Row],[Start Date]]&gt;TODAY(),1,)</f>
        <v>0</v>
      </c>
    </row>
    <row r="58" spans="1:27" s="76" customFormat="1" ht="16.5" customHeight="1" x14ac:dyDescent="0.25">
      <c r="A58" s="70"/>
      <c r="B58" s="86" t="s">
        <v>113</v>
      </c>
      <c r="C58" s="70" t="s">
        <v>114</v>
      </c>
      <c r="D58" s="70" t="s">
        <v>115</v>
      </c>
      <c r="E58" s="69"/>
      <c r="F58" s="72">
        <v>45565</v>
      </c>
      <c r="G58" s="72">
        <v>45568</v>
      </c>
      <c r="H58" s="75"/>
      <c r="I58" s="75">
        <v>0.54166666666666663</v>
      </c>
      <c r="J58" s="72"/>
      <c r="K58" s="72"/>
      <c r="L58" s="72"/>
      <c r="M58" s="72"/>
      <c r="N58" s="72"/>
      <c r="O58" s="69" t="s">
        <v>224</v>
      </c>
      <c r="P58" s="69"/>
      <c r="Q58" s="189">
        <v>45</v>
      </c>
      <c r="R58" s="198">
        <v>4</v>
      </c>
      <c r="S58" s="189"/>
      <c r="T58" s="189"/>
      <c r="U58" s="77"/>
      <c r="V58" s="77"/>
      <c r="W58" s="77"/>
      <c r="X58" s="77"/>
      <c r="Y58" s="199">
        <f ca="1">Table210[[#This Row],[End Date]]+2-TODAY()</f>
        <v>-437</v>
      </c>
      <c r="Z58" s="70">
        <f>IF(ISBLANK(Table210[[#This Row],[Roster Received By]]),1,0)</f>
        <v>1</v>
      </c>
      <c r="AA58" s="70">
        <f ca="1">IF(Table210[[#This Row],[Start Date]]&gt;TODAY(),1,)</f>
        <v>0</v>
      </c>
    </row>
    <row r="59" spans="1:27" s="76" customFormat="1" ht="16.5" customHeight="1" x14ac:dyDescent="0.25">
      <c r="A59" s="69"/>
      <c r="B59" s="87" t="s">
        <v>113</v>
      </c>
      <c r="C59" s="70" t="s">
        <v>114</v>
      </c>
      <c r="D59" s="70" t="s">
        <v>115</v>
      </c>
      <c r="E59" s="69"/>
      <c r="F59" s="72">
        <v>45585</v>
      </c>
      <c r="G59" s="72">
        <v>45589</v>
      </c>
      <c r="H59" s="75"/>
      <c r="I59" s="75">
        <v>0.79166666666666663</v>
      </c>
      <c r="J59" s="72"/>
      <c r="K59" s="72"/>
      <c r="L59" s="72"/>
      <c r="M59" s="72"/>
      <c r="N59" s="72"/>
      <c r="O59" s="69" t="s">
        <v>224</v>
      </c>
      <c r="P59" s="69"/>
      <c r="Q59" s="73">
        <v>45</v>
      </c>
      <c r="R59" s="198">
        <v>4</v>
      </c>
      <c r="S59" s="73"/>
      <c r="T59" s="73"/>
      <c r="U59" s="14"/>
      <c r="V59" s="14"/>
      <c r="W59" s="14"/>
      <c r="X59" s="69"/>
      <c r="Y59" s="60">
        <f ca="1">Table210[[#This Row],[End Date]]+2-TODAY()</f>
        <v>-416</v>
      </c>
      <c r="Z59" s="14">
        <f>IF(ISBLANK(Table210[[#This Row],[Roster Received By]]),1,0)</f>
        <v>1</v>
      </c>
      <c r="AA59" s="14">
        <f ca="1">IF(Table210[[#This Row],[Start Date]]&gt;TODAY(),1,)</f>
        <v>0</v>
      </c>
    </row>
    <row r="60" spans="1:27" s="76" customFormat="1" ht="14.25" customHeight="1" x14ac:dyDescent="0.25">
      <c r="A60" s="52"/>
      <c r="B60" s="87" t="s">
        <v>113</v>
      </c>
      <c r="C60" s="70" t="s">
        <v>114</v>
      </c>
      <c r="D60" s="70" t="s">
        <v>115</v>
      </c>
      <c r="E60" s="69"/>
      <c r="F60" s="72">
        <v>45614</v>
      </c>
      <c r="G60" s="72">
        <v>45617</v>
      </c>
      <c r="H60" s="75"/>
      <c r="I60" s="75">
        <v>0.33333333333333331</v>
      </c>
      <c r="J60" s="72"/>
      <c r="K60" s="72"/>
      <c r="L60" s="72"/>
      <c r="M60" s="72"/>
      <c r="N60" s="72"/>
      <c r="O60" s="69" t="s">
        <v>224</v>
      </c>
      <c r="P60" s="69"/>
      <c r="Q60" s="73">
        <v>45</v>
      </c>
      <c r="R60" s="198">
        <v>4</v>
      </c>
      <c r="S60" s="73"/>
      <c r="T60" s="73"/>
      <c r="U60" s="14"/>
      <c r="V60" s="14"/>
      <c r="W60" s="70"/>
      <c r="X60" s="69"/>
      <c r="Y60" s="60">
        <f ca="1">Table210[[#This Row],[End Date]]+2-TODAY()</f>
        <v>-388</v>
      </c>
      <c r="Z60" s="14">
        <f>IF(ISBLANK(Table210[[#This Row],[Roster Received By]]),1,0)</f>
        <v>1</v>
      </c>
      <c r="AA60" s="14">
        <f ca="1">IF(Table210[[#This Row],[Start Date]]&gt;TODAY(),1,)</f>
        <v>0</v>
      </c>
    </row>
    <row r="61" spans="1:27" s="76" customFormat="1" ht="14.25" customHeight="1" x14ac:dyDescent="0.25">
      <c r="A61" s="52"/>
      <c r="B61" s="87" t="s">
        <v>113</v>
      </c>
      <c r="C61" s="70" t="s">
        <v>114</v>
      </c>
      <c r="D61" s="70" t="s">
        <v>115</v>
      </c>
      <c r="E61" s="69"/>
      <c r="F61" s="72">
        <v>45628</v>
      </c>
      <c r="G61" s="72">
        <v>45631</v>
      </c>
      <c r="H61" s="78"/>
      <c r="I61" s="75">
        <v>0.54166666666666663</v>
      </c>
      <c r="J61" s="72"/>
      <c r="K61" s="72"/>
      <c r="L61" s="72"/>
      <c r="M61" s="72"/>
      <c r="N61" s="72"/>
      <c r="O61" s="69" t="s">
        <v>224</v>
      </c>
      <c r="P61" s="69"/>
      <c r="Q61" s="73">
        <v>45</v>
      </c>
      <c r="R61" s="198">
        <v>4</v>
      </c>
      <c r="S61" s="73"/>
      <c r="T61" s="73"/>
      <c r="U61" s="14"/>
      <c r="V61" s="14"/>
      <c r="W61" s="14"/>
      <c r="X61" s="69"/>
      <c r="Y61" s="60">
        <f ca="1">Table210[[#This Row],[End Date]]+2-TODAY()</f>
        <v>-374</v>
      </c>
      <c r="Z61" s="14">
        <f>IF(ISBLANK(Table210[[#This Row],[Roster Received By]]),1,0)</f>
        <v>1</v>
      </c>
      <c r="AA61" s="14">
        <f ca="1">IF(Table210[[#This Row],[Start Date]]&gt;TODAY(),1,)</f>
        <v>0</v>
      </c>
    </row>
    <row r="62" spans="1:27" s="76" customFormat="1" ht="14.25" customHeight="1" x14ac:dyDescent="0.25">
      <c r="A62" s="52"/>
      <c r="B62" s="87" t="s">
        <v>113</v>
      </c>
      <c r="C62" s="70" t="s">
        <v>114</v>
      </c>
      <c r="D62" s="70" t="s">
        <v>115</v>
      </c>
      <c r="E62" s="69"/>
      <c r="F62" s="72">
        <v>45663</v>
      </c>
      <c r="G62" s="72">
        <v>45666</v>
      </c>
      <c r="H62" s="78"/>
      <c r="I62" s="75">
        <v>0.54166666666666663</v>
      </c>
      <c r="J62" s="72"/>
      <c r="K62" s="72"/>
      <c r="L62" s="72"/>
      <c r="M62" s="72"/>
      <c r="N62" s="72"/>
      <c r="O62" s="69" t="s">
        <v>224</v>
      </c>
      <c r="P62" s="69"/>
      <c r="Q62" s="73">
        <v>45</v>
      </c>
      <c r="R62" s="198">
        <v>4</v>
      </c>
      <c r="S62" s="73"/>
      <c r="T62" s="73"/>
      <c r="U62" s="14"/>
      <c r="V62" s="14"/>
      <c r="W62" s="14"/>
      <c r="X62" s="69"/>
      <c r="Y62" s="60">
        <f ca="1">Table210[[#This Row],[End Date]]+2-TODAY()</f>
        <v>-339</v>
      </c>
      <c r="Z62" s="14">
        <f>IF(ISBLANK(Table210[[#This Row],[Roster Received By]]),1,0)</f>
        <v>1</v>
      </c>
      <c r="AA62" s="14">
        <f ca="1">IF(Table210[[#This Row],[Start Date]]&gt;TODAY(),1,)</f>
        <v>0</v>
      </c>
    </row>
    <row r="63" spans="1:27" s="76" customFormat="1" ht="14.25" customHeight="1" x14ac:dyDescent="0.25">
      <c r="A63" s="52"/>
      <c r="B63" s="87" t="s">
        <v>113</v>
      </c>
      <c r="C63" s="70" t="s">
        <v>114</v>
      </c>
      <c r="D63" s="70" t="s">
        <v>115</v>
      </c>
      <c r="E63" s="69"/>
      <c r="F63" s="72">
        <v>45684</v>
      </c>
      <c r="G63" s="72">
        <v>45687</v>
      </c>
      <c r="H63" s="78"/>
      <c r="I63" s="75">
        <v>0.54166666666666663</v>
      </c>
      <c r="J63" s="72"/>
      <c r="K63" s="72"/>
      <c r="L63" s="72"/>
      <c r="M63" s="72"/>
      <c r="N63" s="72"/>
      <c r="O63" s="69" t="s">
        <v>224</v>
      </c>
      <c r="P63" s="69"/>
      <c r="Q63" s="73">
        <v>45</v>
      </c>
      <c r="R63" s="198">
        <v>4</v>
      </c>
      <c r="S63" s="73"/>
      <c r="T63" s="73"/>
      <c r="U63" s="14"/>
      <c r="V63" s="14"/>
      <c r="W63" s="14"/>
      <c r="X63" s="69"/>
      <c r="Y63" s="60">
        <f ca="1">Table210[[#This Row],[End Date]]+2-TODAY()</f>
        <v>-318</v>
      </c>
      <c r="Z63" s="14">
        <f>IF(ISBLANK(Table210[[#This Row],[Roster Received By]]),1,0)</f>
        <v>1</v>
      </c>
      <c r="AA63" s="14">
        <f ca="1">IF(Table210[[#This Row],[Start Date]]&gt;TODAY(),1,)</f>
        <v>0</v>
      </c>
    </row>
    <row r="64" spans="1:27" s="109" customFormat="1" ht="14.25" customHeight="1" x14ac:dyDescent="0.25">
      <c r="A64" s="52"/>
      <c r="B64" s="87" t="s">
        <v>113</v>
      </c>
      <c r="C64" s="70" t="s">
        <v>114</v>
      </c>
      <c r="D64" s="70" t="s">
        <v>115</v>
      </c>
      <c r="E64" s="69"/>
      <c r="F64" s="72">
        <v>45690</v>
      </c>
      <c r="G64" s="72">
        <v>45693</v>
      </c>
      <c r="H64" s="78"/>
      <c r="I64" s="78">
        <v>0.79166666666666663</v>
      </c>
      <c r="J64" s="72"/>
      <c r="K64" s="72"/>
      <c r="L64" s="72"/>
      <c r="M64" s="72"/>
      <c r="N64" s="72"/>
      <c r="O64" s="69" t="s">
        <v>224</v>
      </c>
      <c r="P64" s="69"/>
      <c r="Q64" s="73">
        <v>45</v>
      </c>
      <c r="R64" s="198">
        <v>4</v>
      </c>
      <c r="S64" s="73"/>
      <c r="T64" s="73"/>
      <c r="U64" s="14"/>
      <c r="V64" s="14"/>
      <c r="W64" s="14"/>
      <c r="X64" s="69"/>
      <c r="Y64" s="60">
        <f ca="1">Table210[[#This Row],[End Date]]+2-TODAY()</f>
        <v>-312</v>
      </c>
      <c r="Z64" s="14">
        <f>IF(ISBLANK(Table210[[#This Row],[Roster Received By]]),1,0)</f>
        <v>1</v>
      </c>
      <c r="AA64" s="14">
        <f ca="1">IF(Table210[[#This Row],[Start Date]]&gt;TODAY(),1,)</f>
        <v>0</v>
      </c>
    </row>
    <row r="65" spans="1:27" s="105" customFormat="1" ht="14.25" customHeight="1" x14ac:dyDescent="0.25">
      <c r="A65" s="52"/>
      <c r="B65" s="87" t="s">
        <v>113</v>
      </c>
      <c r="C65" s="70" t="s">
        <v>114</v>
      </c>
      <c r="D65" s="70" t="s">
        <v>115</v>
      </c>
      <c r="E65" s="69"/>
      <c r="F65" s="72">
        <v>45712</v>
      </c>
      <c r="G65" s="72">
        <v>45715</v>
      </c>
      <c r="H65" s="75"/>
      <c r="I65" s="75">
        <v>0.33333333333333331</v>
      </c>
      <c r="J65" s="72"/>
      <c r="K65" s="72"/>
      <c r="L65" s="72"/>
      <c r="M65" s="72"/>
      <c r="N65" s="72"/>
      <c r="O65" s="69" t="s">
        <v>224</v>
      </c>
      <c r="P65" s="69"/>
      <c r="Q65" s="73">
        <v>45</v>
      </c>
      <c r="R65" s="198">
        <v>4</v>
      </c>
      <c r="S65" s="73"/>
      <c r="T65" s="73"/>
      <c r="U65" s="14"/>
      <c r="V65" s="14"/>
      <c r="W65" s="14"/>
      <c r="X65" s="69"/>
      <c r="Y65" s="60">
        <f ca="1">Table210[[#This Row],[End Date]]+2-TODAY()</f>
        <v>-290</v>
      </c>
      <c r="Z65" s="14">
        <f>IF(ISBLANK(Table210[[#This Row],[Roster Received By]]),1,0)</f>
        <v>1</v>
      </c>
      <c r="AA65" s="14">
        <f ca="1">IF(Table210[[#This Row],[Start Date]]&gt;TODAY(),1,)</f>
        <v>0</v>
      </c>
    </row>
    <row r="66" spans="1:27" s="105" customFormat="1" ht="14.25" customHeight="1" x14ac:dyDescent="0.25">
      <c r="A66" s="52"/>
      <c r="B66" s="87" t="s">
        <v>113</v>
      </c>
      <c r="C66" s="70" t="s">
        <v>114</v>
      </c>
      <c r="D66" s="70" t="s">
        <v>115</v>
      </c>
      <c r="E66" s="69"/>
      <c r="F66" s="72">
        <v>45719</v>
      </c>
      <c r="G66" s="72">
        <v>45722</v>
      </c>
      <c r="H66" s="75"/>
      <c r="I66" s="75">
        <v>0.54166666666666663</v>
      </c>
      <c r="J66" s="72"/>
      <c r="K66" s="72"/>
      <c r="L66" s="72"/>
      <c r="M66" s="72"/>
      <c r="N66" s="72"/>
      <c r="O66" s="69" t="s">
        <v>224</v>
      </c>
      <c r="P66" s="69"/>
      <c r="Q66" s="73">
        <v>45</v>
      </c>
      <c r="R66" s="198">
        <v>4</v>
      </c>
      <c r="S66" s="73"/>
      <c r="T66" s="73"/>
      <c r="U66" s="14"/>
      <c r="V66" s="14"/>
      <c r="W66" s="14"/>
      <c r="X66" s="69"/>
      <c r="Y66" s="60">
        <f ca="1">Table210[[#This Row],[End Date]]+2-TODAY()</f>
        <v>-283</v>
      </c>
      <c r="Z66" s="14">
        <f>IF(ISBLANK(Table210[[#This Row],[Roster Received By]]),1,0)</f>
        <v>1</v>
      </c>
      <c r="AA66" s="14">
        <f ca="1">IF(Table210[[#This Row],[Start Date]]&gt;TODAY(),1,)</f>
        <v>0</v>
      </c>
    </row>
    <row r="67" spans="1:27" s="76" customFormat="1" ht="14.25" customHeight="1" x14ac:dyDescent="0.25">
      <c r="A67" s="52"/>
      <c r="B67" s="87" t="s">
        <v>113</v>
      </c>
      <c r="C67" s="70" t="s">
        <v>114</v>
      </c>
      <c r="D67" s="70" t="s">
        <v>115</v>
      </c>
      <c r="E67" s="69"/>
      <c r="F67" s="72">
        <v>45733</v>
      </c>
      <c r="G67" s="72">
        <v>45736</v>
      </c>
      <c r="H67" s="75"/>
      <c r="I67" s="75">
        <v>0.54166666666666663</v>
      </c>
      <c r="J67" s="72"/>
      <c r="K67" s="72"/>
      <c r="L67" s="72"/>
      <c r="M67" s="72"/>
      <c r="N67" s="72"/>
      <c r="O67" s="69" t="s">
        <v>224</v>
      </c>
      <c r="P67" s="69"/>
      <c r="Q67" s="73">
        <v>45</v>
      </c>
      <c r="R67" s="198">
        <v>4</v>
      </c>
      <c r="S67" s="73"/>
      <c r="T67" s="73"/>
      <c r="U67" s="14"/>
      <c r="V67" s="14"/>
      <c r="W67" s="14"/>
      <c r="X67" s="69"/>
      <c r="Y67" s="60">
        <f ca="1">Table210[[#This Row],[End Date]]+2-TODAY()</f>
        <v>-269</v>
      </c>
      <c r="Z67" s="14">
        <f>IF(ISBLANK(Table210[[#This Row],[Roster Received By]]),1,0)</f>
        <v>1</v>
      </c>
      <c r="AA67" s="14">
        <f ca="1">IF(Table210[[#This Row],[Start Date]]&gt;TODAY(),1,)</f>
        <v>0</v>
      </c>
    </row>
    <row r="68" spans="1:27" s="76" customFormat="1" ht="14.25" customHeight="1" x14ac:dyDescent="0.25">
      <c r="A68" s="52"/>
      <c r="B68" s="87" t="s">
        <v>113</v>
      </c>
      <c r="C68" s="70" t="s">
        <v>114</v>
      </c>
      <c r="D68" s="70" t="s">
        <v>115</v>
      </c>
      <c r="E68" s="69"/>
      <c r="F68" s="72">
        <v>45747</v>
      </c>
      <c r="G68" s="72">
        <v>45750</v>
      </c>
      <c r="H68" s="75"/>
      <c r="I68" s="75">
        <v>0.54166666666666663</v>
      </c>
      <c r="J68" s="72"/>
      <c r="K68" s="72"/>
      <c r="L68" s="72"/>
      <c r="M68" s="72"/>
      <c r="N68" s="72"/>
      <c r="O68" s="69" t="s">
        <v>224</v>
      </c>
      <c r="P68" s="69"/>
      <c r="Q68" s="73">
        <v>45</v>
      </c>
      <c r="R68" s="198">
        <v>4</v>
      </c>
      <c r="S68" s="73"/>
      <c r="T68" s="73"/>
      <c r="U68" s="14"/>
      <c r="V68" s="14"/>
      <c r="W68" s="14"/>
      <c r="X68" s="69"/>
      <c r="Y68" s="60">
        <f ca="1">Table210[[#This Row],[End Date]]+2-TODAY()</f>
        <v>-255</v>
      </c>
      <c r="Z68" s="14">
        <f>IF(ISBLANK(Table210[[#This Row],[Roster Received By]]),1,0)</f>
        <v>1</v>
      </c>
      <c r="AA68" s="14">
        <f ca="1">IF(Table210[[#This Row],[Start Date]]&gt;TODAY(),1,)</f>
        <v>0</v>
      </c>
    </row>
    <row r="69" spans="1:27" s="76" customFormat="1" ht="14.25" customHeight="1" x14ac:dyDescent="0.25">
      <c r="A69" s="52"/>
      <c r="B69" s="87" t="s">
        <v>113</v>
      </c>
      <c r="C69" s="70" t="s">
        <v>114</v>
      </c>
      <c r="D69" s="70" t="s">
        <v>115</v>
      </c>
      <c r="E69" s="69"/>
      <c r="F69" s="72">
        <v>45781</v>
      </c>
      <c r="G69" s="72">
        <v>45784</v>
      </c>
      <c r="H69" s="75"/>
      <c r="I69" s="75">
        <v>0.79166666666666663</v>
      </c>
      <c r="J69" s="72"/>
      <c r="K69" s="72"/>
      <c r="L69" s="72"/>
      <c r="M69" s="72"/>
      <c r="N69" s="72"/>
      <c r="O69" s="69" t="s">
        <v>224</v>
      </c>
      <c r="P69" s="69"/>
      <c r="Q69" s="73">
        <v>45</v>
      </c>
      <c r="R69" s="198">
        <v>4</v>
      </c>
      <c r="S69" s="73"/>
      <c r="T69" s="73"/>
      <c r="U69" s="14"/>
      <c r="V69" s="14"/>
      <c r="W69" s="14"/>
      <c r="X69" s="69"/>
      <c r="Y69" s="60">
        <f ca="1">Table210[[#This Row],[End Date]]+2-TODAY()</f>
        <v>-221</v>
      </c>
      <c r="Z69" s="14">
        <f>IF(ISBLANK(Table210[[#This Row],[Roster Received By]]),1,0)</f>
        <v>1</v>
      </c>
      <c r="AA69" s="14">
        <f ca="1">IF(Table210[[#This Row],[Start Date]]&gt;TODAY(),1,)</f>
        <v>0</v>
      </c>
    </row>
    <row r="70" spans="1:27" s="76" customFormat="1" ht="14.25" customHeight="1" x14ac:dyDescent="0.25">
      <c r="A70" s="52"/>
      <c r="B70" s="69" t="s">
        <v>113</v>
      </c>
      <c r="C70" s="70" t="s">
        <v>114</v>
      </c>
      <c r="D70" s="70" t="s">
        <v>115</v>
      </c>
      <c r="E70" s="69"/>
      <c r="F70" s="72">
        <v>45796</v>
      </c>
      <c r="G70" s="72">
        <v>45799</v>
      </c>
      <c r="H70" s="75"/>
      <c r="I70" s="75">
        <v>0.33333333333333331</v>
      </c>
      <c r="J70" s="72"/>
      <c r="K70" s="72"/>
      <c r="L70" s="72"/>
      <c r="M70" s="72"/>
      <c r="N70" s="72"/>
      <c r="O70" s="69" t="s">
        <v>224</v>
      </c>
      <c r="P70" s="69"/>
      <c r="Q70" s="73">
        <v>45</v>
      </c>
      <c r="R70" s="198">
        <v>4</v>
      </c>
      <c r="S70" s="73"/>
      <c r="T70" s="73"/>
      <c r="U70" s="14"/>
      <c r="V70" s="14"/>
      <c r="W70" s="14"/>
      <c r="X70" s="69"/>
      <c r="Y70" s="60">
        <f ca="1">Table210[[#This Row],[End Date]]+2-TODAY()</f>
        <v>-206</v>
      </c>
      <c r="Z70" s="14">
        <f>IF(ISBLANK(Table210[[#This Row],[Roster Received By]]),1,0)</f>
        <v>1</v>
      </c>
      <c r="AA70" s="14">
        <f ca="1">IF(Table210[[#This Row],[Start Date]]&gt;TODAY(),1,)</f>
        <v>0</v>
      </c>
    </row>
    <row r="71" spans="1:27" s="76" customFormat="1" ht="14.25" customHeight="1" x14ac:dyDescent="0.25">
      <c r="A71" s="52"/>
      <c r="B71" s="69" t="s">
        <v>113</v>
      </c>
      <c r="C71" s="70" t="s">
        <v>114</v>
      </c>
      <c r="D71" s="70" t="s">
        <v>115</v>
      </c>
      <c r="E71" s="69"/>
      <c r="F71" s="72">
        <v>45817</v>
      </c>
      <c r="G71" s="72">
        <v>45820</v>
      </c>
      <c r="H71" s="78"/>
      <c r="I71" s="78">
        <v>0.54166666666666663</v>
      </c>
      <c r="J71" s="72"/>
      <c r="K71" s="72"/>
      <c r="L71" s="72"/>
      <c r="M71" s="72"/>
      <c r="N71" s="72"/>
      <c r="O71" s="69" t="s">
        <v>224</v>
      </c>
      <c r="P71" s="69"/>
      <c r="Q71" s="73">
        <v>45</v>
      </c>
      <c r="R71" s="198">
        <v>4</v>
      </c>
      <c r="S71" s="73"/>
      <c r="T71" s="73"/>
      <c r="U71" s="14"/>
      <c r="V71" s="14"/>
      <c r="W71" s="14"/>
      <c r="X71" s="69"/>
      <c r="Y71" s="60">
        <f ca="1">Table210[[#This Row],[End Date]]+2-TODAY()</f>
        <v>-185</v>
      </c>
      <c r="Z71" s="14">
        <f>IF(ISBLANK(Table210[[#This Row],[Roster Received By]]),1,0)</f>
        <v>1</v>
      </c>
      <c r="AA71" s="14">
        <f ca="1">IF(Table210[[#This Row],[Start Date]]&gt;TODAY(),1,)</f>
        <v>0</v>
      </c>
    </row>
    <row r="72" spans="1:27" s="76" customFormat="1" ht="16.5" customHeight="1" x14ac:dyDescent="0.25">
      <c r="A72" s="52"/>
      <c r="B72" s="69" t="s">
        <v>113</v>
      </c>
      <c r="C72" s="70" t="s">
        <v>114</v>
      </c>
      <c r="D72" s="70" t="s">
        <v>115</v>
      </c>
      <c r="E72" s="69"/>
      <c r="F72" s="72">
        <v>45845</v>
      </c>
      <c r="G72" s="72">
        <v>45848</v>
      </c>
      <c r="H72" s="78"/>
      <c r="I72" s="78">
        <v>0.54166666666666663</v>
      </c>
      <c r="J72" s="72"/>
      <c r="K72" s="72"/>
      <c r="L72" s="72"/>
      <c r="M72" s="72"/>
      <c r="N72" s="72"/>
      <c r="O72" s="69" t="s">
        <v>224</v>
      </c>
      <c r="P72" s="69"/>
      <c r="Q72" s="73">
        <v>45</v>
      </c>
      <c r="R72" s="198">
        <v>4</v>
      </c>
      <c r="S72" s="73"/>
      <c r="T72" s="73"/>
      <c r="U72" s="14"/>
      <c r="V72" s="14"/>
      <c r="W72" s="70"/>
      <c r="X72" s="69"/>
      <c r="Y72" s="60">
        <f ca="1">Table210[[#This Row],[End Date]]+2-TODAY()</f>
        <v>-157</v>
      </c>
      <c r="Z72" s="14">
        <f>IF(ISBLANK(Table210[[#This Row],[Roster Received By]]),1,0)</f>
        <v>1</v>
      </c>
      <c r="AA72" s="14">
        <f ca="1">IF(Table210[[#This Row],[Start Date]]&gt;TODAY(),1,)</f>
        <v>0</v>
      </c>
    </row>
    <row r="73" spans="1:27" s="76" customFormat="1" ht="14.25" customHeight="1" x14ac:dyDescent="0.25">
      <c r="A73" s="52"/>
      <c r="B73" s="69" t="s">
        <v>113</v>
      </c>
      <c r="C73" s="70" t="s">
        <v>114</v>
      </c>
      <c r="D73" s="70" t="s">
        <v>115</v>
      </c>
      <c r="E73" s="69"/>
      <c r="F73" s="72">
        <v>45865</v>
      </c>
      <c r="G73" s="72">
        <v>45869</v>
      </c>
      <c r="H73" s="78"/>
      <c r="I73" s="78">
        <v>0.79166666666666663</v>
      </c>
      <c r="J73" s="72"/>
      <c r="K73" s="72"/>
      <c r="L73" s="72"/>
      <c r="M73" s="72"/>
      <c r="N73" s="72"/>
      <c r="O73" s="69" t="s">
        <v>224</v>
      </c>
      <c r="P73" s="69"/>
      <c r="Q73" s="73">
        <v>45</v>
      </c>
      <c r="R73" s="198">
        <v>4</v>
      </c>
      <c r="S73" s="73"/>
      <c r="T73" s="73"/>
      <c r="U73" s="14"/>
      <c r="V73" s="14"/>
      <c r="W73" s="70"/>
      <c r="X73" s="69"/>
      <c r="Y73" s="60">
        <f ca="1">Table210[[#This Row],[End Date]]+2-TODAY()</f>
        <v>-136</v>
      </c>
      <c r="Z73" s="14">
        <f>IF(ISBLANK(Table210[[#This Row],[Roster Received By]]),1,0)</f>
        <v>1</v>
      </c>
      <c r="AA73" s="14">
        <f ca="1">IF(Table210[[#This Row],[Start Date]]&gt;TODAY(),1,)</f>
        <v>0</v>
      </c>
    </row>
    <row r="74" spans="1:27" s="76" customFormat="1" ht="16.5" customHeight="1" x14ac:dyDescent="0.25">
      <c r="A74" s="52"/>
      <c r="B74" s="69" t="s">
        <v>113</v>
      </c>
      <c r="C74" s="70" t="s">
        <v>114</v>
      </c>
      <c r="D74" s="70" t="s">
        <v>115</v>
      </c>
      <c r="E74" s="69"/>
      <c r="F74" s="72">
        <v>45880</v>
      </c>
      <c r="G74" s="72">
        <v>45883</v>
      </c>
      <c r="H74" s="78"/>
      <c r="I74" s="78">
        <v>0.54166666666666663</v>
      </c>
      <c r="J74" s="72"/>
      <c r="K74" s="72"/>
      <c r="L74" s="72"/>
      <c r="M74" s="72"/>
      <c r="N74" s="72"/>
      <c r="O74" s="69" t="s">
        <v>224</v>
      </c>
      <c r="P74" s="69"/>
      <c r="Q74" s="73">
        <v>45</v>
      </c>
      <c r="R74" s="198">
        <v>4</v>
      </c>
      <c r="S74" s="73"/>
      <c r="T74" s="73"/>
      <c r="U74" s="14"/>
      <c r="V74" s="14"/>
      <c r="W74" s="70"/>
      <c r="X74" s="69"/>
      <c r="Y74" s="60">
        <f ca="1">Table210[[#This Row],[End Date]]+2-TODAY()</f>
        <v>-122</v>
      </c>
      <c r="Z74" s="14">
        <f>IF(ISBLANK(Table210[[#This Row],[Roster Received By]]),1,0)</f>
        <v>1</v>
      </c>
      <c r="AA74" s="14">
        <f ca="1">IF(Table210[[#This Row],[Start Date]]&gt;TODAY(),1,)</f>
        <v>0</v>
      </c>
    </row>
    <row r="75" spans="1:27" s="105" customFormat="1" ht="14.25" customHeight="1" x14ac:dyDescent="0.25">
      <c r="A75" s="52"/>
      <c r="B75" s="69" t="s">
        <v>113</v>
      </c>
      <c r="C75" s="70" t="s">
        <v>114</v>
      </c>
      <c r="D75" s="70" t="s">
        <v>115</v>
      </c>
      <c r="E75" s="54"/>
      <c r="F75" s="72">
        <v>45908</v>
      </c>
      <c r="G75" s="72">
        <v>45911</v>
      </c>
      <c r="H75" s="78"/>
      <c r="I75" s="78">
        <v>0.54166666666666663</v>
      </c>
      <c r="J75" s="72"/>
      <c r="K75" s="72"/>
      <c r="L75" s="72"/>
      <c r="M75" s="72"/>
      <c r="N75" s="72"/>
      <c r="O75" s="69" t="s">
        <v>224</v>
      </c>
      <c r="P75" s="69"/>
      <c r="Q75" s="14">
        <v>45</v>
      </c>
      <c r="R75" s="187">
        <v>4</v>
      </c>
      <c r="S75" s="14"/>
      <c r="T75" s="73"/>
      <c r="U75" s="14"/>
      <c r="V75" s="14"/>
      <c r="W75" s="14"/>
      <c r="X75" s="69"/>
      <c r="Y75" s="60">
        <f ca="1">Table210[[#This Row],[End Date]]+2-TODAY()</f>
        <v>-94</v>
      </c>
      <c r="Z75" s="14">
        <f>IF(ISBLANK(Table210[[#This Row],[Roster Received By]]),1,0)</f>
        <v>1</v>
      </c>
      <c r="AA75" s="14">
        <f ca="1">IF(Table210[[#This Row],[Start Date]]&gt;TODAY(),1,)</f>
        <v>0</v>
      </c>
    </row>
    <row r="76" spans="1:27" s="76" customFormat="1" ht="14.25" customHeight="1" x14ac:dyDescent="0.25">
      <c r="A76" s="121" t="s">
        <v>249</v>
      </c>
      <c r="B76" s="122" t="s">
        <v>250</v>
      </c>
      <c r="C76" s="124" t="s">
        <v>251</v>
      </c>
      <c r="D76" s="124" t="s">
        <v>251</v>
      </c>
      <c r="E76" s="122"/>
      <c r="F76" s="125">
        <v>45761</v>
      </c>
      <c r="G76" s="125">
        <v>45765</v>
      </c>
      <c r="H76" s="125"/>
      <c r="I76" s="126"/>
      <c r="J76" s="128"/>
      <c r="K76" s="128"/>
      <c r="L76" s="128"/>
      <c r="M76" s="128"/>
      <c r="N76" s="128"/>
      <c r="O76" s="122"/>
      <c r="P76" s="122"/>
      <c r="Q76" s="127">
        <v>0</v>
      </c>
      <c r="R76" s="127">
        <v>0</v>
      </c>
      <c r="S76" s="127"/>
      <c r="T76" s="152"/>
      <c r="U76" s="127"/>
      <c r="V76" s="127"/>
      <c r="W76" s="127"/>
      <c r="X76" s="122"/>
      <c r="Y76" s="153">
        <f ca="1">Table210[[#This Row],[End Date]]+2-TODAY()</f>
        <v>-240</v>
      </c>
      <c r="Z76" s="127">
        <f>IF(ISBLANK(Table210[[#This Row],[Roster Received By]]),1,0)</f>
        <v>1</v>
      </c>
      <c r="AA76" s="127">
        <f ca="1">IF(Table210[[#This Row],[Start Date]]&gt;TODAY(),1,)</f>
        <v>0</v>
      </c>
    </row>
    <row r="77" spans="1:27" s="76" customFormat="1" ht="14.25" customHeight="1" x14ac:dyDescent="0.25">
      <c r="A77" s="121" t="s">
        <v>252</v>
      </c>
      <c r="B77" s="122" t="s">
        <v>250</v>
      </c>
      <c r="C77" s="124" t="s">
        <v>251</v>
      </c>
      <c r="D77" s="124" t="s">
        <v>251</v>
      </c>
      <c r="E77" s="122"/>
      <c r="F77" s="125">
        <v>45768</v>
      </c>
      <c r="G77" s="125">
        <v>45773</v>
      </c>
      <c r="H77" s="125"/>
      <c r="I77" s="126"/>
      <c r="J77" s="128"/>
      <c r="K77" s="128"/>
      <c r="L77" s="128"/>
      <c r="M77" s="128"/>
      <c r="N77" s="128"/>
      <c r="O77" s="122"/>
      <c r="P77" s="122"/>
      <c r="Q77" s="127">
        <v>0</v>
      </c>
      <c r="R77" s="127">
        <v>0</v>
      </c>
      <c r="S77" s="127"/>
      <c r="T77" s="152"/>
      <c r="U77" s="127"/>
      <c r="V77" s="127"/>
      <c r="W77" s="127"/>
      <c r="X77" s="122"/>
      <c r="Y77" s="153">
        <f ca="1">Table210[[#This Row],[End Date]]+2-TODAY()</f>
        <v>-232</v>
      </c>
      <c r="Z77" s="127">
        <f>IF(ISBLANK(Table210[[#This Row],[Roster Received By]]),1,0)</f>
        <v>1</v>
      </c>
      <c r="AA77" s="127">
        <f ca="1">IF(Table210[[#This Row],[Start Date]]&gt;TODAY(),1,)</f>
        <v>0</v>
      </c>
    </row>
    <row r="78" spans="1:27" s="76" customFormat="1" ht="14.25" customHeight="1" x14ac:dyDescent="0.25">
      <c r="A78" s="70"/>
      <c r="B78" s="69" t="s">
        <v>119</v>
      </c>
      <c r="C78" s="70" t="s">
        <v>120</v>
      </c>
      <c r="D78" s="70" t="s">
        <v>121</v>
      </c>
      <c r="E78" s="69"/>
      <c r="F78" s="72">
        <v>45565</v>
      </c>
      <c r="G78" s="72">
        <v>45569</v>
      </c>
      <c r="H78" s="75"/>
      <c r="I78" s="75">
        <v>0.33333333333333331</v>
      </c>
      <c r="J78" s="72"/>
      <c r="K78" s="72"/>
      <c r="L78" s="72"/>
      <c r="M78" s="72"/>
      <c r="N78" s="72"/>
      <c r="O78" s="69" t="s">
        <v>225</v>
      </c>
      <c r="P78" s="69"/>
      <c r="Q78" s="189">
        <v>100</v>
      </c>
      <c r="R78" s="198">
        <v>5</v>
      </c>
      <c r="S78" s="189"/>
      <c r="T78" s="189"/>
      <c r="U78" s="77"/>
      <c r="V78" s="77"/>
      <c r="W78" s="77"/>
      <c r="X78" s="77"/>
      <c r="Y78" s="199">
        <f ca="1">Table210[[#This Row],[End Date]]+2-TODAY()</f>
        <v>-436</v>
      </c>
      <c r="Z78" s="70">
        <f>IF(ISBLANK(Table210[[#This Row],[Roster Received By]]),1,0)</f>
        <v>1</v>
      </c>
      <c r="AA78" s="70">
        <f ca="1">IF(Table210[[#This Row],[Start Date]]&gt;TODAY(),1,)</f>
        <v>0</v>
      </c>
    </row>
    <row r="79" spans="1:27" s="76" customFormat="1" ht="14.25" customHeight="1" x14ac:dyDescent="0.25">
      <c r="A79" s="69"/>
      <c r="B79" s="69" t="s">
        <v>119</v>
      </c>
      <c r="C79" s="70" t="s">
        <v>120</v>
      </c>
      <c r="D79" s="70" t="s">
        <v>121</v>
      </c>
      <c r="E79" s="69"/>
      <c r="F79" s="72">
        <v>45592</v>
      </c>
      <c r="G79" s="72">
        <v>45596</v>
      </c>
      <c r="H79" s="75"/>
      <c r="I79" s="75">
        <v>0.79166666666666663</v>
      </c>
      <c r="J79" s="72"/>
      <c r="K79" s="72"/>
      <c r="L79" s="72"/>
      <c r="M79" s="72"/>
      <c r="N79" s="72"/>
      <c r="O79" s="69" t="s">
        <v>225</v>
      </c>
      <c r="P79" s="69"/>
      <c r="Q79" s="73">
        <v>100</v>
      </c>
      <c r="R79" s="198">
        <v>5</v>
      </c>
      <c r="S79" s="73"/>
      <c r="T79" s="73"/>
      <c r="U79" s="14"/>
      <c r="V79" s="14"/>
      <c r="W79" s="14"/>
      <c r="X79" s="69"/>
      <c r="Y79" s="60">
        <f ca="1">Table210[[#This Row],[End Date]]+2-TODAY()</f>
        <v>-409</v>
      </c>
      <c r="Z79" s="14">
        <f>IF(ISBLANK(Table210[[#This Row],[Roster Received By]]),1,0)</f>
        <v>1</v>
      </c>
      <c r="AA79" s="14">
        <f ca="1">IF(Table210[[#This Row],[Start Date]]&gt;TODAY(),1,)</f>
        <v>0</v>
      </c>
    </row>
    <row r="80" spans="1:27" s="76" customFormat="1" ht="14.25" customHeight="1" x14ac:dyDescent="0.25">
      <c r="A80" s="52"/>
      <c r="B80" s="69" t="s">
        <v>119</v>
      </c>
      <c r="C80" s="70" t="s">
        <v>120</v>
      </c>
      <c r="D80" s="70" t="s">
        <v>121</v>
      </c>
      <c r="E80" s="69"/>
      <c r="F80" s="72">
        <v>45614</v>
      </c>
      <c r="G80" s="72">
        <v>45618</v>
      </c>
      <c r="H80" s="75"/>
      <c r="I80" s="75">
        <v>0.54166666666666663</v>
      </c>
      <c r="J80" s="72"/>
      <c r="K80" s="72"/>
      <c r="L80" s="72"/>
      <c r="M80" s="72"/>
      <c r="N80" s="72"/>
      <c r="O80" s="69" t="s">
        <v>224</v>
      </c>
      <c r="P80" s="69"/>
      <c r="Q80" s="73">
        <v>100</v>
      </c>
      <c r="R80" s="198">
        <v>5</v>
      </c>
      <c r="S80" s="73"/>
      <c r="T80" s="73"/>
      <c r="U80" s="14"/>
      <c r="V80" s="14"/>
      <c r="W80" s="70"/>
      <c r="X80" s="69"/>
      <c r="Y80" s="60">
        <f ca="1">Table210[[#This Row],[End Date]]+2-TODAY()</f>
        <v>-387</v>
      </c>
      <c r="Z80" s="14">
        <f>IF(ISBLANK(Table210[[#This Row],[Roster Received By]]),1,0)</f>
        <v>1</v>
      </c>
      <c r="AA80" s="14">
        <f ca="1">IF(Table210[[#This Row],[Start Date]]&gt;TODAY(),1,)</f>
        <v>0</v>
      </c>
    </row>
    <row r="81" spans="1:27" s="76" customFormat="1" ht="14.25" customHeight="1" x14ac:dyDescent="0.25">
      <c r="A81" s="52"/>
      <c r="B81" s="69" t="s">
        <v>119</v>
      </c>
      <c r="C81" s="70" t="s">
        <v>120</v>
      </c>
      <c r="D81" s="70" t="s">
        <v>121</v>
      </c>
      <c r="E81" s="69"/>
      <c r="F81" s="72">
        <v>45635</v>
      </c>
      <c r="G81" s="72">
        <v>45639</v>
      </c>
      <c r="H81" s="78"/>
      <c r="I81" s="75">
        <v>0.54166666666666663</v>
      </c>
      <c r="J81" s="72"/>
      <c r="K81" s="72"/>
      <c r="L81" s="72"/>
      <c r="M81" s="72"/>
      <c r="N81" s="72"/>
      <c r="O81" s="69" t="s">
        <v>225</v>
      </c>
      <c r="P81" s="69"/>
      <c r="Q81" s="73">
        <v>100</v>
      </c>
      <c r="R81" s="198">
        <v>5</v>
      </c>
      <c r="S81" s="73"/>
      <c r="T81" s="73"/>
      <c r="U81" s="14"/>
      <c r="V81" s="14"/>
      <c r="W81" s="14"/>
      <c r="X81" s="69"/>
      <c r="Y81" s="60">
        <f ca="1">Table210[[#This Row],[End Date]]+2-TODAY()</f>
        <v>-366</v>
      </c>
      <c r="Z81" s="14">
        <f>IF(ISBLANK(Table210[[#This Row],[Roster Received By]]),1,0)</f>
        <v>1</v>
      </c>
      <c r="AA81" s="14">
        <f ca="1">IF(Table210[[#This Row],[Start Date]]&gt;TODAY(),1,)</f>
        <v>0</v>
      </c>
    </row>
    <row r="82" spans="1:27" s="76" customFormat="1" ht="14.25" customHeight="1" x14ac:dyDescent="0.25">
      <c r="A82" s="52"/>
      <c r="B82" s="69" t="s">
        <v>119</v>
      </c>
      <c r="C82" s="70" t="s">
        <v>120</v>
      </c>
      <c r="D82" s="70" t="s">
        <v>121</v>
      </c>
      <c r="E82" s="69"/>
      <c r="F82" s="72">
        <v>45662</v>
      </c>
      <c r="G82" s="72">
        <v>45666</v>
      </c>
      <c r="H82" s="78"/>
      <c r="I82" s="75">
        <v>0.79166666666666663</v>
      </c>
      <c r="J82" s="72"/>
      <c r="K82" s="72"/>
      <c r="L82" s="72"/>
      <c r="M82" s="72"/>
      <c r="N82" s="72"/>
      <c r="O82" s="69" t="s">
        <v>164</v>
      </c>
      <c r="P82" s="69"/>
      <c r="Q82" s="73">
        <v>100</v>
      </c>
      <c r="R82" s="198">
        <v>5</v>
      </c>
      <c r="S82" s="73"/>
      <c r="T82" s="73"/>
      <c r="U82" s="14"/>
      <c r="V82" s="14"/>
      <c r="W82" s="14"/>
      <c r="X82" s="69"/>
      <c r="Y82" s="60">
        <f ca="1">Table210[[#This Row],[End Date]]+2-TODAY()</f>
        <v>-339</v>
      </c>
      <c r="Z82" s="14">
        <f>IF(ISBLANK(Table210[[#This Row],[Roster Received By]]),1,0)</f>
        <v>1</v>
      </c>
      <c r="AA82" s="14">
        <f ca="1">IF(Table210[[#This Row],[Start Date]]&gt;TODAY(),1,)</f>
        <v>0</v>
      </c>
    </row>
    <row r="83" spans="1:27" s="76" customFormat="1" ht="14.25" customHeight="1" x14ac:dyDescent="0.25">
      <c r="A83" s="52"/>
      <c r="B83" s="69" t="s">
        <v>119</v>
      </c>
      <c r="C83" s="70" t="s">
        <v>120</v>
      </c>
      <c r="D83" s="70" t="s">
        <v>121</v>
      </c>
      <c r="E83" s="69"/>
      <c r="F83" s="72">
        <v>45684</v>
      </c>
      <c r="G83" s="72">
        <v>45688</v>
      </c>
      <c r="H83" s="78"/>
      <c r="I83" s="75">
        <v>0.33333333333333331</v>
      </c>
      <c r="J83" s="72"/>
      <c r="K83" s="72"/>
      <c r="L83" s="72"/>
      <c r="M83" s="72"/>
      <c r="N83" s="72"/>
      <c r="O83" s="69" t="s">
        <v>164</v>
      </c>
      <c r="P83" s="69"/>
      <c r="Q83" s="73">
        <v>100</v>
      </c>
      <c r="R83" s="198">
        <v>5</v>
      </c>
      <c r="S83" s="73"/>
      <c r="T83" s="73"/>
      <c r="U83" s="14"/>
      <c r="V83" s="14"/>
      <c r="W83" s="14"/>
      <c r="X83" s="69"/>
      <c r="Y83" s="60">
        <f ca="1">Table210[[#This Row],[End Date]]+2-TODAY()</f>
        <v>-317</v>
      </c>
      <c r="Z83" s="14">
        <f>IF(ISBLANK(Table210[[#This Row],[Roster Received By]]),1,0)</f>
        <v>1</v>
      </c>
      <c r="AA83" s="14">
        <f ca="1">IF(Table210[[#This Row],[Start Date]]&gt;TODAY(),1,)</f>
        <v>0</v>
      </c>
    </row>
    <row r="84" spans="1:27" s="76" customFormat="1" ht="14.25" customHeight="1" x14ac:dyDescent="0.25">
      <c r="A84" s="52"/>
      <c r="B84" s="69" t="s">
        <v>119</v>
      </c>
      <c r="C84" s="70" t="s">
        <v>120</v>
      </c>
      <c r="D84" s="70" t="s">
        <v>121</v>
      </c>
      <c r="E84" s="69"/>
      <c r="F84" s="72">
        <v>45698</v>
      </c>
      <c r="G84" s="72">
        <v>45702</v>
      </c>
      <c r="H84" s="78"/>
      <c r="I84" s="78">
        <v>0.54166666666666663</v>
      </c>
      <c r="J84" s="72"/>
      <c r="K84" s="72"/>
      <c r="L84" s="72"/>
      <c r="M84" s="72"/>
      <c r="N84" s="72"/>
      <c r="O84" s="69" t="s">
        <v>164</v>
      </c>
      <c r="P84" s="69"/>
      <c r="Q84" s="73">
        <v>100</v>
      </c>
      <c r="R84" s="198">
        <v>5</v>
      </c>
      <c r="S84" s="73"/>
      <c r="T84" s="73"/>
      <c r="U84" s="14"/>
      <c r="V84" s="14"/>
      <c r="W84" s="14"/>
      <c r="X84" s="69"/>
      <c r="Y84" s="60">
        <f ca="1">Table210[[#This Row],[End Date]]+2-TODAY()</f>
        <v>-303</v>
      </c>
      <c r="Z84" s="14">
        <f>IF(ISBLANK(Table210[[#This Row],[Roster Received By]]),1,0)</f>
        <v>1</v>
      </c>
      <c r="AA84" s="14">
        <f ca="1">IF(Table210[[#This Row],[Start Date]]&gt;TODAY(),1,)</f>
        <v>0</v>
      </c>
    </row>
    <row r="85" spans="1:27" s="76" customFormat="1" ht="14.25" customHeight="1" x14ac:dyDescent="0.25">
      <c r="A85" s="52"/>
      <c r="B85" s="69" t="s">
        <v>119</v>
      </c>
      <c r="C85" s="70" t="s">
        <v>120</v>
      </c>
      <c r="D85" s="70" t="s">
        <v>121</v>
      </c>
      <c r="E85" s="69"/>
      <c r="F85" s="72">
        <v>45719</v>
      </c>
      <c r="G85" s="72">
        <v>45723</v>
      </c>
      <c r="H85" s="75"/>
      <c r="I85" s="75">
        <v>0.54166666666666663</v>
      </c>
      <c r="J85" s="72"/>
      <c r="K85" s="72"/>
      <c r="L85" s="72"/>
      <c r="M85" s="72"/>
      <c r="N85" s="72"/>
      <c r="O85" s="69" t="s">
        <v>164</v>
      </c>
      <c r="P85" s="69"/>
      <c r="Q85" s="73">
        <v>100</v>
      </c>
      <c r="R85" s="198">
        <v>5</v>
      </c>
      <c r="S85" s="73"/>
      <c r="T85" s="73"/>
      <c r="U85" s="14"/>
      <c r="V85" s="14"/>
      <c r="W85" s="14"/>
      <c r="X85" s="69"/>
      <c r="Y85" s="60">
        <f ca="1">Table210[[#This Row],[End Date]]+2-TODAY()</f>
        <v>-282</v>
      </c>
      <c r="Z85" s="14">
        <f>IF(ISBLANK(Table210[[#This Row],[Roster Received By]]),1,0)</f>
        <v>1</v>
      </c>
      <c r="AA85" s="14">
        <f ca="1">IF(Table210[[#This Row],[Start Date]]&gt;TODAY(),1,)</f>
        <v>0</v>
      </c>
    </row>
    <row r="86" spans="1:27" s="76" customFormat="1" ht="14.25" customHeight="1" x14ac:dyDescent="0.25">
      <c r="A86" s="52"/>
      <c r="B86" s="69" t="s">
        <v>119</v>
      </c>
      <c r="C86" s="70" t="s">
        <v>120</v>
      </c>
      <c r="D86" s="70" t="s">
        <v>121</v>
      </c>
      <c r="E86" s="69"/>
      <c r="F86" s="72">
        <v>45733</v>
      </c>
      <c r="G86" s="72">
        <v>45737</v>
      </c>
      <c r="H86" s="75"/>
      <c r="I86" s="75">
        <v>0.54166666666666663</v>
      </c>
      <c r="J86" s="72"/>
      <c r="K86" s="72"/>
      <c r="L86" s="72"/>
      <c r="M86" s="72"/>
      <c r="N86" s="72"/>
      <c r="O86" s="69" t="s">
        <v>164</v>
      </c>
      <c r="P86" s="69"/>
      <c r="Q86" s="73">
        <v>100</v>
      </c>
      <c r="R86" s="198">
        <v>5</v>
      </c>
      <c r="S86" s="73"/>
      <c r="T86" s="73"/>
      <c r="U86" s="14"/>
      <c r="V86" s="14"/>
      <c r="W86" s="14"/>
      <c r="X86" s="69"/>
      <c r="Y86" s="60">
        <f ca="1">Table210[[#This Row],[End Date]]+2-TODAY()</f>
        <v>-268</v>
      </c>
      <c r="Z86" s="14">
        <f>IF(ISBLANK(Table210[[#This Row],[Roster Received By]]),1,0)</f>
        <v>1</v>
      </c>
      <c r="AA86" s="14">
        <f ca="1">IF(Table210[[#This Row],[Start Date]]&gt;TODAY(),1,)</f>
        <v>0</v>
      </c>
    </row>
    <row r="87" spans="1:27" s="76" customFormat="1" ht="14.25" customHeight="1" x14ac:dyDescent="0.25">
      <c r="A87" s="52"/>
      <c r="B87" s="69" t="s">
        <v>119</v>
      </c>
      <c r="C87" s="70" t="s">
        <v>120</v>
      </c>
      <c r="D87" s="70" t="s">
        <v>121</v>
      </c>
      <c r="E87" s="69"/>
      <c r="F87" s="72">
        <v>45754</v>
      </c>
      <c r="G87" s="72">
        <v>45758</v>
      </c>
      <c r="H87" s="75"/>
      <c r="I87" s="75">
        <v>0.33333333333333331</v>
      </c>
      <c r="J87" s="72"/>
      <c r="K87" s="72"/>
      <c r="L87" s="72"/>
      <c r="M87" s="72"/>
      <c r="N87" s="72"/>
      <c r="O87" s="69" t="s">
        <v>164</v>
      </c>
      <c r="P87" s="69"/>
      <c r="Q87" s="73">
        <v>100</v>
      </c>
      <c r="R87" s="198">
        <v>5</v>
      </c>
      <c r="S87" s="73"/>
      <c r="T87" s="73"/>
      <c r="U87" s="14"/>
      <c r="V87" s="14"/>
      <c r="W87" s="14"/>
      <c r="X87" s="69"/>
      <c r="Y87" s="60">
        <f ca="1">Table210[[#This Row],[End Date]]+2-TODAY()</f>
        <v>-247</v>
      </c>
      <c r="Z87" s="14">
        <f>IF(ISBLANK(Table210[[#This Row],[Roster Received By]]),1,0)</f>
        <v>1</v>
      </c>
      <c r="AA87" s="14">
        <f ca="1">IF(Table210[[#This Row],[Start Date]]&gt;TODAY(),1,)</f>
        <v>0</v>
      </c>
    </row>
    <row r="88" spans="1:27" s="76" customFormat="1" ht="14.25" customHeight="1" x14ac:dyDescent="0.25">
      <c r="A88" s="52"/>
      <c r="B88" s="69" t="s">
        <v>119</v>
      </c>
      <c r="C88" s="70" t="s">
        <v>120</v>
      </c>
      <c r="D88" s="70" t="s">
        <v>121</v>
      </c>
      <c r="E88" s="69"/>
      <c r="F88" s="72">
        <v>45782</v>
      </c>
      <c r="G88" s="72">
        <v>45786</v>
      </c>
      <c r="H88" s="75"/>
      <c r="I88" s="75">
        <v>0.54166666666666663</v>
      </c>
      <c r="J88" s="72"/>
      <c r="K88" s="72"/>
      <c r="L88" s="72"/>
      <c r="M88" s="72"/>
      <c r="N88" s="72"/>
      <c r="O88" s="69" t="s">
        <v>164</v>
      </c>
      <c r="P88" s="69"/>
      <c r="Q88" s="73">
        <v>100</v>
      </c>
      <c r="R88" s="198">
        <v>5</v>
      </c>
      <c r="S88" s="73"/>
      <c r="T88" s="73"/>
      <c r="U88" s="14"/>
      <c r="V88" s="14"/>
      <c r="W88" s="14"/>
      <c r="X88" s="69"/>
      <c r="Y88" s="60">
        <f ca="1">Table210[[#This Row],[End Date]]+2-TODAY()</f>
        <v>-219</v>
      </c>
      <c r="Z88" s="14">
        <f>IF(ISBLANK(Table210[[#This Row],[Roster Received By]]),1,0)</f>
        <v>1</v>
      </c>
      <c r="AA88" s="14">
        <f ca="1">IF(Table210[[#This Row],[Start Date]]&gt;TODAY(),1,)</f>
        <v>0</v>
      </c>
    </row>
    <row r="89" spans="1:27" s="76" customFormat="1" ht="16.5" customHeight="1" x14ac:dyDescent="0.25">
      <c r="A89" s="52"/>
      <c r="B89" s="69" t="s">
        <v>119</v>
      </c>
      <c r="C89" s="70" t="s">
        <v>120</v>
      </c>
      <c r="D89" s="70" t="s">
        <v>121</v>
      </c>
      <c r="E89" s="69"/>
      <c r="F89" s="72">
        <v>45817</v>
      </c>
      <c r="G89" s="72">
        <v>45821</v>
      </c>
      <c r="H89" s="78"/>
      <c r="I89" s="78">
        <v>0.54166666666666663</v>
      </c>
      <c r="J89" s="72"/>
      <c r="K89" s="72"/>
      <c r="L89" s="72"/>
      <c r="M89" s="72"/>
      <c r="N89" s="72"/>
      <c r="O89" s="69" t="s">
        <v>164</v>
      </c>
      <c r="P89" s="69"/>
      <c r="Q89" s="73">
        <v>100</v>
      </c>
      <c r="R89" s="198">
        <v>5</v>
      </c>
      <c r="S89" s="73"/>
      <c r="T89" s="73"/>
      <c r="U89" s="14"/>
      <c r="V89" s="14"/>
      <c r="W89" s="14"/>
      <c r="X89" s="69"/>
      <c r="Y89" s="60">
        <f ca="1">Table210[[#This Row],[End Date]]+2-TODAY()</f>
        <v>-184</v>
      </c>
      <c r="Z89" s="14">
        <f>IF(ISBLANK(Table210[[#This Row],[Roster Received By]]),1,0)</f>
        <v>1</v>
      </c>
      <c r="AA89" s="14">
        <f ca="1">IF(Table210[[#This Row],[Start Date]]&gt;TODAY(),1,)</f>
        <v>0</v>
      </c>
    </row>
    <row r="90" spans="1:27" s="76" customFormat="1" ht="16.5" customHeight="1" x14ac:dyDescent="0.25">
      <c r="A90" s="52"/>
      <c r="B90" s="69" t="s">
        <v>119</v>
      </c>
      <c r="C90" s="70" t="s">
        <v>120</v>
      </c>
      <c r="D90" s="70" t="s">
        <v>121</v>
      </c>
      <c r="E90" s="69"/>
      <c r="F90" s="72">
        <v>45851</v>
      </c>
      <c r="G90" s="72">
        <v>45855</v>
      </c>
      <c r="H90" s="78"/>
      <c r="I90" s="78">
        <v>0.79166666666666663</v>
      </c>
      <c r="J90" s="72"/>
      <c r="K90" s="72"/>
      <c r="L90" s="72"/>
      <c r="M90" s="72"/>
      <c r="N90" s="72"/>
      <c r="O90" s="69" t="s">
        <v>164</v>
      </c>
      <c r="P90" s="69"/>
      <c r="Q90" s="73">
        <v>100</v>
      </c>
      <c r="R90" s="198">
        <v>5</v>
      </c>
      <c r="S90" s="73"/>
      <c r="T90" s="73"/>
      <c r="U90" s="14"/>
      <c r="V90" s="14"/>
      <c r="W90" s="70"/>
      <c r="X90" s="69"/>
      <c r="Y90" s="60">
        <f ca="1">Table210[[#This Row],[End Date]]+2-TODAY()</f>
        <v>-150</v>
      </c>
      <c r="Z90" s="14">
        <f>IF(ISBLANK(Table210[[#This Row],[Roster Received By]]),1,0)</f>
        <v>1</v>
      </c>
      <c r="AA90" s="14">
        <f ca="1">IF(Table210[[#This Row],[Start Date]]&gt;TODAY(),1,)</f>
        <v>0</v>
      </c>
    </row>
    <row r="91" spans="1:27" s="76" customFormat="1" ht="14.25" customHeight="1" x14ac:dyDescent="0.25">
      <c r="A91" s="52"/>
      <c r="B91" s="69" t="s">
        <v>119</v>
      </c>
      <c r="C91" s="70" t="s">
        <v>120</v>
      </c>
      <c r="D91" s="70" t="s">
        <v>121</v>
      </c>
      <c r="E91" s="69"/>
      <c r="F91" s="72">
        <v>45873</v>
      </c>
      <c r="G91" s="72">
        <v>45877</v>
      </c>
      <c r="H91" s="78"/>
      <c r="I91" s="78">
        <v>0.33333333333333331</v>
      </c>
      <c r="J91" s="72"/>
      <c r="K91" s="72"/>
      <c r="L91" s="72"/>
      <c r="M91" s="72"/>
      <c r="N91" s="72"/>
      <c r="O91" s="69" t="s">
        <v>164</v>
      </c>
      <c r="P91" s="69"/>
      <c r="Q91" s="73">
        <v>100</v>
      </c>
      <c r="R91" s="198">
        <v>5</v>
      </c>
      <c r="S91" s="73"/>
      <c r="T91" s="73"/>
      <c r="U91" s="14"/>
      <c r="V91" s="14"/>
      <c r="W91" s="70"/>
      <c r="X91" s="69"/>
      <c r="Y91" s="60">
        <f ca="1">Table210[[#This Row],[End Date]]+2-TODAY()</f>
        <v>-128</v>
      </c>
      <c r="Z91" s="14">
        <f>IF(ISBLANK(Table210[[#This Row],[Roster Received By]]),1,0)</f>
        <v>1</v>
      </c>
      <c r="AA91" s="14">
        <f ca="1">IF(Table210[[#This Row],[Start Date]]&gt;TODAY(),1,)</f>
        <v>0</v>
      </c>
    </row>
    <row r="92" spans="1:27" s="76" customFormat="1" ht="14.25" customHeight="1" x14ac:dyDescent="0.25">
      <c r="A92" s="52"/>
      <c r="B92" s="69" t="s">
        <v>119</v>
      </c>
      <c r="C92" s="70" t="s">
        <v>120</v>
      </c>
      <c r="D92" s="70" t="s">
        <v>121</v>
      </c>
      <c r="E92" s="69"/>
      <c r="F92" s="72">
        <v>45887</v>
      </c>
      <c r="G92" s="72">
        <v>45891</v>
      </c>
      <c r="H92" s="75"/>
      <c r="I92" s="75">
        <v>0.54166666666666663</v>
      </c>
      <c r="J92" s="72"/>
      <c r="K92" s="72"/>
      <c r="L92" s="72"/>
      <c r="M92" s="72"/>
      <c r="N92" s="72"/>
      <c r="O92" s="69" t="s">
        <v>164</v>
      </c>
      <c r="P92" s="69"/>
      <c r="Q92" s="73">
        <v>100</v>
      </c>
      <c r="R92" s="198">
        <v>5</v>
      </c>
      <c r="S92" s="73"/>
      <c r="T92" s="73"/>
      <c r="U92" s="14"/>
      <c r="V92" s="14"/>
      <c r="W92" s="14"/>
      <c r="X92" s="69"/>
      <c r="Y92" s="60">
        <f ca="1">Table210[[#This Row],[End Date]]+2-TODAY()</f>
        <v>-114</v>
      </c>
      <c r="Z92" s="14">
        <f>IF(ISBLANK(Table210[[#This Row],[Roster Received By]]),1,0)</f>
        <v>1</v>
      </c>
      <c r="AA92" s="14">
        <f ca="1">IF(Table210[[#This Row],[Start Date]]&gt;TODAY(),1,)</f>
        <v>0</v>
      </c>
    </row>
    <row r="93" spans="1:27" s="76" customFormat="1" ht="14.25" customHeight="1" x14ac:dyDescent="0.25">
      <c r="A93" s="52"/>
      <c r="B93" s="69" t="s">
        <v>119</v>
      </c>
      <c r="C93" s="70" t="s">
        <v>120</v>
      </c>
      <c r="D93" s="70" t="s">
        <v>121</v>
      </c>
      <c r="E93" s="54"/>
      <c r="F93" s="72">
        <v>45915</v>
      </c>
      <c r="G93" s="72">
        <v>45919</v>
      </c>
      <c r="H93" s="75"/>
      <c r="I93" s="75">
        <v>0.54166666666666663</v>
      </c>
      <c r="J93" s="72"/>
      <c r="K93" s="72"/>
      <c r="L93" s="72"/>
      <c r="M93" s="72"/>
      <c r="N93" s="72"/>
      <c r="O93" s="69" t="s">
        <v>164</v>
      </c>
      <c r="P93" s="69"/>
      <c r="Q93" s="14">
        <v>100</v>
      </c>
      <c r="R93" s="187">
        <v>5</v>
      </c>
      <c r="S93" s="14"/>
      <c r="T93" s="73"/>
      <c r="U93" s="14"/>
      <c r="V93" s="14"/>
      <c r="W93" s="14"/>
      <c r="X93" s="69"/>
      <c r="Y93" s="60">
        <f ca="1">Table210[[#This Row],[End Date]]+2-TODAY()</f>
        <v>-86</v>
      </c>
      <c r="Z93" s="14">
        <f>IF(ISBLANK(Table210[[#This Row],[Roster Received By]]),1,0)</f>
        <v>1</v>
      </c>
      <c r="AA93" s="14">
        <f ca="1">IF(Table210[[#This Row],[Start Date]]&gt;TODAY(),1,)</f>
        <v>0</v>
      </c>
    </row>
    <row r="94" spans="1:27" s="76" customFormat="1" ht="14.25" customHeight="1" x14ac:dyDescent="0.25">
      <c r="A94" s="52"/>
      <c r="B94" s="69" t="s">
        <v>122</v>
      </c>
      <c r="C94" s="70" t="s">
        <v>123</v>
      </c>
      <c r="D94" s="70" t="s">
        <v>124</v>
      </c>
      <c r="E94" s="69"/>
      <c r="F94" s="72">
        <v>45614</v>
      </c>
      <c r="G94" s="72">
        <v>45618</v>
      </c>
      <c r="H94" s="75"/>
      <c r="I94" s="75">
        <v>0.54166666666666663</v>
      </c>
      <c r="J94" s="72"/>
      <c r="K94" s="72"/>
      <c r="L94" s="72"/>
      <c r="M94" s="72"/>
      <c r="N94" s="72"/>
      <c r="O94" s="69" t="s">
        <v>253</v>
      </c>
      <c r="P94" s="69"/>
      <c r="Q94" s="73">
        <v>25</v>
      </c>
      <c r="R94" s="198">
        <v>2</v>
      </c>
      <c r="S94" s="73"/>
      <c r="T94" s="73"/>
      <c r="U94" s="14"/>
      <c r="V94" s="14"/>
      <c r="W94" s="70"/>
      <c r="X94" s="69"/>
      <c r="Y94" s="60">
        <f ca="1">Table210[[#This Row],[End Date]]+2-TODAY()</f>
        <v>-387</v>
      </c>
      <c r="Z94" s="14">
        <f>IF(ISBLANK(Table210[[#This Row],[Roster Received By]]),1,0)</f>
        <v>1</v>
      </c>
      <c r="AA94" s="14">
        <f ca="1">IF(Table210[[#This Row],[Start Date]]&gt;TODAY(),1,)</f>
        <v>0</v>
      </c>
    </row>
    <row r="95" spans="1:27" s="109" customFormat="1" ht="14.25" customHeight="1" x14ac:dyDescent="0.25">
      <c r="A95" s="52"/>
      <c r="B95" s="69" t="s">
        <v>122</v>
      </c>
      <c r="C95" s="70" t="s">
        <v>123</v>
      </c>
      <c r="D95" s="70" t="s">
        <v>124</v>
      </c>
      <c r="E95" s="69"/>
      <c r="F95" s="72">
        <v>45691</v>
      </c>
      <c r="G95" s="72">
        <v>45695</v>
      </c>
      <c r="H95" s="78"/>
      <c r="I95" s="78">
        <v>0.54166666666666663</v>
      </c>
      <c r="J95" s="72"/>
      <c r="K95" s="72"/>
      <c r="L95" s="72"/>
      <c r="M95" s="72"/>
      <c r="N95" s="72"/>
      <c r="O95" s="69" t="s">
        <v>253</v>
      </c>
      <c r="P95" s="69"/>
      <c r="Q95" s="73">
        <v>25</v>
      </c>
      <c r="R95" s="198">
        <v>2</v>
      </c>
      <c r="S95" s="73"/>
      <c r="T95" s="73"/>
      <c r="U95" s="14"/>
      <c r="V95" s="14"/>
      <c r="W95" s="14"/>
      <c r="X95" s="69"/>
      <c r="Y95" s="60">
        <f ca="1">Table210[[#This Row],[End Date]]+2-TODAY()</f>
        <v>-310</v>
      </c>
      <c r="Z95" s="14">
        <f>IF(ISBLANK(Table210[[#This Row],[Roster Received By]]),1,0)</f>
        <v>1</v>
      </c>
      <c r="AA95" s="14">
        <f ca="1">IF(Table210[[#This Row],[Start Date]]&gt;TODAY(),1,)</f>
        <v>0</v>
      </c>
    </row>
    <row r="96" spans="1:27" s="76" customFormat="1" ht="14.25" customHeight="1" x14ac:dyDescent="0.25">
      <c r="A96" s="52"/>
      <c r="B96" s="69" t="s">
        <v>122</v>
      </c>
      <c r="C96" s="70" t="s">
        <v>123</v>
      </c>
      <c r="D96" s="70" t="s">
        <v>124</v>
      </c>
      <c r="E96" s="69"/>
      <c r="F96" s="72">
        <v>45789</v>
      </c>
      <c r="G96" s="72">
        <v>45793</v>
      </c>
      <c r="H96" s="75"/>
      <c r="I96" s="75">
        <v>0.54166666666666663</v>
      </c>
      <c r="J96" s="72"/>
      <c r="K96" s="72"/>
      <c r="L96" s="72"/>
      <c r="M96" s="72"/>
      <c r="N96" s="72"/>
      <c r="O96" s="69" t="s">
        <v>253</v>
      </c>
      <c r="P96" s="69"/>
      <c r="Q96" s="73">
        <v>25</v>
      </c>
      <c r="R96" s="198">
        <v>2</v>
      </c>
      <c r="S96" s="73"/>
      <c r="T96" s="73"/>
      <c r="U96" s="14"/>
      <c r="V96" s="14"/>
      <c r="W96" s="14"/>
      <c r="X96" s="69"/>
      <c r="Y96" s="60">
        <f ca="1">Table210[[#This Row],[End Date]]+2-TODAY()</f>
        <v>-212</v>
      </c>
      <c r="Z96" s="14">
        <f>IF(ISBLANK(Table210[[#This Row],[Roster Received By]]),1,0)</f>
        <v>1</v>
      </c>
      <c r="AA96" s="14">
        <f ca="1">IF(Table210[[#This Row],[Start Date]]&gt;TODAY(),1,)</f>
        <v>0</v>
      </c>
    </row>
    <row r="97" spans="1:27" s="76" customFormat="1" ht="14.25" customHeight="1" x14ac:dyDescent="0.25">
      <c r="A97" s="52"/>
      <c r="B97" s="69" t="s">
        <v>122</v>
      </c>
      <c r="C97" s="70" t="s">
        <v>123</v>
      </c>
      <c r="D97" s="70" t="s">
        <v>124</v>
      </c>
      <c r="E97" s="69"/>
      <c r="F97" s="72">
        <v>45880</v>
      </c>
      <c r="G97" s="72">
        <v>45884</v>
      </c>
      <c r="H97" s="78"/>
      <c r="I97" s="78">
        <v>0.54166666666666663</v>
      </c>
      <c r="J97" s="72"/>
      <c r="K97" s="72"/>
      <c r="L97" s="72"/>
      <c r="M97" s="72"/>
      <c r="N97" s="72"/>
      <c r="O97" s="69" t="s">
        <v>253</v>
      </c>
      <c r="P97" s="69"/>
      <c r="Q97" s="73">
        <v>25</v>
      </c>
      <c r="R97" s="198">
        <v>2</v>
      </c>
      <c r="S97" s="73"/>
      <c r="T97" s="73"/>
      <c r="U97" s="14"/>
      <c r="V97" s="14"/>
      <c r="W97" s="70"/>
      <c r="X97" s="69"/>
      <c r="Y97" s="60">
        <f ca="1">Table210[[#This Row],[End Date]]+2-TODAY()</f>
        <v>-121</v>
      </c>
      <c r="Z97" s="14">
        <f>IF(ISBLANK(Table210[[#This Row],[Roster Received By]]),1,0)</f>
        <v>1</v>
      </c>
      <c r="AA97" s="14">
        <f ca="1">IF(Table210[[#This Row],[Start Date]]&gt;TODAY(),1,)</f>
        <v>0</v>
      </c>
    </row>
    <row r="98" spans="1:27" s="76" customFormat="1" ht="14.25" customHeight="1" x14ac:dyDescent="0.25">
      <c r="A98" s="139" t="s">
        <v>128</v>
      </c>
      <c r="B98" s="139">
        <f>SUBTOTAL(103,Table210[Course Title])</f>
        <v>94</v>
      </c>
      <c r="C98" s="139"/>
      <c r="D98" s="139"/>
      <c r="E98" s="139"/>
      <c r="F98" s="140"/>
      <c r="G98" s="140"/>
      <c r="H98" s="139"/>
      <c r="I98" s="139"/>
      <c r="J98" s="139"/>
      <c r="K98" s="139"/>
      <c r="L98" s="139"/>
      <c r="M98" s="139"/>
      <c r="N98" s="139"/>
      <c r="O98" s="139"/>
      <c r="P98" s="139"/>
      <c r="Q98" s="141">
        <f>SUBTOTAL(109,Q4:Q97)</f>
        <v>4130</v>
      </c>
      <c r="R98" s="141">
        <f>SUBTOTAL(109,Table210[Course Length (Days)])</f>
        <v>340</v>
      </c>
      <c r="S98" s="141">
        <f>SUBTOTAL(109,S4:S97)</f>
        <v>0</v>
      </c>
      <c r="T98" s="141">
        <f>SUBTOTAL(109,T4:T97)</f>
        <v>0</v>
      </c>
      <c r="U98" s="141">
        <f>SUBTOTAL(109,U4:U97)</f>
        <v>0</v>
      </c>
      <c r="V98" s="141">
        <f>SUBTOTAL(109,V4:V97)</f>
        <v>0</v>
      </c>
      <c r="W98" s="141">
        <f>SUBTOTAL(109,W4:W97)</f>
        <v>0</v>
      </c>
      <c r="X98" s="139">
        <f>SUBTOTAL(103,Table210[Roster Received By])</f>
        <v>0</v>
      </c>
      <c r="Y98" s="142"/>
      <c r="Z98" s="139"/>
      <c r="AA98" s="139"/>
    </row>
    <row r="99" spans="1:27" s="76" customFormat="1" ht="14.25" customHeight="1" x14ac:dyDescent="0.25">
      <c r="A99" s="8"/>
      <c r="B99" s="9"/>
      <c r="C99" s="2"/>
      <c r="D99" s="11"/>
      <c r="E99" s="9"/>
      <c r="F99" s="10"/>
      <c r="G99" s="10"/>
      <c r="H99" s="33"/>
      <c r="I99" s="33"/>
      <c r="J99" s="33"/>
      <c r="K99" s="33"/>
      <c r="L99" s="33"/>
      <c r="M99" s="33"/>
      <c r="N99" s="33"/>
      <c r="O99" s="9"/>
      <c r="P99" s="9"/>
      <c r="Q99" s="8"/>
      <c r="R99" s="8"/>
      <c r="S99" s="12"/>
      <c r="T99" s="32"/>
      <c r="U99" s="32"/>
      <c r="V99" s="32"/>
      <c r="W99" s="32"/>
      <c r="X99" s="8"/>
      <c r="Y99" s="32"/>
      <c r="Z99" s="8"/>
      <c r="AA99" s="8"/>
    </row>
    <row r="100" spans="1:27" s="105" customFormat="1" ht="14.25" customHeight="1" x14ac:dyDescent="0.25">
      <c r="A100" s="8"/>
      <c r="B100" s="9"/>
      <c r="C100" s="2"/>
      <c r="D100" s="11"/>
      <c r="E100" s="9"/>
      <c r="F100" s="10"/>
      <c r="G100" s="10"/>
      <c r="H100" s="33"/>
      <c r="I100" s="33"/>
      <c r="J100" s="33"/>
      <c r="K100" s="33"/>
      <c r="L100" s="33"/>
      <c r="M100" s="33"/>
      <c r="N100" s="33"/>
      <c r="O100" s="9"/>
      <c r="P100" s="9"/>
      <c r="Q100" s="8"/>
      <c r="R100" s="8"/>
      <c r="S100" s="12"/>
      <c r="T100" s="32"/>
      <c r="U100" s="32"/>
      <c r="V100" s="32"/>
      <c r="W100" s="32"/>
      <c r="X100" s="8"/>
      <c r="Y100" s="32"/>
      <c r="Z100" s="8"/>
      <c r="AA100" s="8"/>
    </row>
    <row r="101" spans="1:27" s="76" customFormat="1" ht="14.25" customHeight="1" x14ac:dyDescent="0.25">
      <c r="A101" s="8"/>
      <c r="B101" s="9"/>
      <c r="C101" s="2"/>
      <c r="D101" s="11"/>
      <c r="E101" s="9"/>
      <c r="F101" s="10"/>
      <c r="G101" s="10"/>
      <c r="H101" s="33"/>
      <c r="I101" s="33"/>
      <c r="J101" s="33"/>
      <c r="K101" s="33"/>
      <c r="L101" s="33"/>
      <c r="M101" s="33"/>
      <c r="N101" s="33"/>
      <c r="O101" s="9"/>
      <c r="P101" s="9"/>
      <c r="Q101" s="8"/>
      <c r="R101" s="8"/>
      <c r="S101" s="12"/>
      <c r="T101" s="32"/>
      <c r="U101" s="32"/>
      <c r="V101" s="32"/>
      <c r="W101" s="32"/>
      <c r="X101" s="8"/>
      <c r="Y101" s="32"/>
      <c r="Z101" s="8"/>
      <c r="AA101" s="8"/>
    </row>
    <row r="102" spans="1:27" s="76" customFormat="1" ht="14.25" customHeight="1" x14ac:dyDescent="0.25">
      <c r="A102" s="8"/>
      <c r="B102" s="9"/>
      <c r="C102" s="2"/>
      <c r="D102" s="11"/>
      <c r="E102" s="9"/>
      <c r="F102" s="10"/>
      <c r="G102" s="10"/>
      <c r="H102" s="33"/>
      <c r="I102" s="33"/>
      <c r="J102" s="33"/>
      <c r="K102" s="33"/>
      <c r="L102" s="33"/>
      <c r="M102" s="33"/>
      <c r="N102" s="33"/>
      <c r="O102" s="9"/>
      <c r="P102" s="9"/>
      <c r="Q102" s="8"/>
      <c r="R102" s="8"/>
      <c r="S102" s="12"/>
      <c r="T102" s="32"/>
      <c r="U102" s="32"/>
      <c r="V102" s="32"/>
      <c r="W102" s="32"/>
      <c r="X102" s="8"/>
      <c r="Y102" s="32"/>
      <c r="Z102" s="8"/>
      <c r="AA102" s="8"/>
    </row>
    <row r="103" spans="1:27" s="76" customFormat="1" ht="14.25" customHeight="1" x14ac:dyDescent="0.25">
      <c r="A103" s="8"/>
      <c r="B103" s="9"/>
      <c r="C103" s="2"/>
      <c r="D103" s="11"/>
      <c r="E103" s="9"/>
      <c r="F103" s="10"/>
      <c r="G103" s="10"/>
      <c r="H103" s="33"/>
      <c r="I103" s="33"/>
      <c r="J103" s="33"/>
      <c r="K103" s="33"/>
      <c r="L103" s="33"/>
      <c r="M103" s="33"/>
      <c r="N103" s="33"/>
      <c r="O103" s="9"/>
      <c r="P103" s="9"/>
      <c r="Q103" s="8"/>
      <c r="R103" s="8"/>
      <c r="S103" s="12"/>
      <c r="T103" s="32"/>
      <c r="U103" s="32"/>
      <c r="V103" s="32"/>
      <c r="W103" s="32"/>
      <c r="X103" s="8"/>
      <c r="Y103" s="32"/>
      <c r="Z103" s="8"/>
      <c r="AA103" s="8"/>
    </row>
    <row r="104" spans="1:27" s="76" customFormat="1" ht="14.25" customHeight="1" x14ac:dyDescent="0.25">
      <c r="A104" s="8"/>
      <c r="B104" s="9"/>
      <c r="C104" s="2"/>
      <c r="D104" s="11"/>
      <c r="E104" s="9"/>
      <c r="F104" s="10"/>
      <c r="G104" s="10"/>
      <c r="H104" s="33"/>
      <c r="I104" s="33"/>
      <c r="J104" s="33"/>
      <c r="K104" s="33"/>
      <c r="L104" s="33"/>
      <c r="M104" s="33"/>
      <c r="N104" s="33"/>
      <c r="O104" s="9"/>
      <c r="P104" s="9"/>
      <c r="Q104" s="8"/>
      <c r="R104" s="8"/>
      <c r="S104" s="12"/>
      <c r="T104" s="32"/>
      <c r="U104" s="32"/>
      <c r="V104" s="32"/>
      <c r="W104" s="32"/>
      <c r="X104" s="8"/>
      <c r="Y104" s="32"/>
      <c r="Z104" s="8"/>
      <c r="AA104" s="8"/>
    </row>
    <row r="105" spans="1:27" s="105" customFormat="1" x14ac:dyDescent="0.25">
      <c r="A105" s="8"/>
      <c r="B105" s="9"/>
      <c r="C105" s="2"/>
      <c r="D105" s="11"/>
      <c r="E105" s="9"/>
      <c r="F105" s="10"/>
      <c r="G105" s="10"/>
      <c r="H105" s="33"/>
      <c r="I105" s="33"/>
      <c r="J105" s="33"/>
      <c r="K105" s="33"/>
      <c r="L105" s="33"/>
      <c r="M105" s="33"/>
      <c r="N105" s="33"/>
      <c r="O105" s="9"/>
      <c r="P105" s="9"/>
      <c r="Q105" s="8"/>
      <c r="R105" s="8"/>
      <c r="S105" s="12"/>
      <c r="T105" s="32"/>
      <c r="U105" s="32"/>
      <c r="V105" s="32"/>
      <c r="W105" s="32"/>
      <c r="X105" s="8"/>
      <c r="Y105" s="32"/>
      <c r="Z105" s="8"/>
      <c r="AA105" s="8"/>
    </row>
    <row r="106" spans="1:27" s="76" customFormat="1" ht="14.25" customHeight="1" x14ac:dyDescent="0.25">
      <c r="A106" s="8"/>
      <c r="B106" s="9"/>
      <c r="C106" s="2"/>
      <c r="D106" s="11"/>
      <c r="E106" s="9"/>
      <c r="F106" s="10"/>
      <c r="G106" s="10"/>
      <c r="H106" s="33"/>
      <c r="I106" s="33"/>
      <c r="J106" s="33"/>
      <c r="K106" s="33"/>
      <c r="L106" s="33"/>
      <c r="M106" s="33"/>
      <c r="N106" s="33"/>
      <c r="O106" s="9"/>
      <c r="P106" s="9"/>
      <c r="Q106" s="8"/>
      <c r="R106" s="8"/>
      <c r="S106" s="12"/>
      <c r="T106" s="32"/>
      <c r="U106" s="32"/>
      <c r="V106" s="32"/>
      <c r="W106" s="32"/>
      <c r="X106" s="8"/>
      <c r="Y106" s="32"/>
      <c r="Z106" s="8"/>
      <c r="AA106" s="8"/>
    </row>
    <row r="107" spans="1:27" s="105" customFormat="1" ht="14.25" customHeight="1" x14ac:dyDescent="0.25">
      <c r="A107" s="8"/>
      <c r="B107" s="9"/>
      <c r="C107" s="2"/>
      <c r="D107" s="11"/>
      <c r="E107" s="9"/>
      <c r="F107" s="10"/>
      <c r="G107" s="10"/>
      <c r="H107" s="33"/>
      <c r="I107" s="33"/>
      <c r="J107" s="33"/>
      <c r="K107" s="33"/>
      <c r="L107" s="33"/>
      <c r="M107" s="33"/>
      <c r="N107" s="33"/>
      <c r="O107" s="9"/>
      <c r="P107" s="9"/>
      <c r="Q107" s="8"/>
      <c r="R107" s="8"/>
      <c r="S107" s="12"/>
      <c r="T107" s="32"/>
      <c r="U107" s="32"/>
      <c r="V107" s="32"/>
      <c r="W107" s="32"/>
      <c r="X107" s="8"/>
      <c r="Y107" s="32"/>
      <c r="Z107" s="8"/>
      <c r="AA107" s="8"/>
    </row>
    <row r="108" spans="1:27" s="76" customFormat="1" ht="16.5" customHeight="1" x14ac:dyDescent="0.25">
      <c r="A108" s="8"/>
      <c r="B108" s="9"/>
      <c r="C108" s="2"/>
      <c r="D108" s="11"/>
      <c r="E108" s="9"/>
      <c r="F108" s="10"/>
      <c r="G108" s="10"/>
      <c r="H108" s="33"/>
      <c r="I108" s="33"/>
      <c r="J108" s="33"/>
      <c r="K108" s="33"/>
      <c r="L108" s="33"/>
      <c r="M108" s="33"/>
      <c r="N108" s="33"/>
      <c r="O108" s="9"/>
      <c r="P108" s="9"/>
      <c r="Q108" s="8"/>
      <c r="R108" s="8"/>
      <c r="S108" s="12"/>
      <c r="T108" s="32"/>
      <c r="U108" s="32"/>
      <c r="V108" s="32"/>
      <c r="W108" s="32"/>
      <c r="X108" s="8"/>
      <c r="Y108" s="32"/>
      <c r="Z108" s="8"/>
      <c r="AA108" s="8"/>
    </row>
    <row r="109" spans="1:27" s="76" customFormat="1" ht="14.25" customHeight="1" x14ac:dyDescent="0.25">
      <c r="A109" s="8"/>
      <c r="B109" s="9"/>
      <c r="C109" s="2"/>
      <c r="D109" s="11"/>
      <c r="E109" s="9"/>
      <c r="F109" s="10"/>
      <c r="G109" s="10"/>
      <c r="H109" s="33"/>
      <c r="I109" s="33"/>
      <c r="J109" s="33"/>
      <c r="K109" s="33"/>
      <c r="L109" s="33"/>
      <c r="M109" s="33"/>
      <c r="N109" s="33"/>
      <c r="O109" s="9"/>
      <c r="P109" s="9"/>
      <c r="Q109" s="8"/>
      <c r="R109" s="8"/>
      <c r="S109" s="12"/>
      <c r="T109" s="32"/>
      <c r="U109" s="32"/>
      <c r="V109" s="32"/>
      <c r="W109" s="32"/>
      <c r="X109" s="8"/>
      <c r="Y109" s="32"/>
      <c r="Z109" s="8"/>
      <c r="AA109" s="8"/>
    </row>
    <row r="110" spans="1:27" s="76" customFormat="1" ht="14.25" customHeight="1" x14ac:dyDescent="0.25">
      <c r="A110" s="8"/>
      <c r="B110" s="9"/>
      <c r="C110" s="2"/>
      <c r="D110" s="11"/>
      <c r="E110" s="9"/>
      <c r="F110" s="10"/>
      <c r="G110" s="10"/>
      <c r="H110" s="33"/>
      <c r="I110" s="33"/>
      <c r="J110" s="33"/>
      <c r="K110" s="33"/>
      <c r="L110" s="33"/>
      <c r="M110" s="33"/>
      <c r="N110" s="33"/>
      <c r="O110" s="9"/>
      <c r="P110" s="9"/>
      <c r="Q110" s="8"/>
      <c r="R110" s="8"/>
      <c r="S110" s="12"/>
      <c r="T110" s="32"/>
      <c r="U110" s="32"/>
      <c r="V110" s="32"/>
      <c r="W110" s="32"/>
      <c r="X110" s="8"/>
      <c r="Y110" s="32"/>
      <c r="Z110" s="8"/>
      <c r="AA110" s="8"/>
    </row>
    <row r="111" spans="1:27" s="76" customFormat="1" ht="14.25" customHeight="1" x14ac:dyDescent="0.25">
      <c r="A111" s="8"/>
      <c r="B111" s="9"/>
      <c r="C111" s="2"/>
      <c r="D111" s="11"/>
      <c r="E111" s="9"/>
      <c r="F111" s="10"/>
      <c r="G111" s="10"/>
      <c r="H111" s="33"/>
      <c r="I111" s="33"/>
      <c r="J111" s="33"/>
      <c r="K111" s="33"/>
      <c r="L111" s="33"/>
      <c r="M111" s="33"/>
      <c r="N111" s="33"/>
      <c r="O111" s="9"/>
      <c r="P111" s="9"/>
      <c r="Q111" s="8"/>
      <c r="R111" s="8"/>
      <c r="S111" s="12"/>
      <c r="T111" s="32"/>
      <c r="U111" s="32"/>
      <c r="V111" s="32"/>
      <c r="W111" s="32"/>
      <c r="X111" s="8"/>
      <c r="Y111" s="32"/>
      <c r="Z111" s="8"/>
      <c r="AA111" s="8"/>
    </row>
    <row r="112" spans="1:27" s="76" customFormat="1" ht="14.25" customHeight="1" x14ac:dyDescent="0.25">
      <c r="A112" s="8"/>
      <c r="B112" s="9"/>
      <c r="C112" s="2"/>
      <c r="D112" s="11"/>
      <c r="E112" s="9"/>
      <c r="F112" s="10"/>
      <c r="G112" s="10"/>
      <c r="H112" s="33"/>
      <c r="I112" s="33"/>
      <c r="J112" s="33"/>
      <c r="K112" s="33"/>
      <c r="L112" s="33"/>
      <c r="M112" s="33"/>
      <c r="N112" s="33"/>
      <c r="O112" s="9"/>
      <c r="P112" s="9"/>
      <c r="Q112" s="8"/>
      <c r="R112" s="8"/>
      <c r="S112" s="12"/>
      <c r="T112" s="32"/>
      <c r="U112" s="32"/>
      <c r="V112" s="32"/>
      <c r="W112" s="32"/>
      <c r="X112" s="8"/>
      <c r="Y112" s="32"/>
      <c r="Z112" s="8"/>
      <c r="AA112" s="8"/>
    </row>
    <row r="113" spans="1:27" s="76" customFormat="1" ht="14.25" customHeight="1" x14ac:dyDescent="0.25">
      <c r="A113" s="8"/>
      <c r="B113" s="9"/>
      <c r="C113" s="2"/>
      <c r="D113" s="11"/>
      <c r="E113" s="9"/>
      <c r="F113" s="10"/>
      <c r="G113" s="10"/>
      <c r="H113" s="33"/>
      <c r="I113" s="33"/>
      <c r="J113" s="33"/>
      <c r="K113" s="33"/>
      <c r="L113" s="33"/>
      <c r="M113" s="33"/>
      <c r="N113" s="33"/>
      <c r="O113" s="9"/>
      <c r="P113" s="9"/>
      <c r="Q113" s="8"/>
      <c r="R113" s="8"/>
      <c r="S113" s="12"/>
      <c r="T113" s="32"/>
      <c r="U113" s="32"/>
      <c r="V113" s="32"/>
      <c r="W113" s="32"/>
      <c r="X113" s="8"/>
      <c r="Y113" s="32"/>
      <c r="Z113" s="8"/>
      <c r="AA113" s="8"/>
    </row>
    <row r="114" spans="1:27" s="76" customFormat="1" ht="14.25" customHeight="1" x14ac:dyDescent="0.25">
      <c r="A114" s="8"/>
      <c r="B114" s="9"/>
      <c r="C114" s="2"/>
      <c r="D114" s="11"/>
      <c r="E114" s="9"/>
      <c r="F114" s="10"/>
      <c r="G114" s="10"/>
      <c r="H114" s="33"/>
      <c r="I114" s="33"/>
      <c r="J114" s="33"/>
      <c r="K114" s="33"/>
      <c r="L114" s="33"/>
      <c r="M114" s="33"/>
      <c r="N114" s="33"/>
      <c r="O114" s="9"/>
      <c r="P114" s="9"/>
      <c r="Q114" s="8"/>
      <c r="R114" s="8"/>
      <c r="S114" s="12"/>
      <c r="T114" s="32"/>
      <c r="U114" s="32"/>
      <c r="V114" s="32"/>
      <c r="W114" s="32"/>
      <c r="X114" s="8"/>
      <c r="Y114" s="32"/>
      <c r="Z114" s="8"/>
      <c r="AA114" s="8"/>
    </row>
    <row r="115" spans="1:27" s="105" customFormat="1" x14ac:dyDescent="0.25">
      <c r="A115" s="8"/>
      <c r="B115" s="9"/>
      <c r="C115" s="2"/>
      <c r="D115" s="11"/>
      <c r="E115" s="9"/>
      <c r="F115" s="10"/>
      <c r="G115" s="10"/>
      <c r="H115" s="33"/>
      <c r="I115" s="33"/>
      <c r="J115" s="33"/>
      <c r="K115" s="33"/>
      <c r="L115" s="33"/>
      <c r="M115" s="33"/>
      <c r="N115" s="33"/>
      <c r="O115" s="9"/>
      <c r="P115" s="9"/>
      <c r="Q115" s="8"/>
      <c r="R115" s="8"/>
      <c r="S115" s="12"/>
      <c r="T115" s="32"/>
      <c r="U115" s="32"/>
      <c r="V115" s="32"/>
      <c r="W115" s="32"/>
      <c r="X115" s="8"/>
      <c r="Y115" s="32"/>
      <c r="Z115" s="8"/>
      <c r="AA115" s="8"/>
    </row>
    <row r="116" spans="1:27" s="105" customFormat="1" x14ac:dyDescent="0.25">
      <c r="A116" s="8"/>
      <c r="B116" s="9"/>
      <c r="C116" s="2"/>
      <c r="D116" s="11"/>
      <c r="E116" s="9"/>
      <c r="F116" s="10"/>
      <c r="G116" s="10"/>
      <c r="H116" s="33"/>
      <c r="I116" s="33"/>
      <c r="J116" s="33"/>
      <c r="K116" s="33"/>
      <c r="L116" s="33"/>
      <c r="M116" s="33"/>
      <c r="N116" s="33"/>
      <c r="O116" s="9"/>
      <c r="P116" s="9"/>
      <c r="Q116" s="8"/>
      <c r="R116" s="8"/>
      <c r="S116" s="12"/>
      <c r="T116" s="32"/>
      <c r="U116" s="32"/>
      <c r="V116" s="32"/>
      <c r="W116" s="32"/>
      <c r="X116" s="8"/>
      <c r="Y116" s="32"/>
      <c r="Z116" s="8"/>
      <c r="AA116" s="8"/>
    </row>
    <row r="117" spans="1:27" s="105" customFormat="1" x14ac:dyDescent="0.25">
      <c r="A117" s="8"/>
      <c r="B117" s="9"/>
      <c r="C117" s="2"/>
      <c r="D117" s="11"/>
      <c r="E117" s="9"/>
      <c r="F117" s="10"/>
      <c r="G117" s="10"/>
      <c r="H117" s="33"/>
      <c r="I117" s="33"/>
      <c r="J117" s="33"/>
      <c r="K117" s="33"/>
      <c r="L117" s="33"/>
      <c r="M117" s="33"/>
      <c r="N117" s="33"/>
      <c r="O117" s="9"/>
      <c r="P117" s="9"/>
      <c r="Q117" s="8"/>
      <c r="R117" s="8"/>
      <c r="S117" s="12"/>
      <c r="T117" s="32"/>
      <c r="U117" s="32"/>
      <c r="V117" s="32"/>
      <c r="W117" s="32"/>
      <c r="X117" s="8"/>
      <c r="Y117" s="32"/>
      <c r="Z117" s="8"/>
      <c r="AA117" s="8"/>
    </row>
    <row r="118" spans="1:27" s="76" customFormat="1" ht="14.25" customHeight="1" x14ac:dyDescent="0.25">
      <c r="A118" s="8"/>
      <c r="B118" s="9"/>
      <c r="C118" s="2"/>
      <c r="D118" s="11"/>
      <c r="E118" s="9"/>
      <c r="F118" s="10"/>
      <c r="G118" s="10"/>
      <c r="H118" s="33"/>
      <c r="I118" s="33"/>
      <c r="J118" s="33"/>
      <c r="K118" s="33"/>
      <c r="L118" s="33"/>
      <c r="M118" s="33"/>
      <c r="N118" s="33"/>
      <c r="O118" s="9"/>
      <c r="P118" s="9"/>
      <c r="Q118" s="8"/>
      <c r="R118" s="8"/>
      <c r="S118" s="12"/>
      <c r="T118" s="32"/>
      <c r="U118" s="32"/>
      <c r="V118" s="32"/>
      <c r="W118" s="32"/>
      <c r="X118" s="8"/>
      <c r="Y118" s="32"/>
      <c r="Z118" s="8"/>
      <c r="AA118" s="8"/>
    </row>
    <row r="119" spans="1:27" s="76" customFormat="1" ht="16.5" customHeight="1" x14ac:dyDescent="0.25">
      <c r="A119" s="8"/>
      <c r="B119" s="9"/>
      <c r="C119" s="2"/>
      <c r="D119" s="11"/>
      <c r="E119" s="9"/>
      <c r="F119" s="10"/>
      <c r="G119" s="10"/>
      <c r="H119" s="33"/>
      <c r="I119" s="33"/>
      <c r="J119" s="33"/>
      <c r="K119" s="33"/>
      <c r="L119" s="33"/>
      <c r="M119" s="33"/>
      <c r="N119" s="33"/>
      <c r="O119" s="9"/>
      <c r="P119" s="9"/>
      <c r="Q119" s="8"/>
      <c r="R119" s="8"/>
      <c r="S119" s="12"/>
      <c r="T119" s="32"/>
      <c r="U119" s="32"/>
      <c r="V119" s="32"/>
      <c r="W119" s="32"/>
      <c r="X119" s="8"/>
      <c r="Y119" s="32"/>
      <c r="Z119" s="8"/>
      <c r="AA119" s="8"/>
    </row>
    <row r="120" spans="1:27" s="76" customFormat="1" ht="14.25" customHeight="1" x14ac:dyDescent="0.25">
      <c r="A120" s="8"/>
      <c r="B120" s="9"/>
      <c r="C120" s="2"/>
      <c r="D120" s="11"/>
      <c r="E120" s="9"/>
      <c r="F120" s="10"/>
      <c r="G120" s="10"/>
      <c r="H120" s="33"/>
      <c r="I120" s="33"/>
      <c r="J120" s="33"/>
      <c r="K120" s="33"/>
      <c r="L120" s="33"/>
      <c r="M120" s="33"/>
      <c r="N120" s="33"/>
      <c r="O120" s="9"/>
      <c r="P120" s="9"/>
      <c r="Q120" s="8"/>
      <c r="R120" s="8"/>
      <c r="S120" s="12"/>
      <c r="T120" s="32"/>
      <c r="U120" s="32"/>
      <c r="V120" s="32"/>
      <c r="W120" s="32"/>
      <c r="X120" s="8"/>
      <c r="Y120" s="32"/>
      <c r="Z120" s="8"/>
      <c r="AA120" s="8"/>
    </row>
    <row r="121" spans="1:27" s="76" customFormat="1" ht="14.25" customHeight="1" x14ac:dyDescent="0.25">
      <c r="A121" s="8"/>
      <c r="B121" s="9"/>
      <c r="C121" s="2"/>
      <c r="D121" s="11"/>
      <c r="E121" s="9"/>
      <c r="F121" s="10"/>
      <c r="G121" s="10"/>
      <c r="H121" s="33"/>
      <c r="I121" s="33"/>
      <c r="J121" s="33"/>
      <c r="K121" s="33"/>
      <c r="L121" s="33"/>
      <c r="M121" s="33"/>
      <c r="N121" s="33"/>
      <c r="O121" s="9"/>
      <c r="P121" s="9"/>
      <c r="Q121" s="8"/>
      <c r="R121" s="8"/>
      <c r="S121" s="12"/>
      <c r="T121" s="32"/>
      <c r="U121" s="32"/>
      <c r="V121" s="32"/>
      <c r="W121" s="32"/>
      <c r="X121" s="8"/>
      <c r="Y121" s="32"/>
      <c r="Z121" s="8"/>
      <c r="AA121" s="8"/>
    </row>
    <row r="122" spans="1:27" s="106" customFormat="1" ht="14.25" customHeight="1" x14ac:dyDescent="0.25">
      <c r="A122" s="8"/>
      <c r="B122" s="9"/>
      <c r="C122" s="2"/>
      <c r="D122" s="11"/>
      <c r="E122" s="9"/>
      <c r="F122" s="10"/>
      <c r="G122" s="10"/>
      <c r="H122" s="33"/>
      <c r="I122" s="33"/>
      <c r="J122" s="33"/>
      <c r="K122" s="33"/>
      <c r="L122" s="33"/>
      <c r="M122" s="33"/>
      <c r="N122" s="33"/>
      <c r="O122" s="9"/>
      <c r="P122" s="9"/>
      <c r="Q122" s="8"/>
      <c r="R122" s="8"/>
      <c r="S122" s="12"/>
      <c r="T122" s="32"/>
      <c r="U122" s="32"/>
      <c r="V122" s="32"/>
      <c r="W122" s="32"/>
      <c r="X122" s="8"/>
      <c r="Y122" s="32"/>
      <c r="Z122" s="8"/>
      <c r="AA122" s="8"/>
    </row>
    <row r="123" spans="1:27" s="76" customFormat="1" ht="14.25" customHeight="1" x14ac:dyDescent="0.25">
      <c r="A123" s="8"/>
      <c r="B123" s="9"/>
      <c r="C123" s="2"/>
      <c r="D123" s="11"/>
      <c r="E123" s="9"/>
      <c r="F123" s="10"/>
      <c r="G123" s="10"/>
      <c r="H123" s="33"/>
      <c r="I123" s="33"/>
      <c r="J123" s="33"/>
      <c r="K123" s="33"/>
      <c r="L123" s="33"/>
      <c r="M123" s="33"/>
      <c r="N123" s="33"/>
      <c r="O123" s="9"/>
      <c r="P123" s="9"/>
      <c r="Q123" s="8"/>
      <c r="R123" s="8"/>
      <c r="S123" s="12"/>
      <c r="T123" s="32"/>
      <c r="U123" s="32"/>
      <c r="V123" s="32"/>
      <c r="W123" s="32"/>
      <c r="X123" s="8"/>
      <c r="Y123" s="32"/>
      <c r="Z123" s="8"/>
      <c r="AA123" s="8"/>
    </row>
    <row r="124" spans="1:27" s="76" customFormat="1" ht="14.25" customHeight="1" x14ac:dyDescent="0.25">
      <c r="A124" s="8"/>
      <c r="B124" s="9"/>
      <c r="C124" s="2"/>
      <c r="D124" s="11"/>
      <c r="E124" s="9"/>
      <c r="F124" s="10"/>
      <c r="G124" s="10"/>
      <c r="H124" s="33"/>
      <c r="I124" s="33"/>
      <c r="J124" s="33"/>
      <c r="K124" s="33"/>
      <c r="L124" s="33"/>
      <c r="M124" s="33"/>
      <c r="N124" s="33"/>
      <c r="O124" s="9"/>
      <c r="P124" s="9"/>
      <c r="Q124" s="8"/>
      <c r="R124" s="8"/>
      <c r="S124" s="12"/>
      <c r="T124" s="32"/>
      <c r="U124" s="32"/>
      <c r="V124" s="32"/>
      <c r="W124" s="32"/>
      <c r="X124" s="8"/>
      <c r="Y124" s="32"/>
      <c r="Z124" s="8"/>
      <c r="AA124" s="8"/>
    </row>
    <row r="125" spans="1:27" s="76" customFormat="1" ht="14.25" customHeight="1" x14ac:dyDescent="0.25">
      <c r="A125" s="8"/>
      <c r="B125" s="9"/>
      <c r="C125" s="2"/>
      <c r="D125" s="11"/>
      <c r="E125" s="9"/>
      <c r="F125" s="10"/>
      <c r="G125" s="10"/>
      <c r="H125" s="33"/>
      <c r="I125" s="33"/>
      <c r="J125" s="33"/>
      <c r="K125" s="33"/>
      <c r="L125" s="33"/>
      <c r="M125" s="33"/>
      <c r="N125" s="33"/>
      <c r="O125" s="9"/>
      <c r="P125" s="9"/>
      <c r="Q125" s="8"/>
      <c r="R125" s="8"/>
      <c r="S125" s="12"/>
      <c r="T125" s="32"/>
      <c r="U125" s="32"/>
      <c r="V125" s="32"/>
      <c r="W125" s="32"/>
      <c r="X125" s="8"/>
      <c r="Y125" s="32"/>
      <c r="Z125" s="8"/>
      <c r="AA125" s="8"/>
    </row>
    <row r="126" spans="1:27" s="76" customFormat="1" ht="14.25" customHeight="1" x14ac:dyDescent="0.25">
      <c r="A126" s="8"/>
      <c r="B126" s="9"/>
      <c r="C126" s="2"/>
      <c r="D126" s="11"/>
      <c r="E126" s="9"/>
      <c r="F126" s="10"/>
      <c r="G126" s="10"/>
      <c r="H126" s="33"/>
      <c r="I126" s="33"/>
      <c r="J126" s="33"/>
      <c r="K126" s="33"/>
      <c r="L126" s="33"/>
      <c r="M126" s="33"/>
      <c r="N126" s="33"/>
      <c r="O126" s="9"/>
      <c r="P126" s="9"/>
      <c r="Q126" s="8"/>
      <c r="R126" s="8"/>
      <c r="S126" s="12"/>
      <c r="T126" s="32"/>
      <c r="U126" s="32"/>
      <c r="V126" s="32"/>
      <c r="W126" s="32"/>
      <c r="X126" s="8"/>
      <c r="Y126" s="32"/>
      <c r="Z126" s="8"/>
      <c r="AA126" s="8"/>
    </row>
    <row r="127" spans="1:27" s="76" customFormat="1" ht="14.25" customHeight="1" x14ac:dyDescent="0.25">
      <c r="A127" s="8"/>
      <c r="B127" s="9"/>
      <c r="C127" s="2"/>
      <c r="D127" s="11"/>
      <c r="E127" s="9"/>
      <c r="F127" s="10"/>
      <c r="G127" s="10"/>
      <c r="H127" s="33"/>
      <c r="I127" s="33"/>
      <c r="J127" s="33"/>
      <c r="K127" s="33"/>
      <c r="L127" s="33"/>
      <c r="M127" s="33"/>
      <c r="N127" s="33"/>
      <c r="O127" s="9"/>
      <c r="P127" s="9"/>
      <c r="Q127" s="8"/>
      <c r="R127" s="8"/>
      <c r="S127" s="12"/>
      <c r="T127" s="32"/>
      <c r="U127" s="32"/>
      <c r="V127" s="32"/>
      <c r="W127" s="32"/>
      <c r="X127" s="8"/>
      <c r="Y127" s="32"/>
      <c r="Z127" s="8"/>
      <c r="AA127" s="8"/>
    </row>
    <row r="128" spans="1:27" s="76" customFormat="1" ht="14.25" customHeight="1" x14ac:dyDescent="0.25">
      <c r="A128" s="8"/>
      <c r="B128" s="9"/>
      <c r="C128" s="2"/>
      <c r="D128" s="11"/>
      <c r="E128" s="9"/>
      <c r="F128" s="10"/>
      <c r="G128" s="10"/>
      <c r="H128" s="33"/>
      <c r="I128" s="33"/>
      <c r="J128" s="33"/>
      <c r="K128" s="33"/>
      <c r="L128" s="33"/>
      <c r="M128" s="33"/>
      <c r="N128" s="33"/>
      <c r="O128" s="9"/>
      <c r="P128" s="9"/>
      <c r="Q128" s="8"/>
      <c r="R128" s="8"/>
      <c r="S128" s="12"/>
      <c r="T128" s="32"/>
      <c r="U128" s="32"/>
      <c r="V128" s="32"/>
      <c r="W128" s="32"/>
      <c r="X128" s="8"/>
      <c r="Y128" s="32"/>
      <c r="Z128" s="8"/>
      <c r="AA128" s="8"/>
    </row>
    <row r="129" spans="1:27" s="76" customFormat="1" ht="14.25" customHeight="1" x14ac:dyDescent="0.25">
      <c r="A129" s="8"/>
      <c r="B129" s="9"/>
      <c r="C129" s="2"/>
      <c r="D129" s="11"/>
      <c r="E129" s="9"/>
      <c r="F129" s="10"/>
      <c r="G129" s="10"/>
      <c r="H129" s="33"/>
      <c r="I129" s="33"/>
      <c r="J129" s="33"/>
      <c r="K129" s="33"/>
      <c r="L129" s="33"/>
      <c r="M129" s="33"/>
      <c r="N129" s="33"/>
      <c r="O129" s="9"/>
      <c r="P129" s="9"/>
      <c r="Q129" s="8"/>
      <c r="R129" s="8"/>
      <c r="S129" s="12"/>
      <c r="T129" s="32"/>
      <c r="U129" s="32"/>
      <c r="V129" s="32"/>
      <c r="W129" s="32"/>
      <c r="X129" s="8"/>
      <c r="Y129" s="32"/>
      <c r="Z129" s="8"/>
      <c r="AA129" s="8"/>
    </row>
    <row r="130" spans="1:27" s="76" customFormat="1" ht="14.25" customHeight="1" x14ac:dyDescent="0.25">
      <c r="A130" s="8"/>
      <c r="B130" s="9"/>
      <c r="C130" s="2"/>
      <c r="D130" s="11"/>
      <c r="E130" s="9"/>
      <c r="F130" s="10"/>
      <c r="G130" s="10"/>
      <c r="H130" s="33"/>
      <c r="I130" s="33"/>
      <c r="J130" s="33"/>
      <c r="K130" s="33"/>
      <c r="L130" s="33"/>
      <c r="M130" s="33"/>
      <c r="N130" s="33"/>
      <c r="O130" s="9"/>
      <c r="P130" s="9"/>
      <c r="Q130" s="8"/>
      <c r="R130" s="8"/>
      <c r="S130" s="12"/>
      <c r="T130" s="32"/>
      <c r="U130" s="32"/>
      <c r="V130" s="32"/>
      <c r="W130" s="32"/>
      <c r="X130" s="8"/>
      <c r="Y130" s="32"/>
      <c r="Z130" s="8"/>
      <c r="AA130" s="8"/>
    </row>
    <row r="131" spans="1:27" s="105" customFormat="1" ht="14.25" customHeight="1" x14ac:dyDescent="0.25">
      <c r="A131" s="8"/>
      <c r="B131" s="9"/>
      <c r="C131" s="2"/>
      <c r="D131" s="11"/>
      <c r="E131" s="9"/>
      <c r="F131" s="10"/>
      <c r="G131" s="10"/>
      <c r="H131" s="33"/>
      <c r="I131" s="33"/>
      <c r="J131" s="33"/>
      <c r="K131" s="33"/>
      <c r="L131" s="33"/>
      <c r="M131" s="33"/>
      <c r="N131" s="33"/>
      <c r="O131" s="9"/>
      <c r="P131" s="9"/>
      <c r="Q131" s="8"/>
      <c r="R131" s="8"/>
      <c r="S131" s="12"/>
      <c r="T131" s="32"/>
      <c r="U131" s="32"/>
      <c r="V131" s="32"/>
      <c r="W131" s="32"/>
      <c r="X131" s="8"/>
      <c r="Y131" s="32"/>
      <c r="Z131" s="8"/>
      <c r="AA131" s="8"/>
    </row>
    <row r="132" spans="1:27" s="76" customFormat="1" ht="14.25" customHeight="1" x14ac:dyDescent="0.25">
      <c r="A132" s="8"/>
      <c r="B132" s="9"/>
      <c r="C132" s="2"/>
      <c r="D132" s="11"/>
      <c r="E132" s="9"/>
      <c r="F132" s="10"/>
      <c r="G132" s="10"/>
      <c r="H132" s="33"/>
      <c r="I132" s="33"/>
      <c r="J132" s="33"/>
      <c r="K132" s="33"/>
      <c r="L132" s="33"/>
      <c r="M132" s="33"/>
      <c r="N132" s="33"/>
      <c r="O132" s="9"/>
      <c r="P132" s="9"/>
      <c r="Q132" s="8"/>
      <c r="R132" s="8"/>
      <c r="S132" s="12"/>
      <c r="T132" s="32"/>
      <c r="U132" s="32"/>
      <c r="V132" s="32"/>
      <c r="W132" s="32"/>
      <c r="X132" s="8"/>
      <c r="Y132" s="32"/>
      <c r="Z132" s="8"/>
      <c r="AA132" s="8"/>
    </row>
    <row r="133" spans="1:27" s="76" customFormat="1" ht="14.25" customHeight="1" x14ac:dyDescent="0.25">
      <c r="A133" s="8"/>
      <c r="B133" s="9"/>
      <c r="C133" s="2"/>
      <c r="D133" s="11"/>
      <c r="E133" s="9"/>
      <c r="F133" s="10"/>
      <c r="G133" s="10"/>
      <c r="H133" s="33"/>
      <c r="I133" s="33"/>
      <c r="J133" s="33"/>
      <c r="K133" s="33"/>
      <c r="L133" s="33"/>
      <c r="M133" s="33"/>
      <c r="N133" s="33"/>
      <c r="O133" s="9"/>
      <c r="P133" s="9"/>
      <c r="Q133" s="8"/>
      <c r="R133" s="8"/>
      <c r="S133" s="12"/>
      <c r="T133" s="32"/>
      <c r="U133" s="32"/>
      <c r="V133" s="32"/>
      <c r="W133" s="32"/>
      <c r="X133" s="8"/>
      <c r="Y133" s="32"/>
      <c r="Z133" s="8"/>
      <c r="AA133" s="8"/>
    </row>
    <row r="134" spans="1:27" s="76" customFormat="1" ht="14.25" customHeight="1" x14ac:dyDescent="0.25">
      <c r="A134" s="8"/>
      <c r="B134" s="9"/>
      <c r="C134" s="2"/>
      <c r="D134" s="11"/>
      <c r="E134" s="9"/>
      <c r="F134" s="10"/>
      <c r="G134" s="10"/>
      <c r="H134" s="33"/>
      <c r="I134" s="33"/>
      <c r="J134" s="33"/>
      <c r="K134" s="33"/>
      <c r="L134" s="33"/>
      <c r="M134" s="33"/>
      <c r="N134" s="33"/>
      <c r="O134" s="9"/>
      <c r="P134" s="9"/>
      <c r="Q134" s="8"/>
      <c r="R134" s="8"/>
      <c r="S134" s="12"/>
      <c r="T134" s="32"/>
      <c r="U134" s="32"/>
      <c r="V134" s="32"/>
      <c r="W134" s="32"/>
      <c r="X134" s="8"/>
      <c r="Y134" s="32"/>
      <c r="Z134" s="8"/>
      <c r="AA134" s="8"/>
    </row>
    <row r="135" spans="1:27" s="76" customFormat="1" ht="14.25" customHeight="1" x14ac:dyDescent="0.25">
      <c r="A135" s="8"/>
      <c r="B135" s="9"/>
      <c r="C135" s="2"/>
      <c r="D135" s="11"/>
      <c r="E135" s="9"/>
      <c r="F135" s="10"/>
      <c r="G135" s="10"/>
      <c r="H135" s="33"/>
      <c r="I135" s="33"/>
      <c r="J135" s="33"/>
      <c r="K135" s="33"/>
      <c r="L135" s="33"/>
      <c r="M135" s="33"/>
      <c r="N135" s="33"/>
      <c r="O135" s="9"/>
      <c r="P135" s="9"/>
      <c r="Q135" s="8"/>
      <c r="R135" s="8"/>
      <c r="S135" s="12"/>
      <c r="T135" s="32"/>
      <c r="U135" s="32"/>
      <c r="V135" s="32"/>
      <c r="W135" s="32"/>
      <c r="X135" s="8"/>
      <c r="Y135" s="32"/>
      <c r="Z135" s="8"/>
      <c r="AA135" s="8"/>
    </row>
    <row r="136" spans="1:27" s="76" customFormat="1" ht="14.25" customHeight="1" x14ac:dyDescent="0.25">
      <c r="A136" s="8"/>
      <c r="B136" s="9"/>
      <c r="C136" s="2"/>
      <c r="D136" s="11"/>
      <c r="E136" s="9"/>
      <c r="F136" s="10"/>
      <c r="G136" s="10"/>
      <c r="H136" s="33"/>
      <c r="I136" s="33"/>
      <c r="J136" s="33"/>
      <c r="K136" s="33"/>
      <c r="L136" s="33"/>
      <c r="M136" s="33"/>
      <c r="N136" s="33"/>
      <c r="O136" s="9"/>
      <c r="P136" s="9"/>
      <c r="Q136" s="8"/>
      <c r="R136" s="8"/>
      <c r="S136" s="12"/>
      <c r="T136" s="32"/>
      <c r="U136" s="32"/>
      <c r="V136" s="32"/>
      <c r="W136" s="32"/>
      <c r="X136" s="8"/>
      <c r="Y136" s="32"/>
      <c r="Z136" s="8"/>
      <c r="AA136" s="8"/>
    </row>
    <row r="137" spans="1:27" s="76" customFormat="1" ht="14.25" customHeight="1" x14ac:dyDescent="0.25">
      <c r="A137" s="8"/>
      <c r="B137" s="9"/>
      <c r="C137" s="2"/>
      <c r="D137" s="11"/>
      <c r="E137" s="9"/>
      <c r="F137" s="10"/>
      <c r="G137" s="10"/>
      <c r="H137" s="33"/>
      <c r="I137" s="33"/>
      <c r="J137" s="33"/>
      <c r="K137" s="33"/>
      <c r="L137" s="33"/>
      <c r="M137" s="33"/>
      <c r="N137" s="33"/>
      <c r="O137" s="9"/>
      <c r="P137" s="9"/>
      <c r="Q137" s="8"/>
      <c r="R137" s="8"/>
      <c r="S137" s="12"/>
      <c r="T137" s="32"/>
      <c r="U137" s="32"/>
      <c r="V137" s="32"/>
      <c r="W137" s="32"/>
      <c r="X137" s="8"/>
      <c r="Y137" s="32"/>
      <c r="Z137" s="8"/>
      <c r="AA137" s="8"/>
    </row>
    <row r="138" spans="1:27" s="76" customFormat="1" ht="14.25" customHeight="1" x14ac:dyDescent="0.25">
      <c r="A138" s="8"/>
      <c r="B138" s="9"/>
      <c r="C138" s="2"/>
      <c r="D138" s="11"/>
      <c r="E138" s="9"/>
      <c r="F138" s="10"/>
      <c r="G138" s="10"/>
      <c r="H138" s="33"/>
      <c r="I138" s="33"/>
      <c r="J138" s="33"/>
      <c r="K138" s="33"/>
      <c r="L138" s="33"/>
      <c r="M138" s="33"/>
      <c r="N138" s="33"/>
      <c r="O138" s="9"/>
      <c r="P138" s="9"/>
      <c r="Q138" s="8"/>
      <c r="R138" s="8"/>
      <c r="S138" s="12"/>
      <c r="T138" s="32"/>
      <c r="U138" s="32"/>
      <c r="V138" s="32"/>
      <c r="W138" s="32"/>
      <c r="X138" s="8"/>
      <c r="Y138" s="32"/>
      <c r="Z138" s="8"/>
      <c r="AA138" s="8"/>
    </row>
    <row r="139" spans="1:27" s="76" customFormat="1" ht="14.25" customHeight="1" x14ac:dyDescent="0.25">
      <c r="A139" s="8"/>
      <c r="B139" s="9"/>
      <c r="C139" s="2"/>
      <c r="D139" s="11"/>
      <c r="E139" s="9"/>
      <c r="F139" s="10"/>
      <c r="G139" s="10"/>
      <c r="H139" s="33"/>
      <c r="I139" s="33"/>
      <c r="J139" s="33"/>
      <c r="K139" s="33"/>
      <c r="L139" s="33"/>
      <c r="M139" s="33"/>
      <c r="N139" s="33"/>
      <c r="O139" s="9"/>
      <c r="P139" s="9"/>
      <c r="Q139" s="8"/>
      <c r="R139" s="8"/>
      <c r="S139" s="12"/>
      <c r="T139" s="32"/>
      <c r="U139" s="32"/>
      <c r="V139" s="32"/>
      <c r="W139" s="32"/>
      <c r="X139" s="8"/>
      <c r="Y139" s="32"/>
      <c r="Z139" s="8"/>
      <c r="AA139" s="8"/>
    </row>
    <row r="140" spans="1:27" s="76" customFormat="1" ht="14.25" customHeight="1" x14ac:dyDescent="0.25">
      <c r="A140" s="8"/>
      <c r="B140" s="9"/>
      <c r="C140" s="2"/>
      <c r="D140" s="11"/>
      <c r="E140" s="9"/>
      <c r="F140" s="10"/>
      <c r="G140" s="10"/>
      <c r="H140" s="33"/>
      <c r="I140" s="33"/>
      <c r="J140" s="33"/>
      <c r="K140" s="33"/>
      <c r="L140" s="33"/>
      <c r="M140" s="33"/>
      <c r="N140" s="33"/>
      <c r="O140" s="9"/>
      <c r="P140" s="9"/>
      <c r="Q140" s="8"/>
      <c r="R140" s="8"/>
      <c r="S140" s="12"/>
      <c r="T140" s="32"/>
      <c r="U140" s="32"/>
      <c r="V140" s="32"/>
      <c r="W140" s="32"/>
      <c r="X140" s="8"/>
      <c r="Y140" s="32"/>
      <c r="Z140" s="8"/>
      <c r="AA140" s="8"/>
    </row>
    <row r="141" spans="1:27" s="76" customFormat="1" ht="14.25" customHeight="1" x14ac:dyDescent="0.25">
      <c r="A141" s="8"/>
      <c r="B141" s="9"/>
      <c r="C141" s="2"/>
      <c r="D141" s="11"/>
      <c r="E141" s="9"/>
      <c r="F141" s="10"/>
      <c r="G141" s="10"/>
      <c r="H141" s="33"/>
      <c r="I141" s="33"/>
      <c r="J141" s="33"/>
      <c r="K141" s="33"/>
      <c r="L141" s="33"/>
      <c r="M141" s="33"/>
      <c r="N141" s="33"/>
      <c r="O141" s="9"/>
      <c r="P141" s="9"/>
      <c r="Q141" s="8"/>
      <c r="R141" s="8"/>
      <c r="S141" s="12"/>
      <c r="T141" s="32"/>
      <c r="U141" s="32"/>
      <c r="V141" s="32"/>
      <c r="W141" s="32"/>
      <c r="X141" s="8"/>
      <c r="Y141" s="32"/>
      <c r="Z141" s="8"/>
      <c r="AA141" s="8"/>
    </row>
    <row r="142" spans="1:27" s="76" customFormat="1" ht="14.25" customHeight="1" x14ac:dyDescent="0.25">
      <c r="A142" s="8"/>
      <c r="B142" s="9"/>
      <c r="C142" s="2"/>
      <c r="D142" s="11"/>
      <c r="E142" s="9"/>
      <c r="F142" s="10"/>
      <c r="G142" s="10"/>
      <c r="H142" s="33"/>
      <c r="I142" s="33"/>
      <c r="J142" s="33"/>
      <c r="K142" s="33"/>
      <c r="L142" s="33"/>
      <c r="M142" s="33"/>
      <c r="N142" s="33"/>
      <c r="O142" s="9"/>
      <c r="P142" s="9"/>
      <c r="Q142" s="8"/>
      <c r="R142" s="8"/>
      <c r="S142" s="12"/>
      <c r="T142" s="32"/>
      <c r="U142" s="32"/>
      <c r="V142" s="32"/>
      <c r="W142" s="32"/>
      <c r="X142" s="8"/>
      <c r="Y142" s="32"/>
      <c r="Z142" s="8"/>
      <c r="AA142" s="8"/>
    </row>
    <row r="143" spans="1:27" s="76" customFormat="1" ht="14.25" customHeight="1" x14ac:dyDescent="0.25">
      <c r="A143" s="8"/>
      <c r="B143" s="9"/>
      <c r="C143" s="2"/>
      <c r="D143" s="11"/>
      <c r="E143" s="9"/>
      <c r="F143" s="10"/>
      <c r="G143" s="10"/>
      <c r="H143" s="33"/>
      <c r="I143" s="33"/>
      <c r="J143" s="33"/>
      <c r="K143" s="33"/>
      <c r="L143" s="33"/>
      <c r="M143" s="33"/>
      <c r="N143" s="33"/>
      <c r="O143" s="9"/>
      <c r="P143" s="9"/>
      <c r="Q143" s="8"/>
      <c r="R143" s="8"/>
      <c r="S143" s="12"/>
      <c r="T143" s="32"/>
      <c r="U143" s="32"/>
      <c r="V143" s="32"/>
      <c r="W143" s="32"/>
      <c r="X143" s="8"/>
      <c r="Y143" s="32"/>
      <c r="Z143" s="8"/>
      <c r="AA143" s="8"/>
    </row>
    <row r="144" spans="1:27" s="76" customFormat="1" ht="14.25" customHeight="1" x14ac:dyDescent="0.25">
      <c r="A144" s="8"/>
      <c r="B144" s="9"/>
      <c r="C144" s="2"/>
      <c r="D144" s="11"/>
      <c r="E144" s="9"/>
      <c r="F144" s="10"/>
      <c r="G144" s="10"/>
      <c r="H144" s="33"/>
      <c r="I144" s="33"/>
      <c r="J144" s="33"/>
      <c r="K144" s="33"/>
      <c r="L144" s="33"/>
      <c r="M144" s="33"/>
      <c r="N144" s="33"/>
      <c r="O144" s="9"/>
      <c r="P144" s="9"/>
      <c r="Q144" s="8"/>
      <c r="R144" s="8"/>
      <c r="S144" s="12"/>
      <c r="T144" s="32"/>
      <c r="U144" s="32"/>
      <c r="V144" s="32"/>
      <c r="W144" s="32"/>
      <c r="X144" s="8"/>
      <c r="Y144" s="32"/>
      <c r="Z144" s="8"/>
      <c r="AA144" s="8"/>
    </row>
    <row r="145" spans="1:27" s="76" customFormat="1" ht="14.25" customHeight="1" x14ac:dyDescent="0.25">
      <c r="A145" s="8"/>
      <c r="B145" s="9"/>
      <c r="C145" s="2"/>
      <c r="D145" s="11"/>
      <c r="E145" s="9"/>
      <c r="F145" s="10"/>
      <c r="G145" s="10"/>
      <c r="H145" s="33"/>
      <c r="I145" s="33"/>
      <c r="J145" s="33"/>
      <c r="K145" s="33"/>
      <c r="L145" s="33"/>
      <c r="M145" s="33"/>
      <c r="N145" s="33"/>
      <c r="O145" s="9"/>
      <c r="P145" s="9"/>
      <c r="Q145" s="8"/>
      <c r="R145" s="8"/>
      <c r="S145" s="12"/>
      <c r="T145" s="32"/>
      <c r="U145" s="32"/>
      <c r="V145" s="32"/>
      <c r="W145" s="32"/>
      <c r="X145" s="8"/>
      <c r="Y145" s="32"/>
      <c r="Z145" s="8"/>
      <c r="AA145" s="8"/>
    </row>
    <row r="146" spans="1:27" s="76" customFormat="1" ht="14.25" customHeight="1" x14ac:dyDescent="0.25">
      <c r="A146" s="8"/>
      <c r="B146" s="9"/>
      <c r="C146" s="2"/>
      <c r="D146" s="11"/>
      <c r="E146" s="9"/>
      <c r="F146" s="10"/>
      <c r="G146" s="10"/>
      <c r="H146" s="33"/>
      <c r="I146" s="33"/>
      <c r="J146" s="33"/>
      <c r="K146" s="33"/>
      <c r="L146" s="33"/>
      <c r="M146" s="33"/>
      <c r="N146" s="33"/>
      <c r="O146" s="9"/>
      <c r="P146" s="9"/>
      <c r="Q146" s="8"/>
      <c r="R146" s="8"/>
      <c r="S146" s="12"/>
      <c r="T146" s="32"/>
      <c r="U146" s="32"/>
      <c r="V146" s="32"/>
      <c r="W146" s="32"/>
      <c r="X146" s="8"/>
      <c r="Y146" s="32"/>
      <c r="Z146" s="8"/>
      <c r="AA146" s="8"/>
    </row>
    <row r="147" spans="1:27" s="76" customFormat="1" ht="14.25" customHeight="1" x14ac:dyDescent="0.25">
      <c r="A147" s="8"/>
      <c r="B147" s="9"/>
      <c r="C147" s="2"/>
      <c r="D147" s="11"/>
      <c r="E147" s="9"/>
      <c r="F147" s="10"/>
      <c r="G147" s="10"/>
      <c r="H147" s="33"/>
      <c r="I147" s="33"/>
      <c r="J147" s="33"/>
      <c r="K147" s="33"/>
      <c r="L147" s="33"/>
      <c r="M147" s="33"/>
      <c r="N147" s="33"/>
      <c r="O147" s="9"/>
      <c r="P147" s="9"/>
      <c r="Q147" s="8"/>
      <c r="R147" s="8"/>
      <c r="S147" s="12"/>
      <c r="T147" s="32"/>
      <c r="U147" s="32"/>
      <c r="V147" s="32"/>
      <c r="W147" s="32"/>
      <c r="X147" s="8"/>
      <c r="Y147" s="32"/>
      <c r="Z147" s="8"/>
      <c r="AA147" s="8"/>
    </row>
    <row r="148" spans="1:27" s="76" customFormat="1" ht="14.25" customHeight="1" x14ac:dyDescent="0.25">
      <c r="A148" s="8"/>
      <c r="B148" s="9"/>
      <c r="C148" s="2"/>
      <c r="D148" s="11"/>
      <c r="E148" s="9"/>
      <c r="F148" s="10"/>
      <c r="G148" s="10"/>
      <c r="H148" s="33"/>
      <c r="I148" s="33"/>
      <c r="J148" s="33"/>
      <c r="K148" s="33"/>
      <c r="L148" s="33"/>
      <c r="M148" s="33"/>
      <c r="N148" s="33"/>
      <c r="O148" s="9"/>
      <c r="P148" s="9"/>
      <c r="Q148" s="8"/>
      <c r="R148" s="8"/>
      <c r="S148" s="12"/>
      <c r="T148" s="32"/>
      <c r="U148" s="32"/>
      <c r="V148" s="32"/>
      <c r="W148" s="32"/>
      <c r="X148" s="8"/>
      <c r="Y148" s="32"/>
      <c r="Z148" s="8"/>
      <c r="AA148" s="8"/>
    </row>
    <row r="149" spans="1:27" s="76" customFormat="1" ht="14.25" customHeight="1" x14ac:dyDescent="0.25">
      <c r="A149" s="8"/>
      <c r="B149" s="9"/>
      <c r="C149" s="2"/>
      <c r="D149" s="11"/>
      <c r="E149" s="9"/>
      <c r="F149" s="10"/>
      <c r="G149" s="10"/>
      <c r="H149" s="33"/>
      <c r="I149" s="33"/>
      <c r="J149" s="33"/>
      <c r="K149" s="33"/>
      <c r="L149" s="33"/>
      <c r="M149" s="33"/>
      <c r="N149" s="33"/>
      <c r="O149" s="9"/>
      <c r="P149" s="9"/>
      <c r="Q149" s="8"/>
      <c r="R149" s="8"/>
      <c r="S149" s="12"/>
      <c r="T149" s="32"/>
      <c r="U149" s="32"/>
      <c r="V149" s="32"/>
      <c r="W149" s="32"/>
      <c r="X149" s="8"/>
      <c r="Y149" s="32"/>
      <c r="Z149" s="8"/>
      <c r="AA149" s="8"/>
    </row>
    <row r="150" spans="1:27" s="105" customFormat="1" x14ac:dyDescent="0.25">
      <c r="A150" s="8"/>
      <c r="B150" s="9"/>
      <c r="C150" s="2"/>
      <c r="D150" s="11"/>
      <c r="E150" s="9"/>
      <c r="F150" s="10"/>
      <c r="G150" s="10"/>
      <c r="H150" s="33"/>
      <c r="I150" s="33"/>
      <c r="J150" s="33"/>
      <c r="K150" s="33"/>
      <c r="L150" s="33"/>
      <c r="M150" s="33"/>
      <c r="N150" s="33"/>
      <c r="O150" s="9"/>
      <c r="P150" s="9"/>
      <c r="Q150" s="8"/>
      <c r="R150" s="8"/>
      <c r="S150" s="12"/>
      <c r="T150" s="32"/>
      <c r="U150" s="32"/>
      <c r="V150" s="32"/>
      <c r="W150" s="32"/>
      <c r="X150" s="8"/>
      <c r="Y150" s="32"/>
      <c r="Z150" s="8"/>
      <c r="AA150" s="8"/>
    </row>
    <row r="151" spans="1:27" s="76" customFormat="1" ht="14.25" customHeight="1" x14ac:dyDescent="0.25">
      <c r="A151" s="8"/>
      <c r="B151" s="9"/>
      <c r="C151" s="2"/>
      <c r="D151" s="11"/>
      <c r="E151" s="9"/>
      <c r="F151" s="10"/>
      <c r="G151" s="10"/>
      <c r="H151" s="33"/>
      <c r="I151" s="33"/>
      <c r="J151" s="33"/>
      <c r="K151" s="33"/>
      <c r="L151" s="33"/>
      <c r="M151" s="33"/>
      <c r="N151" s="33"/>
      <c r="O151" s="9"/>
      <c r="P151" s="9"/>
      <c r="Q151" s="8"/>
      <c r="R151" s="8"/>
      <c r="S151" s="12"/>
      <c r="T151" s="32"/>
      <c r="U151" s="32"/>
      <c r="V151" s="32"/>
      <c r="W151" s="32"/>
      <c r="X151" s="8"/>
      <c r="Y151" s="32"/>
      <c r="Z151" s="8"/>
      <c r="AA151" s="8"/>
    </row>
    <row r="152" spans="1:27" s="76" customFormat="1" ht="14.25" customHeight="1" x14ac:dyDescent="0.25">
      <c r="A152" s="8"/>
      <c r="B152" s="9"/>
      <c r="C152" s="2"/>
      <c r="D152" s="11"/>
      <c r="E152" s="9"/>
      <c r="F152" s="10"/>
      <c r="G152" s="10"/>
      <c r="H152" s="33"/>
      <c r="I152" s="33"/>
      <c r="J152" s="33"/>
      <c r="K152" s="33"/>
      <c r="L152" s="33"/>
      <c r="M152" s="33"/>
      <c r="N152" s="33"/>
      <c r="O152" s="9"/>
      <c r="P152" s="9"/>
      <c r="Q152" s="8"/>
      <c r="R152" s="8"/>
      <c r="S152" s="12"/>
      <c r="T152" s="32"/>
      <c r="U152" s="32"/>
      <c r="V152" s="32"/>
      <c r="W152" s="32"/>
      <c r="X152" s="8"/>
      <c r="Y152" s="32"/>
      <c r="Z152" s="8"/>
      <c r="AA152" s="8"/>
    </row>
    <row r="153" spans="1:27" s="76" customFormat="1" ht="14.25" customHeight="1" x14ac:dyDescent="0.25">
      <c r="A153" s="8"/>
      <c r="B153" s="9"/>
      <c r="C153" s="2"/>
      <c r="D153" s="11"/>
      <c r="E153" s="9"/>
      <c r="F153" s="10"/>
      <c r="G153" s="10"/>
      <c r="H153" s="33"/>
      <c r="I153" s="33"/>
      <c r="J153" s="33"/>
      <c r="K153" s="33"/>
      <c r="L153" s="33"/>
      <c r="M153" s="33"/>
      <c r="N153" s="33"/>
      <c r="O153" s="9"/>
      <c r="P153" s="9"/>
      <c r="Q153" s="8"/>
      <c r="R153" s="8"/>
      <c r="S153" s="12"/>
      <c r="T153" s="32"/>
      <c r="U153" s="32"/>
      <c r="V153" s="32"/>
      <c r="W153" s="32"/>
      <c r="X153" s="8"/>
      <c r="Y153" s="32"/>
      <c r="Z153" s="8"/>
      <c r="AA153" s="8"/>
    </row>
    <row r="154" spans="1:27" s="76" customFormat="1" ht="14.25" customHeight="1" x14ac:dyDescent="0.25">
      <c r="A154" s="8"/>
      <c r="B154" s="9"/>
      <c r="C154" s="2"/>
      <c r="D154" s="11"/>
      <c r="E154" s="9"/>
      <c r="F154" s="10"/>
      <c r="G154" s="10"/>
      <c r="H154" s="33"/>
      <c r="I154" s="33"/>
      <c r="J154" s="33"/>
      <c r="K154" s="33"/>
      <c r="L154" s="33"/>
      <c r="M154" s="33"/>
      <c r="N154" s="33"/>
      <c r="O154" s="9"/>
      <c r="P154" s="9"/>
      <c r="Q154" s="8"/>
      <c r="R154" s="8"/>
      <c r="S154" s="12"/>
      <c r="T154" s="32"/>
      <c r="U154" s="32"/>
      <c r="V154" s="32"/>
      <c r="W154" s="32"/>
      <c r="X154" s="8"/>
      <c r="Y154" s="32"/>
      <c r="Z154" s="8"/>
      <c r="AA154" s="8"/>
    </row>
    <row r="155" spans="1:27" s="76" customFormat="1" ht="14.25" customHeight="1" x14ac:dyDescent="0.25">
      <c r="A155" s="8"/>
      <c r="B155" s="9"/>
      <c r="C155" s="2"/>
      <c r="D155" s="11"/>
      <c r="E155" s="9"/>
      <c r="F155" s="10"/>
      <c r="G155" s="10"/>
      <c r="H155" s="33"/>
      <c r="I155" s="33"/>
      <c r="J155" s="33"/>
      <c r="K155" s="33"/>
      <c r="L155" s="33"/>
      <c r="M155" s="33"/>
      <c r="N155" s="33"/>
      <c r="O155" s="9"/>
      <c r="P155" s="9"/>
      <c r="Q155" s="8"/>
      <c r="R155" s="8"/>
      <c r="S155" s="12"/>
      <c r="T155" s="32"/>
      <c r="U155" s="32"/>
      <c r="V155" s="32"/>
      <c r="W155" s="32"/>
      <c r="X155" s="8"/>
      <c r="Y155" s="32"/>
      <c r="Z155" s="8"/>
      <c r="AA155" s="8"/>
    </row>
    <row r="156" spans="1:27" s="76" customFormat="1" ht="14.25" customHeight="1" x14ac:dyDescent="0.25">
      <c r="A156" s="8"/>
      <c r="B156" s="9"/>
      <c r="C156" s="2"/>
      <c r="D156" s="11"/>
      <c r="E156" s="9"/>
      <c r="F156" s="10"/>
      <c r="G156" s="10"/>
      <c r="H156" s="33"/>
      <c r="I156" s="33"/>
      <c r="J156" s="33"/>
      <c r="K156" s="33"/>
      <c r="L156" s="33"/>
      <c r="M156" s="33"/>
      <c r="N156" s="33"/>
      <c r="O156" s="9"/>
      <c r="P156" s="9"/>
      <c r="Q156" s="8"/>
      <c r="R156" s="8"/>
      <c r="S156" s="12"/>
      <c r="T156" s="32"/>
      <c r="U156" s="32"/>
      <c r="V156" s="32"/>
      <c r="W156" s="32"/>
      <c r="X156" s="8"/>
      <c r="Y156" s="32"/>
      <c r="Z156" s="8"/>
      <c r="AA156" s="8"/>
    </row>
    <row r="157" spans="1:27" s="76" customFormat="1" ht="14.25" customHeight="1" x14ac:dyDescent="0.25">
      <c r="A157" s="8"/>
      <c r="B157" s="9"/>
      <c r="C157" s="2"/>
      <c r="D157" s="11"/>
      <c r="E157" s="9"/>
      <c r="F157" s="10"/>
      <c r="G157" s="10"/>
      <c r="H157" s="33"/>
      <c r="I157" s="33"/>
      <c r="J157" s="33"/>
      <c r="K157" s="33"/>
      <c r="L157" s="33"/>
      <c r="M157" s="33"/>
      <c r="N157" s="33"/>
      <c r="O157" s="9"/>
      <c r="P157" s="9"/>
      <c r="Q157" s="8"/>
      <c r="R157" s="8"/>
      <c r="S157" s="12"/>
      <c r="T157" s="32"/>
      <c r="U157" s="32"/>
      <c r="V157" s="32"/>
      <c r="W157" s="32"/>
      <c r="X157" s="8"/>
      <c r="Y157" s="32"/>
      <c r="Z157" s="8"/>
      <c r="AA157" s="8"/>
    </row>
    <row r="158" spans="1:27" s="52" customFormat="1" x14ac:dyDescent="0.25">
      <c r="A158" s="8"/>
      <c r="B158" s="9"/>
      <c r="C158" s="2"/>
      <c r="D158" s="11"/>
      <c r="E158" s="9"/>
      <c r="F158" s="10"/>
      <c r="G158" s="10"/>
      <c r="H158" s="33"/>
      <c r="I158" s="33"/>
      <c r="J158" s="33"/>
      <c r="K158" s="33"/>
      <c r="L158" s="33"/>
      <c r="M158" s="33"/>
      <c r="N158" s="33"/>
      <c r="O158" s="9"/>
      <c r="P158" s="9"/>
      <c r="Q158" s="8"/>
      <c r="R158" s="8"/>
      <c r="S158" s="12"/>
      <c r="T158" s="32"/>
      <c r="U158" s="32"/>
      <c r="V158" s="32"/>
      <c r="W158" s="32"/>
      <c r="X158" s="8"/>
      <c r="Y158" s="32"/>
      <c r="Z158" s="8"/>
      <c r="AA158" s="8"/>
    </row>
    <row r="159" spans="1:27" s="105" customFormat="1" ht="14.25" customHeight="1" x14ac:dyDescent="0.25">
      <c r="A159" s="8"/>
      <c r="B159" s="9"/>
      <c r="C159" s="2"/>
      <c r="D159" s="11"/>
      <c r="E159" s="9"/>
      <c r="F159" s="10"/>
      <c r="G159" s="10"/>
      <c r="H159" s="33"/>
      <c r="I159" s="33"/>
      <c r="J159" s="33"/>
      <c r="K159" s="33"/>
      <c r="L159" s="33"/>
      <c r="M159" s="33"/>
      <c r="N159" s="33"/>
      <c r="O159" s="9"/>
      <c r="P159" s="9"/>
      <c r="Q159" s="8"/>
      <c r="R159" s="8"/>
      <c r="S159" s="12"/>
      <c r="T159" s="32"/>
      <c r="U159" s="32"/>
      <c r="V159" s="32"/>
      <c r="W159" s="32"/>
      <c r="X159" s="8"/>
      <c r="Y159" s="32"/>
      <c r="Z159" s="8"/>
      <c r="AA159" s="8"/>
    </row>
    <row r="160" spans="1:27" s="105" customFormat="1" ht="14.25" customHeight="1" x14ac:dyDescent="0.25">
      <c r="A160" s="8"/>
      <c r="B160" s="9"/>
      <c r="C160" s="2"/>
      <c r="D160" s="11"/>
      <c r="E160" s="9"/>
      <c r="F160" s="10"/>
      <c r="G160" s="10"/>
      <c r="H160" s="33"/>
      <c r="I160" s="33"/>
      <c r="J160" s="33"/>
      <c r="K160" s="33"/>
      <c r="L160" s="33"/>
      <c r="M160" s="33"/>
      <c r="N160" s="33"/>
      <c r="O160" s="9"/>
      <c r="P160" s="9"/>
      <c r="Q160" s="8"/>
      <c r="R160" s="8"/>
      <c r="S160" s="12"/>
      <c r="T160" s="32"/>
      <c r="U160" s="32"/>
      <c r="V160" s="32"/>
      <c r="W160" s="32"/>
      <c r="X160" s="8"/>
      <c r="Y160" s="32"/>
      <c r="Z160" s="8"/>
      <c r="AA160" s="8"/>
    </row>
    <row r="161" spans="1:27" s="105" customFormat="1" ht="16.5" customHeight="1" x14ac:dyDescent="0.25">
      <c r="A161" s="8"/>
      <c r="B161" s="9"/>
      <c r="C161" s="2"/>
      <c r="D161" s="11"/>
      <c r="E161" s="9"/>
      <c r="F161" s="10"/>
      <c r="G161" s="10"/>
      <c r="H161" s="33"/>
      <c r="I161" s="33"/>
      <c r="J161" s="33"/>
      <c r="K161" s="33"/>
      <c r="L161" s="33"/>
      <c r="M161" s="33"/>
      <c r="N161" s="33"/>
      <c r="O161" s="9"/>
      <c r="P161" s="9"/>
      <c r="Q161" s="8"/>
      <c r="R161" s="8"/>
      <c r="S161" s="12"/>
      <c r="T161" s="32"/>
      <c r="U161" s="32"/>
      <c r="V161" s="32"/>
      <c r="W161" s="32"/>
      <c r="X161" s="8"/>
      <c r="Y161" s="32"/>
      <c r="Z161" s="8"/>
      <c r="AA161" s="8"/>
    </row>
    <row r="162" spans="1:27" s="76" customFormat="1" ht="16.5" customHeight="1" x14ac:dyDescent="0.25">
      <c r="A162" s="8"/>
      <c r="B162" s="9"/>
      <c r="C162" s="2"/>
      <c r="D162" s="11"/>
      <c r="E162" s="9"/>
      <c r="F162" s="10"/>
      <c r="G162" s="10"/>
      <c r="H162" s="33"/>
      <c r="I162" s="33"/>
      <c r="J162" s="33"/>
      <c r="K162" s="33"/>
      <c r="L162" s="33"/>
      <c r="M162" s="33"/>
      <c r="N162" s="33"/>
      <c r="O162" s="9"/>
      <c r="P162" s="9"/>
      <c r="Q162" s="8"/>
      <c r="R162" s="8"/>
      <c r="S162" s="12"/>
      <c r="T162" s="32"/>
      <c r="U162" s="32"/>
      <c r="V162" s="32"/>
      <c r="W162" s="32"/>
      <c r="X162" s="8"/>
      <c r="Y162" s="32"/>
      <c r="Z162" s="8"/>
      <c r="AA162" s="8"/>
    </row>
    <row r="163" spans="1:27" s="76" customFormat="1" ht="16.5" customHeight="1" x14ac:dyDescent="0.25">
      <c r="A163" s="8"/>
      <c r="B163" s="9"/>
      <c r="C163" s="2"/>
      <c r="D163" s="11"/>
      <c r="E163" s="9"/>
      <c r="F163" s="10"/>
      <c r="G163" s="10"/>
      <c r="H163" s="33"/>
      <c r="I163" s="33"/>
      <c r="J163" s="33"/>
      <c r="K163" s="33"/>
      <c r="L163" s="33"/>
      <c r="M163" s="33"/>
      <c r="N163" s="33"/>
      <c r="O163" s="9"/>
      <c r="P163" s="9"/>
      <c r="Q163" s="8"/>
      <c r="R163" s="8"/>
      <c r="S163" s="12"/>
      <c r="T163" s="32"/>
      <c r="U163" s="32"/>
      <c r="V163" s="32"/>
      <c r="W163" s="32"/>
      <c r="X163" s="8"/>
      <c r="Y163" s="32"/>
      <c r="Z163" s="8"/>
      <c r="AA163" s="8"/>
    </row>
    <row r="164" spans="1:27" s="76" customFormat="1" ht="14.25" customHeight="1" x14ac:dyDescent="0.25">
      <c r="A164" s="8"/>
      <c r="B164" s="9"/>
      <c r="C164" s="2"/>
      <c r="D164" s="11"/>
      <c r="E164" s="9"/>
      <c r="F164" s="10"/>
      <c r="G164" s="10"/>
      <c r="H164" s="33"/>
      <c r="I164" s="33"/>
      <c r="J164" s="33"/>
      <c r="K164" s="33"/>
      <c r="L164" s="33"/>
      <c r="M164" s="33"/>
      <c r="N164" s="33"/>
      <c r="O164" s="9"/>
      <c r="P164" s="9"/>
      <c r="Q164" s="8"/>
      <c r="R164" s="8"/>
      <c r="S164" s="12"/>
      <c r="T164" s="32"/>
      <c r="U164" s="32"/>
      <c r="V164" s="32"/>
      <c r="W164" s="32"/>
      <c r="X164" s="8"/>
      <c r="Y164" s="32"/>
      <c r="Z164" s="8"/>
      <c r="AA164" s="8"/>
    </row>
    <row r="165" spans="1:27" s="76" customFormat="1" ht="14.25" customHeight="1" x14ac:dyDescent="0.25">
      <c r="A165" s="8"/>
      <c r="B165" s="9"/>
      <c r="C165" s="2"/>
      <c r="D165" s="11"/>
      <c r="E165" s="9"/>
      <c r="F165" s="10"/>
      <c r="G165" s="10"/>
      <c r="H165" s="33"/>
      <c r="I165" s="33"/>
      <c r="J165" s="33"/>
      <c r="K165" s="33"/>
      <c r="L165" s="33"/>
      <c r="M165" s="33"/>
      <c r="N165" s="33"/>
      <c r="O165" s="9"/>
      <c r="P165" s="9"/>
      <c r="Q165" s="8"/>
      <c r="R165" s="8"/>
      <c r="S165" s="12"/>
      <c r="T165" s="32"/>
      <c r="U165" s="32"/>
      <c r="V165" s="32"/>
      <c r="W165" s="32"/>
      <c r="X165" s="8"/>
      <c r="Y165" s="32"/>
      <c r="Z165" s="8"/>
      <c r="AA165" s="8"/>
    </row>
    <row r="166" spans="1:27" s="76" customFormat="1" ht="14.25" customHeight="1" x14ac:dyDescent="0.25">
      <c r="A166" s="8"/>
      <c r="B166" s="9"/>
      <c r="C166" s="2"/>
      <c r="D166" s="11"/>
      <c r="E166" s="9"/>
      <c r="F166" s="10"/>
      <c r="G166" s="10"/>
      <c r="H166" s="33"/>
      <c r="I166" s="33"/>
      <c r="J166" s="33"/>
      <c r="K166" s="33"/>
      <c r="L166" s="33"/>
      <c r="M166" s="33"/>
      <c r="N166" s="33"/>
      <c r="O166" s="9"/>
      <c r="P166" s="9"/>
      <c r="Q166" s="8"/>
      <c r="R166" s="8"/>
      <c r="S166" s="12"/>
      <c r="T166" s="32"/>
      <c r="U166" s="32"/>
      <c r="V166" s="32"/>
      <c r="W166" s="32"/>
      <c r="X166" s="8"/>
      <c r="Y166" s="32"/>
      <c r="Z166" s="8"/>
      <c r="AA166" s="8"/>
    </row>
    <row r="167" spans="1:27" s="76" customFormat="1" ht="14.25" customHeight="1" x14ac:dyDescent="0.25">
      <c r="A167" s="8"/>
      <c r="B167" s="9"/>
      <c r="C167" s="2"/>
      <c r="D167" s="11"/>
      <c r="E167" s="9"/>
      <c r="F167" s="10"/>
      <c r="G167" s="10"/>
      <c r="H167" s="33"/>
      <c r="I167" s="33"/>
      <c r="J167" s="33"/>
      <c r="K167" s="33"/>
      <c r="L167" s="33"/>
      <c r="M167" s="33"/>
      <c r="N167" s="33"/>
      <c r="O167" s="9"/>
      <c r="P167" s="9"/>
      <c r="Q167" s="8"/>
      <c r="R167" s="8"/>
      <c r="S167" s="12"/>
      <c r="T167" s="32"/>
      <c r="U167" s="32"/>
      <c r="V167" s="32"/>
      <c r="W167" s="32"/>
      <c r="X167" s="8"/>
      <c r="Y167" s="32"/>
      <c r="Z167" s="8"/>
      <c r="AA167" s="8"/>
    </row>
    <row r="168" spans="1:27" s="76" customFormat="1" ht="14.25" customHeight="1" x14ac:dyDescent="0.25">
      <c r="A168" s="8"/>
      <c r="B168" s="9"/>
      <c r="C168" s="2"/>
      <c r="D168" s="11"/>
      <c r="E168" s="9"/>
      <c r="F168" s="10"/>
      <c r="G168" s="10"/>
      <c r="H168" s="33"/>
      <c r="I168" s="33"/>
      <c r="J168" s="33"/>
      <c r="K168" s="33"/>
      <c r="L168" s="33"/>
      <c r="M168" s="33"/>
      <c r="N168" s="33"/>
      <c r="O168" s="9"/>
      <c r="P168" s="9"/>
      <c r="Q168" s="8"/>
      <c r="R168" s="8"/>
      <c r="S168" s="12"/>
      <c r="T168" s="32"/>
      <c r="U168" s="32"/>
      <c r="V168" s="32"/>
      <c r="W168" s="32"/>
      <c r="X168" s="8"/>
      <c r="Y168" s="32"/>
      <c r="Z168" s="8"/>
      <c r="AA168" s="8"/>
    </row>
    <row r="169" spans="1:27" s="76" customFormat="1" ht="16.5" customHeight="1" x14ac:dyDescent="0.25">
      <c r="A169" s="8"/>
      <c r="B169" s="9"/>
      <c r="C169" s="2"/>
      <c r="D169" s="11"/>
      <c r="E169" s="9"/>
      <c r="F169" s="10"/>
      <c r="G169" s="10"/>
      <c r="H169" s="33"/>
      <c r="I169" s="33"/>
      <c r="J169" s="33"/>
      <c r="K169" s="33"/>
      <c r="L169" s="33"/>
      <c r="M169" s="33"/>
      <c r="N169" s="33"/>
      <c r="O169" s="9"/>
      <c r="P169" s="9"/>
      <c r="Q169" s="8"/>
      <c r="R169" s="8"/>
      <c r="S169" s="12"/>
      <c r="T169" s="32"/>
      <c r="U169" s="32"/>
      <c r="V169" s="32"/>
      <c r="W169" s="32"/>
      <c r="X169" s="8"/>
      <c r="Y169" s="32"/>
      <c r="Z169" s="8"/>
      <c r="AA169" s="8"/>
    </row>
    <row r="170" spans="1:27" s="76" customFormat="1" ht="14.25" customHeight="1" x14ac:dyDescent="0.25">
      <c r="A170" s="8"/>
      <c r="B170" s="9"/>
      <c r="C170" s="2"/>
      <c r="D170" s="11"/>
      <c r="E170" s="9"/>
      <c r="F170" s="10"/>
      <c r="G170" s="10"/>
      <c r="H170" s="33"/>
      <c r="I170" s="33"/>
      <c r="J170" s="33"/>
      <c r="K170" s="33"/>
      <c r="L170" s="33"/>
      <c r="M170" s="33"/>
      <c r="N170" s="33"/>
      <c r="O170" s="9"/>
      <c r="P170" s="9"/>
      <c r="Q170" s="8"/>
      <c r="R170" s="8"/>
      <c r="S170" s="12"/>
      <c r="T170" s="32"/>
      <c r="U170" s="32"/>
      <c r="V170" s="32"/>
      <c r="W170" s="32"/>
      <c r="X170" s="8"/>
      <c r="Y170" s="32"/>
      <c r="Z170" s="8"/>
      <c r="AA170" s="8"/>
    </row>
    <row r="171" spans="1:27" s="76" customFormat="1" ht="14.25" customHeight="1" x14ac:dyDescent="0.25">
      <c r="A171" s="8"/>
      <c r="B171" s="9"/>
      <c r="C171" s="2"/>
      <c r="D171" s="11"/>
      <c r="E171" s="9"/>
      <c r="F171" s="10"/>
      <c r="G171" s="10"/>
      <c r="H171" s="33"/>
      <c r="I171" s="33"/>
      <c r="J171" s="33"/>
      <c r="K171" s="33"/>
      <c r="L171" s="33"/>
      <c r="M171" s="33"/>
      <c r="N171" s="33"/>
      <c r="O171" s="9"/>
      <c r="P171" s="9"/>
      <c r="Q171" s="8"/>
      <c r="R171" s="8"/>
      <c r="S171" s="12"/>
      <c r="T171" s="32"/>
      <c r="U171" s="32"/>
      <c r="V171" s="32"/>
      <c r="W171" s="32"/>
      <c r="X171" s="8"/>
      <c r="Y171" s="32"/>
      <c r="Z171" s="8"/>
      <c r="AA171" s="8"/>
    </row>
    <row r="172" spans="1:27" s="76" customFormat="1" ht="14.25" customHeight="1" x14ac:dyDescent="0.25">
      <c r="A172" s="8"/>
      <c r="B172" s="9"/>
      <c r="C172" s="2"/>
      <c r="D172" s="11"/>
      <c r="E172" s="9"/>
      <c r="F172" s="10"/>
      <c r="G172" s="10"/>
      <c r="H172" s="33"/>
      <c r="I172" s="33"/>
      <c r="J172" s="33"/>
      <c r="K172" s="33"/>
      <c r="L172" s="33"/>
      <c r="M172" s="33"/>
      <c r="N172" s="33"/>
      <c r="O172" s="9"/>
      <c r="P172" s="9"/>
      <c r="Q172" s="8"/>
      <c r="R172" s="8"/>
      <c r="S172" s="12"/>
      <c r="T172" s="32"/>
      <c r="U172" s="32"/>
      <c r="V172" s="32"/>
      <c r="W172" s="32"/>
      <c r="X172" s="8"/>
      <c r="Y172" s="32"/>
      <c r="Z172" s="8"/>
      <c r="AA172" s="8"/>
    </row>
    <row r="173" spans="1:27" s="76" customFormat="1" ht="14.25" customHeight="1" x14ac:dyDescent="0.25">
      <c r="A173" s="8"/>
      <c r="B173" s="9"/>
      <c r="C173" s="2"/>
      <c r="D173" s="11"/>
      <c r="E173" s="9"/>
      <c r="F173" s="10"/>
      <c r="G173" s="10"/>
      <c r="H173" s="33"/>
      <c r="I173" s="33"/>
      <c r="J173" s="33"/>
      <c r="K173" s="33"/>
      <c r="L173" s="33"/>
      <c r="M173" s="33"/>
      <c r="N173" s="33"/>
      <c r="O173" s="9"/>
      <c r="P173" s="9"/>
      <c r="Q173" s="8"/>
      <c r="R173" s="8"/>
      <c r="S173" s="12"/>
      <c r="T173" s="32"/>
      <c r="U173" s="32"/>
      <c r="V173" s="32"/>
      <c r="W173" s="32"/>
      <c r="X173" s="8"/>
      <c r="Y173" s="32"/>
      <c r="Z173" s="8"/>
      <c r="AA173" s="8"/>
    </row>
    <row r="174" spans="1:27" s="105" customFormat="1" x14ac:dyDescent="0.25">
      <c r="A174" s="8"/>
      <c r="B174" s="9"/>
      <c r="C174" s="2"/>
      <c r="D174" s="11"/>
      <c r="E174" s="9"/>
      <c r="F174" s="10"/>
      <c r="G174" s="10"/>
      <c r="H174" s="33"/>
      <c r="I174" s="33"/>
      <c r="J174" s="33"/>
      <c r="K174" s="33"/>
      <c r="L174" s="33"/>
      <c r="M174" s="33"/>
      <c r="N174" s="33"/>
      <c r="O174" s="9"/>
      <c r="P174" s="9"/>
      <c r="Q174" s="8"/>
      <c r="R174" s="8"/>
      <c r="S174" s="12"/>
      <c r="T174" s="32"/>
      <c r="U174" s="32"/>
      <c r="V174" s="32"/>
      <c r="W174" s="32"/>
      <c r="X174" s="8"/>
      <c r="Y174" s="32"/>
      <c r="Z174" s="8"/>
      <c r="AA174" s="8"/>
    </row>
    <row r="175" spans="1:27" s="76" customFormat="1" ht="14.25" customHeight="1" x14ac:dyDescent="0.25">
      <c r="A175" s="8"/>
      <c r="B175" s="9"/>
      <c r="C175" s="2"/>
      <c r="D175" s="11"/>
      <c r="E175" s="9"/>
      <c r="F175" s="10"/>
      <c r="G175" s="10"/>
      <c r="H175" s="33"/>
      <c r="I175" s="33"/>
      <c r="J175" s="33"/>
      <c r="K175" s="33"/>
      <c r="L175" s="33"/>
      <c r="M175" s="33"/>
      <c r="N175" s="33"/>
      <c r="O175" s="9"/>
      <c r="P175" s="9"/>
      <c r="Q175" s="8"/>
      <c r="R175" s="8"/>
      <c r="S175" s="12"/>
      <c r="T175" s="32"/>
      <c r="U175" s="32"/>
      <c r="V175" s="32"/>
      <c r="W175" s="32"/>
      <c r="X175" s="8"/>
      <c r="Y175" s="32"/>
      <c r="Z175" s="8"/>
      <c r="AA175" s="8"/>
    </row>
    <row r="176" spans="1:27" s="52" customFormat="1" x14ac:dyDescent="0.25">
      <c r="A176" s="8"/>
      <c r="B176" s="9"/>
      <c r="C176" s="2"/>
      <c r="D176" s="11"/>
      <c r="E176" s="9"/>
      <c r="F176" s="10"/>
      <c r="G176" s="10"/>
      <c r="H176" s="33"/>
      <c r="I176" s="33"/>
      <c r="J176" s="33"/>
      <c r="K176" s="33"/>
      <c r="L176" s="33"/>
      <c r="M176" s="33"/>
      <c r="N176" s="33"/>
      <c r="O176" s="9"/>
      <c r="P176" s="9"/>
      <c r="Q176" s="8"/>
      <c r="R176" s="8"/>
      <c r="S176" s="12"/>
      <c r="T176" s="32"/>
      <c r="U176" s="32"/>
      <c r="V176" s="32"/>
      <c r="W176" s="32"/>
      <c r="X176" s="8"/>
      <c r="Y176" s="32"/>
      <c r="Z176" s="8"/>
      <c r="AA176" s="8"/>
    </row>
    <row r="177" spans="1:27" s="52" customFormat="1" x14ac:dyDescent="0.25">
      <c r="A177" s="8"/>
      <c r="B177" s="9"/>
      <c r="C177" s="2"/>
      <c r="D177" s="11"/>
      <c r="E177" s="9"/>
      <c r="F177" s="10"/>
      <c r="G177" s="10"/>
      <c r="H177" s="33"/>
      <c r="I177" s="33"/>
      <c r="J177" s="33"/>
      <c r="K177" s="33"/>
      <c r="L177" s="33"/>
      <c r="M177" s="33"/>
      <c r="N177" s="33"/>
      <c r="O177" s="9"/>
      <c r="P177" s="9"/>
      <c r="Q177" s="8"/>
      <c r="R177" s="8"/>
      <c r="S177" s="12"/>
      <c r="T177" s="32"/>
      <c r="U177" s="32"/>
      <c r="V177" s="32"/>
      <c r="W177" s="32"/>
      <c r="X177" s="8"/>
      <c r="Y177" s="32"/>
      <c r="Z177" s="8"/>
      <c r="AA177" s="8"/>
    </row>
    <row r="178" spans="1:27" s="52" customFormat="1" x14ac:dyDescent="0.25">
      <c r="A178" s="8"/>
      <c r="B178" s="9"/>
      <c r="C178" s="2"/>
      <c r="D178" s="11"/>
      <c r="E178" s="9"/>
      <c r="F178" s="10"/>
      <c r="G178" s="10"/>
      <c r="H178" s="33"/>
      <c r="I178" s="33"/>
      <c r="J178" s="33"/>
      <c r="K178" s="33"/>
      <c r="L178" s="33"/>
      <c r="M178" s="33"/>
      <c r="N178" s="33"/>
      <c r="O178" s="9"/>
      <c r="P178" s="9"/>
      <c r="Q178" s="8"/>
      <c r="R178" s="8"/>
      <c r="S178" s="12"/>
      <c r="T178" s="32"/>
      <c r="U178" s="32"/>
      <c r="V178" s="32"/>
      <c r="W178" s="32"/>
      <c r="X178" s="8"/>
      <c r="Y178" s="32"/>
      <c r="Z178" s="8"/>
      <c r="AA178" s="8"/>
    </row>
    <row r="179" spans="1:27" s="52" customFormat="1" x14ac:dyDescent="0.25">
      <c r="A179" s="8"/>
      <c r="B179" s="9"/>
      <c r="C179" s="2"/>
      <c r="D179" s="11"/>
      <c r="E179" s="9"/>
      <c r="F179" s="10"/>
      <c r="G179" s="10"/>
      <c r="H179" s="33"/>
      <c r="I179" s="33"/>
      <c r="J179" s="33"/>
      <c r="K179" s="33"/>
      <c r="L179" s="33"/>
      <c r="M179" s="33"/>
      <c r="N179" s="33"/>
      <c r="O179" s="9"/>
      <c r="P179" s="9"/>
      <c r="Q179" s="8"/>
      <c r="R179" s="8"/>
      <c r="S179" s="12"/>
      <c r="T179" s="32"/>
      <c r="U179" s="32"/>
      <c r="V179" s="32"/>
      <c r="W179" s="32"/>
      <c r="X179" s="8"/>
      <c r="Y179" s="32"/>
      <c r="Z179" s="8"/>
      <c r="AA179" s="8"/>
    </row>
    <row r="180" spans="1:27" s="52" customFormat="1" x14ac:dyDescent="0.25">
      <c r="A180" s="8"/>
      <c r="B180" s="9"/>
      <c r="C180" s="2"/>
      <c r="D180" s="11"/>
      <c r="E180" s="9"/>
      <c r="F180" s="10"/>
      <c r="G180" s="10"/>
      <c r="H180" s="33"/>
      <c r="I180" s="33"/>
      <c r="J180" s="33"/>
      <c r="K180" s="33"/>
      <c r="L180" s="33"/>
      <c r="M180" s="33"/>
      <c r="N180" s="33"/>
      <c r="O180" s="9"/>
      <c r="P180" s="9"/>
      <c r="Q180" s="8"/>
      <c r="R180" s="8"/>
      <c r="S180" s="12"/>
      <c r="T180" s="32"/>
      <c r="U180" s="32"/>
      <c r="V180" s="32"/>
      <c r="W180" s="32"/>
      <c r="X180" s="8"/>
      <c r="Y180" s="32"/>
      <c r="Z180" s="8"/>
      <c r="AA180" s="8"/>
    </row>
    <row r="181" spans="1:27" s="52" customFormat="1" x14ac:dyDescent="0.25">
      <c r="A181" s="8"/>
      <c r="B181" s="9"/>
      <c r="C181" s="2"/>
      <c r="D181" s="11"/>
      <c r="E181" s="9"/>
      <c r="F181" s="10"/>
      <c r="G181" s="10"/>
      <c r="H181" s="33"/>
      <c r="I181" s="33"/>
      <c r="J181" s="33"/>
      <c r="K181" s="33"/>
      <c r="L181" s="33"/>
      <c r="M181" s="33"/>
      <c r="N181" s="33"/>
      <c r="O181" s="9"/>
      <c r="P181" s="9"/>
      <c r="Q181" s="8"/>
      <c r="R181" s="8"/>
      <c r="S181" s="12"/>
      <c r="T181" s="32"/>
      <c r="U181" s="32"/>
      <c r="V181" s="32"/>
      <c r="W181" s="32"/>
      <c r="X181" s="8"/>
      <c r="Y181" s="32"/>
      <c r="Z181" s="8"/>
      <c r="AA181" s="8"/>
    </row>
    <row r="182" spans="1:27" s="52" customFormat="1" ht="15" customHeight="1" x14ac:dyDescent="0.25">
      <c r="A182" s="8"/>
      <c r="B182" s="9"/>
      <c r="C182" s="2"/>
      <c r="D182" s="11"/>
      <c r="E182" s="9"/>
      <c r="F182" s="10"/>
      <c r="G182" s="10"/>
      <c r="H182" s="33"/>
      <c r="I182" s="33"/>
      <c r="J182" s="33"/>
      <c r="K182" s="33"/>
      <c r="L182" s="33"/>
      <c r="M182" s="33"/>
      <c r="N182" s="33"/>
      <c r="O182" s="9"/>
      <c r="P182" s="9"/>
      <c r="Q182" s="8"/>
      <c r="R182" s="8"/>
      <c r="S182" s="12"/>
      <c r="T182" s="32"/>
      <c r="U182" s="32"/>
      <c r="V182" s="32"/>
      <c r="W182" s="32"/>
      <c r="X182" s="8"/>
      <c r="Y182" s="32"/>
      <c r="Z182" s="8"/>
      <c r="AA182" s="8"/>
    </row>
    <row r="183" spans="1:27" s="52" customFormat="1" x14ac:dyDescent="0.25">
      <c r="A183" s="8"/>
      <c r="B183" s="9"/>
      <c r="C183" s="2"/>
      <c r="D183" s="11"/>
      <c r="E183" s="9"/>
      <c r="F183" s="10"/>
      <c r="G183" s="10"/>
      <c r="H183" s="33"/>
      <c r="I183" s="33"/>
      <c r="J183" s="33"/>
      <c r="K183" s="33"/>
      <c r="L183" s="33"/>
      <c r="M183" s="33"/>
      <c r="N183" s="33"/>
      <c r="O183" s="9"/>
      <c r="P183" s="9"/>
      <c r="Q183" s="8"/>
      <c r="R183" s="8"/>
      <c r="S183" s="12"/>
      <c r="T183" s="32"/>
      <c r="U183" s="32"/>
      <c r="V183" s="32"/>
      <c r="W183" s="32"/>
      <c r="X183" s="8"/>
      <c r="Y183" s="32"/>
      <c r="Z183" s="8"/>
      <c r="AA183" s="8"/>
    </row>
    <row r="184" spans="1:27" s="52" customFormat="1" x14ac:dyDescent="0.25">
      <c r="A184" s="8"/>
      <c r="B184" s="9"/>
      <c r="C184" s="2"/>
      <c r="D184" s="11"/>
      <c r="E184" s="9"/>
      <c r="F184" s="10"/>
      <c r="G184" s="10"/>
      <c r="H184" s="33"/>
      <c r="I184" s="33"/>
      <c r="J184" s="33"/>
      <c r="K184" s="33"/>
      <c r="L184" s="33"/>
      <c r="M184" s="33"/>
      <c r="N184" s="33"/>
      <c r="O184" s="9"/>
      <c r="P184" s="9"/>
      <c r="Q184" s="8"/>
      <c r="R184" s="8"/>
      <c r="S184" s="12"/>
      <c r="T184" s="32"/>
      <c r="U184" s="32"/>
      <c r="V184" s="32"/>
      <c r="W184" s="32"/>
      <c r="X184" s="8"/>
      <c r="Y184" s="32"/>
      <c r="Z184" s="8"/>
      <c r="AA184" s="8"/>
    </row>
    <row r="185" spans="1:27" s="52" customFormat="1" x14ac:dyDescent="0.25">
      <c r="A185" s="8"/>
      <c r="B185" s="9"/>
      <c r="C185" s="2"/>
      <c r="D185" s="11"/>
      <c r="E185" s="9"/>
      <c r="F185" s="10"/>
      <c r="G185" s="10"/>
      <c r="H185" s="33"/>
      <c r="I185" s="33"/>
      <c r="J185" s="33"/>
      <c r="K185" s="33"/>
      <c r="L185" s="33"/>
      <c r="M185" s="33"/>
      <c r="N185" s="33"/>
      <c r="O185" s="9"/>
      <c r="P185" s="9"/>
      <c r="Q185" s="8"/>
      <c r="R185" s="8"/>
      <c r="S185" s="12"/>
      <c r="T185" s="32"/>
      <c r="U185" s="32"/>
      <c r="V185" s="32"/>
      <c r="W185" s="32"/>
      <c r="X185" s="8"/>
      <c r="Y185" s="32"/>
      <c r="Z185" s="8"/>
      <c r="AA185" s="8"/>
    </row>
    <row r="186" spans="1:27" s="52" customFormat="1" x14ac:dyDescent="0.25">
      <c r="A186" s="8"/>
      <c r="B186" s="9"/>
      <c r="C186" s="2"/>
      <c r="D186" s="11"/>
      <c r="E186" s="9"/>
      <c r="F186" s="10"/>
      <c r="G186" s="10"/>
      <c r="H186" s="33"/>
      <c r="I186" s="33"/>
      <c r="J186" s="33"/>
      <c r="K186" s="33"/>
      <c r="L186" s="33"/>
      <c r="M186" s="33"/>
      <c r="N186" s="33"/>
      <c r="O186" s="9"/>
      <c r="P186" s="9"/>
      <c r="Q186" s="8"/>
      <c r="R186" s="8"/>
      <c r="S186" s="12"/>
      <c r="T186" s="32"/>
      <c r="U186" s="32"/>
      <c r="V186" s="32"/>
      <c r="W186" s="32"/>
      <c r="X186" s="8"/>
      <c r="Y186" s="32"/>
      <c r="Z186" s="8"/>
      <c r="AA186" s="8"/>
    </row>
    <row r="187" spans="1:27" s="52" customFormat="1" x14ac:dyDescent="0.25">
      <c r="A187" s="8"/>
      <c r="B187" s="9"/>
      <c r="C187" s="2"/>
      <c r="D187" s="11"/>
      <c r="E187" s="9"/>
      <c r="F187" s="10"/>
      <c r="G187" s="10"/>
      <c r="H187" s="33"/>
      <c r="I187" s="33"/>
      <c r="J187" s="33"/>
      <c r="K187" s="33"/>
      <c r="L187" s="33"/>
      <c r="M187" s="33"/>
      <c r="N187" s="33"/>
      <c r="O187" s="9"/>
      <c r="P187" s="9"/>
      <c r="Q187" s="8"/>
      <c r="R187" s="8"/>
      <c r="S187" s="12"/>
      <c r="T187" s="32"/>
      <c r="U187" s="32"/>
      <c r="V187" s="32"/>
      <c r="W187" s="32"/>
      <c r="X187" s="8"/>
      <c r="Y187" s="32"/>
      <c r="Z187" s="8"/>
      <c r="AA187" s="8"/>
    </row>
    <row r="188" spans="1:27" s="52" customFormat="1" x14ac:dyDescent="0.25">
      <c r="A188" s="8"/>
      <c r="B188" s="9"/>
      <c r="C188" s="2"/>
      <c r="D188" s="11"/>
      <c r="E188" s="9"/>
      <c r="F188" s="10"/>
      <c r="G188" s="10"/>
      <c r="H188" s="33"/>
      <c r="I188" s="33"/>
      <c r="J188" s="33"/>
      <c r="K188" s="33"/>
      <c r="L188" s="33"/>
      <c r="M188" s="33"/>
      <c r="N188" s="33"/>
      <c r="O188" s="9"/>
      <c r="P188" s="9"/>
      <c r="Q188" s="8"/>
      <c r="R188" s="8"/>
      <c r="S188" s="12"/>
      <c r="T188" s="32"/>
      <c r="U188" s="32"/>
      <c r="V188" s="32"/>
      <c r="W188" s="32"/>
      <c r="X188" s="8"/>
      <c r="Y188" s="32"/>
      <c r="Z188" s="8"/>
      <c r="AA188" s="8"/>
    </row>
    <row r="189" spans="1:27" s="52" customFormat="1" x14ac:dyDescent="0.25">
      <c r="A189" s="8"/>
      <c r="B189" s="9"/>
      <c r="C189" s="2"/>
      <c r="D189" s="11"/>
      <c r="E189" s="9"/>
      <c r="F189" s="10"/>
      <c r="G189" s="10"/>
      <c r="H189" s="33"/>
      <c r="I189" s="33"/>
      <c r="J189" s="33"/>
      <c r="K189" s="33"/>
      <c r="L189" s="33"/>
      <c r="M189" s="33"/>
      <c r="N189" s="33"/>
      <c r="O189" s="9"/>
      <c r="P189" s="9"/>
      <c r="Q189" s="8"/>
      <c r="R189" s="8"/>
      <c r="S189" s="12"/>
      <c r="T189" s="32"/>
      <c r="U189" s="32"/>
      <c r="V189" s="32"/>
      <c r="W189" s="32"/>
      <c r="X189" s="8"/>
      <c r="Y189" s="32"/>
      <c r="Z189" s="8"/>
      <c r="AA189" s="8"/>
    </row>
    <row r="190" spans="1:27" s="52" customFormat="1" x14ac:dyDescent="0.25">
      <c r="A190" s="8"/>
      <c r="B190" s="9"/>
      <c r="C190" s="2"/>
      <c r="D190" s="11"/>
      <c r="E190" s="9"/>
      <c r="F190" s="10"/>
      <c r="G190" s="10"/>
      <c r="H190" s="33"/>
      <c r="I190" s="33"/>
      <c r="J190" s="33"/>
      <c r="K190" s="33"/>
      <c r="L190" s="33"/>
      <c r="M190" s="33"/>
      <c r="N190" s="33"/>
      <c r="O190" s="9"/>
      <c r="P190" s="9"/>
      <c r="Q190" s="8"/>
      <c r="R190" s="8"/>
      <c r="S190" s="12"/>
      <c r="T190" s="32"/>
      <c r="U190" s="32"/>
      <c r="V190" s="32"/>
      <c r="W190" s="32"/>
      <c r="X190" s="8"/>
      <c r="Y190" s="32"/>
      <c r="Z190" s="8"/>
      <c r="AA190" s="8"/>
    </row>
    <row r="191" spans="1:27" s="52" customFormat="1" x14ac:dyDescent="0.25">
      <c r="A191" s="8"/>
      <c r="B191" s="9"/>
      <c r="C191" s="2"/>
      <c r="D191" s="11"/>
      <c r="E191" s="9"/>
      <c r="F191" s="10"/>
      <c r="G191" s="10"/>
      <c r="H191" s="33"/>
      <c r="I191" s="33"/>
      <c r="J191" s="33"/>
      <c r="K191" s="33"/>
      <c r="L191" s="33"/>
      <c r="M191" s="33"/>
      <c r="N191" s="33"/>
      <c r="O191" s="9"/>
      <c r="P191" s="9"/>
      <c r="Q191" s="8"/>
      <c r="R191" s="8"/>
      <c r="S191" s="12"/>
      <c r="T191" s="32"/>
      <c r="U191" s="32"/>
      <c r="V191" s="32"/>
      <c r="W191" s="32"/>
      <c r="X191" s="8"/>
      <c r="Y191" s="32"/>
      <c r="Z191" s="8"/>
      <c r="AA191" s="8"/>
    </row>
    <row r="192" spans="1:27" s="52" customFormat="1" x14ac:dyDescent="0.25">
      <c r="A192" s="8"/>
      <c r="B192" s="9"/>
      <c r="C192" s="2"/>
      <c r="D192" s="11"/>
      <c r="E192" s="9"/>
      <c r="F192" s="10"/>
      <c r="G192" s="10"/>
      <c r="H192" s="33"/>
      <c r="I192" s="33"/>
      <c r="J192" s="33"/>
      <c r="K192" s="33"/>
      <c r="L192" s="33"/>
      <c r="M192" s="33"/>
      <c r="N192" s="33"/>
      <c r="O192" s="9"/>
      <c r="P192" s="9"/>
      <c r="Q192" s="8"/>
      <c r="R192" s="8"/>
      <c r="S192" s="12"/>
      <c r="T192" s="32"/>
      <c r="U192" s="32"/>
      <c r="V192" s="32"/>
      <c r="W192" s="32"/>
      <c r="X192" s="8"/>
      <c r="Y192" s="32"/>
      <c r="Z192" s="8"/>
      <c r="AA192" s="8"/>
    </row>
    <row r="193" spans="1:27" s="52" customFormat="1" x14ac:dyDescent="0.25">
      <c r="A193" s="8"/>
      <c r="B193" s="9"/>
      <c r="C193" s="2"/>
      <c r="D193" s="11"/>
      <c r="E193" s="9"/>
      <c r="F193" s="10"/>
      <c r="G193" s="10"/>
      <c r="H193" s="33"/>
      <c r="I193" s="33"/>
      <c r="J193" s="33"/>
      <c r="K193" s="33"/>
      <c r="L193" s="33"/>
      <c r="M193" s="33"/>
      <c r="N193" s="33"/>
      <c r="O193" s="9"/>
      <c r="P193" s="9"/>
      <c r="Q193" s="8"/>
      <c r="R193" s="8"/>
      <c r="S193" s="12"/>
      <c r="T193" s="32"/>
      <c r="U193" s="32"/>
      <c r="V193" s="32"/>
      <c r="W193" s="32"/>
      <c r="X193" s="8"/>
      <c r="Y193" s="32"/>
      <c r="Z193" s="8"/>
      <c r="AA193" s="8"/>
    </row>
    <row r="194" spans="1:27" s="52" customFormat="1" x14ac:dyDescent="0.25">
      <c r="A194" s="8"/>
      <c r="B194" s="9"/>
      <c r="C194" s="2"/>
      <c r="D194" s="11"/>
      <c r="E194" s="9"/>
      <c r="F194" s="10"/>
      <c r="G194" s="10"/>
      <c r="H194" s="33"/>
      <c r="I194" s="33"/>
      <c r="J194" s="33"/>
      <c r="K194" s="33"/>
      <c r="L194" s="33"/>
      <c r="M194" s="33"/>
      <c r="N194" s="33"/>
      <c r="O194" s="9"/>
      <c r="P194" s="9"/>
      <c r="Q194" s="8"/>
      <c r="R194" s="8"/>
      <c r="S194" s="12"/>
      <c r="T194" s="32"/>
      <c r="U194" s="32"/>
      <c r="V194" s="32"/>
      <c r="W194" s="32"/>
      <c r="X194" s="8"/>
      <c r="Y194" s="32"/>
      <c r="Z194" s="8"/>
      <c r="AA194" s="8"/>
    </row>
    <row r="195" spans="1:27" s="52" customFormat="1" x14ac:dyDescent="0.25">
      <c r="A195" s="8"/>
      <c r="B195" s="9"/>
      <c r="C195" s="2"/>
      <c r="D195" s="11"/>
      <c r="E195" s="9"/>
      <c r="F195" s="10"/>
      <c r="G195" s="10"/>
      <c r="H195" s="33"/>
      <c r="I195" s="33"/>
      <c r="J195" s="33"/>
      <c r="K195" s="33"/>
      <c r="L195" s="33"/>
      <c r="M195" s="33"/>
      <c r="N195" s="33"/>
      <c r="O195" s="9"/>
      <c r="P195" s="9"/>
      <c r="Q195" s="8"/>
      <c r="R195" s="8"/>
      <c r="S195" s="12"/>
      <c r="T195" s="32"/>
      <c r="U195" s="32"/>
      <c r="V195" s="32"/>
      <c r="W195" s="32"/>
      <c r="X195" s="8"/>
      <c r="Y195" s="32"/>
      <c r="Z195" s="8"/>
      <c r="AA195" s="8"/>
    </row>
    <row r="196" spans="1:27" s="52" customFormat="1" x14ac:dyDescent="0.25">
      <c r="A196" s="8"/>
      <c r="B196" s="9"/>
      <c r="C196" s="2"/>
      <c r="D196" s="11"/>
      <c r="E196" s="9"/>
      <c r="F196" s="10"/>
      <c r="G196" s="10"/>
      <c r="H196" s="33"/>
      <c r="I196" s="33"/>
      <c r="J196" s="33"/>
      <c r="K196" s="33"/>
      <c r="L196" s="33"/>
      <c r="M196" s="33"/>
      <c r="N196" s="33"/>
      <c r="O196" s="9"/>
      <c r="P196" s="9"/>
      <c r="Q196" s="8"/>
      <c r="R196" s="8"/>
      <c r="S196" s="12"/>
      <c r="T196" s="32"/>
      <c r="U196" s="32"/>
      <c r="V196" s="32"/>
      <c r="W196" s="32"/>
      <c r="X196" s="8"/>
      <c r="Y196" s="32"/>
      <c r="Z196" s="8"/>
      <c r="AA196" s="8"/>
    </row>
    <row r="197" spans="1:27" s="52" customFormat="1" x14ac:dyDescent="0.25">
      <c r="A197" s="8"/>
      <c r="B197" s="9"/>
      <c r="C197" s="2"/>
      <c r="D197" s="11"/>
      <c r="E197" s="9"/>
      <c r="F197" s="10"/>
      <c r="G197" s="10"/>
      <c r="H197" s="33"/>
      <c r="I197" s="33"/>
      <c r="J197" s="33"/>
      <c r="K197" s="33"/>
      <c r="L197" s="33"/>
      <c r="M197" s="33"/>
      <c r="N197" s="33"/>
      <c r="O197" s="9"/>
      <c r="P197" s="9"/>
      <c r="Q197" s="8"/>
      <c r="R197" s="8"/>
      <c r="S197" s="12"/>
      <c r="T197" s="32"/>
      <c r="U197" s="32"/>
      <c r="V197" s="32"/>
      <c r="W197" s="32"/>
      <c r="X197" s="8"/>
      <c r="Y197" s="32"/>
      <c r="Z197" s="8"/>
      <c r="AA197" s="8"/>
    </row>
    <row r="198" spans="1:27" s="52" customFormat="1" x14ac:dyDescent="0.25">
      <c r="A198" s="8"/>
      <c r="B198" s="9"/>
      <c r="C198" s="2"/>
      <c r="D198" s="11"/>
      <c r="E198" s="9"/>
      <c r="F198" s="10"/>
      <c r="G198" s="10"/>
      <c r="H198" s="33"/>
      <c r="I198" s="33"/>
      <c r="J198" s="33"/>
      <c r="K198" s="33"/>
      <c r="L198" s="33"/>
      <c r="M198" s="33"/>
      <c r="N198" s="33"/>
      <c r="O198" s="9"/>
      <c r="P198" s="9"/>
      <c r="Q198" s="8"/>
      <c r="R198" s="8"/>
      <c r="S198" s="12"/>
      <c r="T198" s="32"/>
      <c r="U198" s="32"/>
      <c r="V198" s="32"/>
      <c r="W198" s="32"/>
      <c r="X198" s="8"/>
      <c r="Y198" s="32"/>
      <c r="Z198" s="8"/>
      <c r="AA198" s="8"/>
    </row>
    <row r="199" spans="1:27" s="52" customFormat="1" x14ac:dyDescent="0.25">
      <c r="A199" s="8"/>
      <c r="B199" s="9"/>
      <c r="C199" s="2"/>
      <c r="D199" s="11"/>
      <c r="E199" s="9"/>
      <c r="F199" s="10"/>
      <c r="G199" s="10"/>
      <c r="H199" s="33"/>
      <c r="I199" s="33"/>
      <c r="J199" s="33"/>
      <c r="K199" s="33"/>
      <c r="L199" s="33"/>
      <c r="M199" s="33"/>
      <c r="N199" s="33"/>
      <c r="O199" s="9"/>
      <c r="P199" s="9"/>
      <c r="Q199" s="8"/>
      <c r="R199" s="8"/>
      <c r="S199" s="12"/>
      <c r="T199" s="32"/>
      <c r="U199" s="32"/>
      <c r="V199" s="32"/>
      <c r="W199" s="32"/>
      <c r="X199" s="8"/>
      <c r="Y199" s="32"/>
      <c r="Z199" s="8"/>
      <c r="AA199" s="8"/>
    </row>
    <row r="200" spans="1:27" s="52" customFormat="1" x14ac:dyDescent="0.25">
      <c r="A200" s="8"/>
      <c r="B200" s="9"/>
      <c r="C200" s="2"/>
      <c r="D200" s="11"/>
      <c r="E200" s="9"/>
      <c r="F200" s="10"/>
      <c r="G200" s="10"/>
      <c r="H200" s="33"/>
      <c r="I200" s="33"/>
      <c r="J200" s="33"/>
      <c r="K200" s="33"/>
      <c r="L200" s="33"/>
      <c r="M200" s="33"/>
      <c r="N200" s="33"/>
      <c r="O200" s="9"/>
      <c r="P200" s="9"/>
      <c r="Q200" s="8"/>
      <c r="R200" s="8"/>
      <c r="S200" s="12"/>
      <c r="T200" s="32"/>
      <c r="U200" s="32"/>
      <c r="V200" s="32"/>
      <c r="W200" s="32"/>
      <c r="X200" s="8"/>
      <c r="Y200" s="32"/>
      <c r="Z200" s="8"/>
      <c r="AA200" s="8"/>
    </row>
    <row r="201" spans="1:27" s="52" customFormat="1" x14ac:dyDescent="0.25">
      <c r="A201" s="8"/>
      <c r="B201" s="9"/>
      <c r="C201" s="2"/>
      <c r="D201" s="11"/>
      <c r="E201" s="9"/>
      <c r="F201" s="10"/>
      <c r="G201" s="10"/>
      <c r="H201" s="33"/>
      <c r="I201" s="33"/>
      <c r="J201" s="33"/>
      <c r="K201" s="33"/>
      <c r="L201" s="33"/>
      <c r="M201" s="33"/>
      <c r="N201" s="33"/>
      <c r="O201" s="9"/>
      <c r="P201" s="9"/>
      <c r="Q201" s="8"/>
      <c r="R201" s="8"/>
      <c r="S201" s="12"/>
      <c r="T201" s="32"/>
      <c r="U201" s="32"/>
      <c r="V201" s="32"/>
      <c r="W201" s="32"/>
      <c r="X201" s="8"/>
      <c r="Y201" s="32"/>
      <c r="Z201" s="8"/>
      <c r="AA201" s="8"/>
    </row>
    <row r="202" spans="1:27" s="52" customFormat="1" x14ac:dyDescent="0.25">
      <c r="A202" s="8"/>
      <c r="B202" s="9"/>
      <c r="C202" s="2"/>
      <c r="D202" s="11"/>
      <c r="E202" s="9"/>
      <c r="F202" s="10"/>
      <c r="G202" s="10"/>
      <c r="H202" s="33"/>
      <c r="I202" s="33"/>
      <c r="J202" s="33"/>
      <c r="K202" s="33"/>
      <c r="L202" s="33"/>
      <c r="M202" s="33"/>
      <c r="N202" s="33"/>
      <c r="O202" s="9"/>
      <c r="P202" s="9"/>
      <c r="Q202" s="8"/>
      <c r="R202" s="8"/>
      <c r="S202" s="12"/>
      <c r="T202" s="32"/>
      <c r="U202" s="32"/>
      <c r="V202" s="32"/>
      <c r="W202" s="32"/>
      <c r="X202" s="8"/>
      <c r="Y202" s="32"/>
      <c r="Z202" s="8"/>
      <c r="AA202" s="8"/>
    </row>
    <row r="203" spans="1:27" s="15" customFormat="1" ht="14.25" customHeight="1" x14ac:dyDescent="0.25">
      <c r="A203" s="8"/>
      <c r="B203" s="9"/>
      <c r="C203" s="2"/>
      <c r="D203" s="11"/>
      <c r="E203" s="9"/>
      <c r="F203" s="10"/>
      <c r="G203" s="10"/>
      <c r="H203" s="33"/>
      <c r="I203" s="33"/>
      <c r="J203" s="33"/>
      <c r="K203" s="33"/>
      <c r="L203" s="33"/>
      <c r="M203" s="33"/>
      <c r="N203" s="33"/>
      <c r="O203" s="9"/>
      <c r="P203" s="9"/>
      <c r="Q203" s="8"/>
      <c r="R203" s="8"/>
      <c r="S203" s="12"/>
      <c r="T203" s="32"/>
      <c r="U203" s="32"/>
      <c r="V203" s="32"/>
      <c r="W203" s="32"/>
      <c r="X203" s="8"/>
      <c r="Y203" s="32"/>
      <c r="Z203" s="8"/>
      <c r="AA203" s="8"/>
    </row>
    <row r="204" spans="1:27" s="52" customFormat="1" ht="15" customHeight="1" x14ac:dyDescent="0.25">
      <c r="A204" s="8"/>
      <c r="B204" s="9"/>
      <c r="C204" s="2"/>
      <c r="D204" s="11"/>
      <c r="E204" s="9"/>
      <c r="F204" s="10"/>
      <c r="G204" s="10"/>
      <c r="H204" s="33"/>
      <c r="I204" s="33"/>
      <c r="J204" s="33"/>
      <c r="K204" s="33"/>
      <c r="L204" s="33"/>
      <c r="M204" s="33"/>
      <c r="N204" s="33"/>
      <c r="O204" s="9"/>
      <c r="P204" s="9"/>
      <c r="Q204" s="8"/>
      <c r="R204" s="8"/>
      <c r="S204" s="12"/>
      <c r="T204" s="32"/>
      <c r="U204" s="32"/>
      <c r="V204" s="32"/>
      <c r="W204" s="32"/>
      <c r="X204" s="8"/>
      <c r="Y204" s="32"/>
      <c r="Z204" s="8"/>
      <c r="AA204" s="8"/>
    </row>
    <row r="205" spans="1:27" s="52" customFormat="1" x14ac:dyDescent="0.25">
      <c r="A205" s="8"/>
      <c r="B205" s="9"/>
      <c r="C205" s="2"/>
      <c r="D205" s="11"/>
      <c r="E205" s="9"/>
      <c r="F205" s="10"/>
      <c r="G205" s="10"/>
      <c r="H205" s="33"/>
      <c r="I205" s="33"/>
      <c r="J205" s="33"/>
      <c r="K205" s="33"/>
      <c r="L205" s="33"/>
      <c r="M205" s="33"/>
      <c r="N205" s="33"/>
      <c r="O205" s="9"/>
      <c r="P205" s="9"/>
      <c r="Q205" s="8"/>
      <c r="R205" s="8"/>
      <c r="S205" s="12"/>
      <c r="T205" s="32"/>
      <c r="U205" s="32"/>
      <c r="V205" s="32"/>
      <c r="W205" s="32"/>
      <c r="X205" s="8"/>
      <c r="Y205" s="32"/>
      <c r="Z205" s="8"/>
      <c r="AA205" s="8"/>
    </row>
    <row r="206" spans="1:27" s="52" customFormat="1" x14ac:dyDescent="0.25">
      <c r="A206" s="8"/>
      <c r="B206" s="9"/>
      <c r="C206" s="2"/>
      <c r="D206" s="11"/>
      <c r="E206" s="9"/>
      <c r="F206" s="10"/>
      <c r="G206" s="10"/>
      <c r="H206" s="33"/>
      <c r="I206" s="33"/>
      <c r="J206" s="33"/>
      <c r="K206" s="33"/>
      <c r="L206" s="33"/>
      <c r="M206" s="33"/>
      <c r="N206" s="33"/>
      <c r="O206" s="9"/>
      <c r="P206" s="9"/>
      <c r="Q206" s="8"/>
      <c r="R206" s="8"/>
      <c r="S206" s="12"/>
      <c r="T206" s="32"/>
      <c r="U206" s="32"/>
      <c r="V206" s="32"/>
      <c r="W206" s="32"/>
      <c r="X206" s="8"/>
      <c r="Y206" s="32"/>
      <c r="Z206" s="8"/>
      <c r="AA206" s="8"/>
    </row>
    <row r="207" spans="1:27" s="52" customFormat="1" x14ac:dyDescent="0.25">
      <c r="A207" s="8"/>
      <c r="B207" s="9"/>
      <c r="C207" s="2"/>
      <c r="D207" s="11"/>
      <c r="E207" s="9"/>
      <c r="F207" s="10"/>
      <c r="G207" s="10"/>
      <c r="H207" s="33"/>
      <c r="I207" s="33"/>
      <c r="J207" s="33"/>
      <c r="K207" s="33"/>
      <c r="L207" s="33"/>
      <c r="M207" s="33"/>
      <c r="N207" s="33"/>
      <c r="O207" s="9"/>
      <c r="P207" s="9"/>
      <c r="Q207" s="8"/>
      <c r="R207" s="8"/>
      <c r="S207" s="12"/>
      <c r="T207" s="32"/>
      <c r="U207" s="32"/>
      <c r="V207" s="32"/>
      <c r="W207" s="32"/>
      <c r="X207" s="8"/>
      <c r="Y207" s="32"/>
      <c r="Z207" s="8"/>
      <c r="AA207" s="8"/>
    </row>
    <row r="208" spans="1:27" s="52" customFormat="1" x14ac:dyDescent="0.25">
      <c r="A208" s="8"/>
      <c r="B208" s="9"/>
      <c r="C208" s="2"/>
      <c r="D208" s="11"/>
      <c r="E208" s="9"/>
      <c r="F208" s="10"/>
      <c r="G208" s="10"/>
      <c r="H208" s="33"/>
      <c r="I208" s="33"/>
      <c r="J208" s="33"/>
      <c r="K208" s="33"/>
      <c r="L208" s="33"/>
      <c r="M208" s="33"/>
      <c r="N208" s="33"/>
      <c r="O208" s="9"/>
      <c r="P208" s="9"/>
      <c r="Q208" s="8"/>
      <c r="R208" s="8"/>
      <c r="S208" s="12"/>
      <c r="T208" s="32"/>
      <c r="U208" s="32"/>
      <c r="V208" s="32"/>
      <c r="W208" s="32"/>
      <c r="X208" s="8"/>
      <c r="Y208" s="32"/>
      <c r="Z208" s="8"/>
      <c r="AA208" s="8"/>
    </row>
    <row r="209" spans="1:27" s="52" customFormat="1" x14ac:dyDescent="0.25">
      <c r="A209" s="8"/>
      <c r="B209" s="9"/>
      <c r="C209" s="2"/>
      <c r="D209" s="11"/>
      <c r="E209" s="9"/>
      <c r="F209" s="10"/>
      <c r="G209" s="10"/>
      <c r="H209" s="33"/>
      <c r="I209" s="33"/>
      <c r="J209" s="33"/>
      <c r="K209" s="33"/>
      <c r="L209" s="33"/>
      <c r="M209" s="33"/>
      <c r="N209" s="33"/>
      <c r="O209" s="9"/>
      <c r="P209" s="9"/>
      <c r="Q209" s="8"/>
      <c r="R209" s="8"/>
      <c r="S209" s="12"/>
      <c r="T209" s="32"/>
      <c r="U209" s="32"/>
      <c r="V209" s="32"/>
      <c r="W209" s="32"/>
      <c r="X209" s="8"/>
      <c r="Y209" s="32"/>
      <c r="Z209" s="8"/>
      <c r="AA209" s="8"/>
    </row>
    <row r="210" spans="1:27" s="52" customFormat="1" x14ac:dyDescent="0.25">
      <c r="A210" s="8"/>
      <c r="B210" s="9"/>
      <c r="C210" s="2"/>
      <c r="D210" s="11"/>
      <c r="E210" s="9"/>
      <c r="F210" s="10"/>
      <c r="G210" s="10"/>
      <c r="H210" s="33"/>
      <c r="I210" s="33"/>
      <c r="J210" s="33"/>
      <c r="K210" s="33"/>
      <c r="L210" s="33"/>
      <c r="M210" s="33"/>
      <c r="N210" s="33"/>
      <c r="O210" s="9"/>
      <c r="P210" s="9"/>
      <c r="Q210" s="8"/>
      <c r="R210" s="8"/>
      <c r="S210" s="12"/>
      <c r="T210" s="32"/>
      <c r="U210" s="32"/>
      <c r="V210" s="32"/>
      <c r="W210" s="32"/>
      <c r="X210" s="8"/>
      <c r="Y210" s="32"/>
      <c r="Z210" s="8"/>
      <c r="AA210" s="8"/>
    </row>
    <row r="211" spans="1:27" s="52" customFormat="1" x14ac:dyDescent="0.25">
      <c r="A211" s="8"/>
      <c r="B211" s="9"/>
      <c r="C211" s="2"/>
      <c r="D211" s="11"/>
      <c r="E211" s="9"/>
      <c r="F211" s="10"/>
      <c r="G211" s="10"/>
      <c r="H211" s="33"/>
      <c r="I211" s="33"/>
      <c r="J211" s="33"/>
      <c r="K211" s="33"/>
      <c r="L211" s="33"/>
      <c r="M211" s="33"/>
      <c r="N211" s="33"/>
      <c r="O211" s="9"/>
      <c r="P211" s="9"/>
      <c r="Q211" s="8"/>
      <c r="R211" s="8"/>
      <c r="S211" s="12"/>
      <c r="T211" s="32"/>
      <c r="U211" s="32"/>
      <c r="V211" s="32"/>
      <c r="W211" s="32"/>
      <c r="X211" s="8"/>
      <c r="Y211" s="32"/>
      <c r="Z211" s="8"/>
      <c r="AA211" s="8"/>
    </row>
    <row r="212" spans="1:27" s="52" customFormat="1" x14ac:dyDescent="0.25">
      <c r="A212" s="8"/>
      <c r="B212" s="9"/>
      <c r="C212" s="2"/>
      <c r="D212" s="11"/>
      <c r="E212" s="9"/>
      <c r="F212" s="10"/>
      <c r="G212" s="10"/>
      <c r="H212" s="33"/>
      <c r="I212" s="33"/>
      <c r="J212" s="33"/>
      <c r="K212" s="33"/>
      <c r="L212" s="33"/>
      <c r="M212" s="33"/>
      <c r="N212" s="33"/>
      <c r="O212" s="9"/>
      <c r="P212" s="9"/>
      <c r="Q212" s="8"/>
      <c r="R212" s="8"/>
      <c r="S212" s="12"/>
      <c r="T212" s="32"/>
      <c r="U212" s="32"/>
      <c r="V212" s="32"/>
      <c r="W212" s="32"/>
      <c r="X212" s="8"/>
      <c r="Y212" s="32"/>
      <c r="Z212" s="8"/>
      <c r="AA212" s="8"/>
    </row>
    <row r="213" spans="1:27" s="52" customFormat="1" x14ac:dyDescent="0.25">
      <c r="A213" s="8"/>
      <c r="B213" s="9"/>
      <c r="C213" s="2"/>
      <c r="D213" s="11"/>
      <c r="E213" s="9"/>
      <c r="F213" s="10"/>
      <c r="G213" s="10"/>
      <c r="H213" s="33"/>
      <c r="I213" s="33"/>
      <c r="J213" s="33"/>
      <c r="K213" s="33"/>
      <c r="L213" s="33"/>
      <c r="M213" s="33"/>
      <c r="N213" s="33"/>
      <c r="O213" s="9"/>
      <c r="P213" s="9"/>
      <c r="Q213" s="8"/>
      <c r="R213" s="8"/>
      <c r="S213" s="12"/>
      <c r="T213" s="32"/>
      <c r="U213" s="32"/>
      <c r="V213" s="32"/>
      <c r="W213" s="32"/>
      <c r="X213" s="8"/>
      <c r="Y213" s="32"/>
      <c r="Z213" s="8"/>
      <c r="AA213" s="8"/>
    </row>
    <row r="214" spans="1:27" s="52" customFormat="1" x14ac:dyDescent="0.25">
      <c r="A214" s="8"/>
      <c r="B214" s="9"/>
      <c r="C214" s="2"/>
      <c r="D214" s="11"/>
      <c r="E214" s="9"/>
      <c r="F214" s="10"/>
      <c r="G214" s="10"/>
      <c r="H214" s="33"/>
      <c r="I214" s="33"/>
      <c r="J214" s="33"/>
      <c r="K214" s="33"/>
      <c r="L214" s="33"/>
      <c r="M214" s="33"/>
      <c r="N214" s="33"/>
      <c r="O214" s="9"/>
      <c r="P214" s="9"/>
      <c r="Q214" s="8"/>
      <c r="R214" s="8"/>
      <c r="S214" s="12"/>
      <c r="T214" s="32"/>
      <c r="U214" s="32"/>
      <c r="V214" s="32"/>
      <c r="W214" s="32"/>
      <c r="X214" s="8"/>
      <c r="Y214" s="32"/>
      <c r="Z214" s="8"/>
      <c r="AA214" s="8"/>
    </row>
    <row r="215" spans="1:27" s="52" customFormat="1" x14ac:dyDescent="0.25">
      <c r="A215" s="8"/>
      <c r="B215" s="9"/>
      <c r="C215" s="2"/>
      <c r="D215" s="11"/>
      <c r="E215" s="9"/>
      <c r="F215" s="10"/>
      <c r="G215" s="10"/>
      <c r="H215" s="33"/>
      <c r="I215" s="33"/>
      <c r="J215" s="33"/>
      <c r="K215" s="33"/>
      <c r="L215" s="33"/>
      <c r="M215" s="33"/>
      <c r="N215" s="33"/>
      <c r="O215" s="9"/>
      <c r="P215" s="9"/>
      <c r="Q215" s="8"/>
      <c r="R215" s="8"/>
      <c r="S215" s="12"/>
      <c r="T215" s="32"/>
      <c r="U215" s="32"/>
      <c r="V215" s="32"/>
      <c r="W215" s="32"/>
      <c r="X215" s="8"/>
      <c r="Y215" s="32"/>
      <c r="Z215" s="8"/>
      <c r="AA215" s="8"/>
    </row>
    <row r="216" spans="1:27" s="52" customFormat="1" x14ac:dyDescent="0.25">
      <c r="A216" s="8"/>
      <c r="B216" s="9"/>
      <c r="C216" s="2"/>
      <c r="D216" s="11"/>
      <c r="E216" s="9"/>
      <c r="F216" s="10"/>
      <c r="G216" s="10"/>
      <c r="H216" s="33"/>
      <c r="I216" s="33"/>
      <c r="J216" s="33"/>
      <c r="K216" s="33"/>
      <c r="L216" s="33"/>
      <c r="M216" s="33"/>
      <c r="N216" s="33"/>
      <c r="O216" s="9"/>
      <c r="P216" s="9"/>
      <c r="Q216" s="8"/>
      <c r="R216" s="8"/>
      <c r="S216" s="12"/>
      <c r="T216" s="32"/>
      <c r="U216" s="32"/>
      <c r="V216" s="32"/>
      <c r="W216" s="32"/>
      <c r="X216" s="8"/>
      <c r="Y216" s="32"/>
      <c r="Z216" s="8"/>
      <c r="AA216" s="8"/>
    </row>
    <row r="217" spans="1:27" s="52" customFormat="1" x14ac:dyDescent="0.25">
      <c r="A217" s="8"/>
      <c r="B217" s="9"/>
      <c r="C217" s="2"/>
      <c r="D217" s="11"/>
      <c r="E217" s="9"/>
      <c r="F217" s="10"/>
      <c r="G217" s="10"/>
      <c r="H217" s="33"/>
      <c r="I217" s="33"/>
      <c r="J217" s="33"/>
      <c r="K217" s="33"/>
      <c r="L217" s="33"/>
      <c r="M217" s="33"/>
      <c r="N217" s="33"/>
      <c r="O217" s="9"/>
      <c r="P217" s="9"/>
      <c r="Q217" s="8"/>
      <c r="R217" s="8"/>
      <c r="S217" s="12"/>
      <c r="T217" s="32"/>
      <c r="U217" s="32"/>
      <c r="V217" s="32"/>
      <c r="W217" s="32"/>
      <c r="X217" s="8"/>
      <c r="Y217" s="32"/>
      <c r="Z217" s="8"/>
      <c r="AA217" s="8"/>
    </row>
    <row r="218" spans="1:27" s="52" customFormat="1" x14ac:dyDescent="0.25">
      <c r="A218" s="8"/>
      <c r="B218" s="9"/>
      <c r="C218" s="2"/>
      <c r="D218" s="11"/>
      <c r="E218" s="9"/>
      <c r="F218" s="10"/>
      <c r="G218" s="10"/>
      <c r="H218" s="33"/>
      <c r="I218" s="33"/>
      <c r="J218" s="33"/>
      <c r="K218" s="33"/>
      <c r="L218" s="33"/>
      <c r="M218" s="33"/>
      <c r="N218" s="33"/>
      <c r="O218" s="9"/>
      <c r="P218" s="9"/>
      <c r="Q218" s="8"/>
      <c r="R218" s="8"/>
      <c r="S218" s="12"/>
      <c r="T218" s="32"/>
      <c r="U218" s="32"/>
      <c r="V218" s="32"/>
      <c r="W218" s="32"/>
      <c r="X218" s="8"/>
      <c r="Y218" s="32"/>
      <c r="Z218" s="8"/>
      <c r="AA218" s="8"/>
    </row>
    <row r="219" spans="1:27" s="52" customFormat="1" x14ac:dyDescent="0.25">
      <c r="A219" s="8"/>
      <c r="B219" s="9"/>
      <c r="C219" s="2"/>
      <c r="D219" s="11"/>
      <c r="E219" s="9"/>
      <c r="F219" s="10"/>
      <c r="G219" s="10"/>
      <c r="H219" s="33"/>
      <c r="I219" s="33"/>
      <c r="J219" s="33"/>
      <c r="K219" s="33"/>
      <c r="L219" s="33"/>
      <c r="M219" s="33"/>
      <c r="N219" s="33"/>
      <c r="O219" s="9"/>
      <c r="P219" s="9"/>
      <c r="Q219" s="8"/>
      <c r="R219" s="8"/>
      <c r="S219" s="12"/>
      <c r="T219" s="32"/>
      <c r="U219" s="32"/>
      <c r="V219" s="32"/>
      <c r="W219" s="32"/>
      <c r="X219" s="8"/>
      <c r="Y219" s="32"/>
      <c r="Z219" s="8"/>
      <c r="AA219" s="8"/>
    </row>
    <row r="220" spans="1:27" s="52" customFormat="1" x14ac:dyDescent="0.25">
      <c r="A220" s="8"/>
      <c r="B220" s="9"/>
      <c r="C220" s="2"/>
      <c r="D220" s="11"/>
      <c r="E220" s="9"/>
      <c r="F220" s="10"/>
      <c r="G220" s="10"/>
      <c r="H220" s="33"/>
      <c r="I220" s="33"/>
      <c r="J220" s="33"/>
      <c r="K220" s="33"/>
      <c r="L220" s="33"/>
      <c r="M220" s="33"/>
      <c r="N220" s="33"/>
      <c r="O220" s="9"/>
      <c r="P220" s="9"/>
      <c r="Q220" s="8"/>
      <c r="R220" s="8"/>
      <c r="S220" s="12"/>
      <c r="T220" s="32"/>
      <c r="U220" s="32"/>
      <c r="V220" s="32"/>
      <c r="W220" s="32"/>
      <c r="X220" s="8"/>
      <c r="Y220" s="32"/>
      <c r="Z220" s="8"/>
      <c r="AA220" s="8"/>
    </row>
    <row r="221" spans="1:27" s="52" customFormat="1" x14ac:dyDescent="0.25">
      <c r="A221" s="8"/>
      <c r="B221" s="9"/>
      <c r="C221" s="2"/>
      <c r="D221" s="11"/>
      <c r="E221" s="9"/>
      <c r="F221" s="10"/>
      <c r="G221" s="10"/>
      <c r="H221" s="33"/>
      <c r="I221" s="33"/>
      <c r="J221" s="33"/>
      <c r="K221" s="33"/>
      <c r="L221" s="33"/>
      <c r="M221" s="33"/>
      <c r="N221" s="33"/>
      <c r="O221" s="9"/>
      <c r="P221" s="9"/>
      <c r="Q221" s="8"/>
      <c r="R221" s="8"/>
      <c r="S221" s="12"/>
      <c r="T221" s="32"/>
      <c r="U221" s="32"/>
      <c r="V221" s="32"/>
      <c r="W221" s="32"/>
      <c r="X221" s="8"/>
      <c r="Y221" s="32"/>
      <c r="Z221" s="8"/>
      <c r="AA221" s="8"/>
    </row>
    <row r="222" spans="1:27" s="52" customFormat="1" x14ac:dyDescent="0.25">
      <c r="A222" s="8"/>
      <c r="B222" s="9"/>
      <c r="C222" s="2"/>
      <c r="D222" s="11"/>
      <c r="E222" s="9"/>
      <c r="F222" s="10"/>
      <c r="G222" s="10"/>
      <c r="H222" s="33"/>
      <c r="I222" s="33"/>
      <c r="J222" s="33"/>
      <c r="K222" s="33"/>
      <c r="L222" s="33"/>
      <c r="M222" s="33"/>
      <c r="N222" s="33"/>
      <c r="O222" s="9"/>
      <c r="P222" s="9"/>
      <c r="Q222" s="8"/>
      <c r="R222" s="8"/>
      <c r="S222" s="12"/>
      <c r="T222" s="32"/>
      <c r="U222" s="32"/>
      <c r="V222" s="32"/>
      <c r="W222" s="32"/>
      <c r="X222" s="8"/>
      <c r="Y222" s="32"/>
      <c r="Z222" s="8"/>
      <c r="AA222" s="8"/>
    </row>
    <row r="223" spans="1:27" s="52" customFormat="1" x14ac:dyDescent="0.25">
      <c r="A223" s="8"/>
      <c r="B223" s="9"/>
      <c r="C223" s="2"/>
      <c r="D223" s="11"/>
      <c r="E223" s="9"/>
      <c r="F223" s="10"/>
      <c r="G223" s="10"/>
      <c r="H223" s="33"/>
      <c r="I223" s="33"/>
      <c r="J223" s="33"/>
      <c r="K223" s="33"/>
      <c r="L223" s="33"/>
      <c r="M223" s="33"/>
      <c r="N223" s="33"/>
      <c r="O223" s="9"/>
      <c r="P223" s="9"/>
      <c r="Q223" s="8"/>
      <c r="R223" s="8"/>
      <c r="S223" s="12"/>
      <c r="T223" s="32"/>
      <c r="U223" s="32"/>
      <c r="V223" s="32"/>
      <c r="W223" s="32"/>
      <c r="X223" s="8"/>
      <c r="Y223" s="32"/>
      <c r="Z223" s="8"/>
      <c r="AA223" s="8"/>
    </row>
    <row r="224" spans="1:27" s="52" customFormat="1" x14ac:dyDescent="0.25">
      <c r="A224" s="8"/>
      <c r="B224" s="9"/>
      <c r="C224" s="2"/>
      <c r="D224" s="11"/>
      <c r="E224" s="9"/>
      <c r="F224" s="10"/>
      <c r="G224" s="10"/>
      <c r="H224" s="33"/>
      <c r="I224" s="33"/>
      <c r="J224" s="33"/>
      <c r="K224" s="33"/>
      <c r="L224" s="33"/>
      <c r="M224" s="33"/>
      <c r="N224" s="33"/>
      <c r="O224" s="9"/>
      <c r="P224" s="9"/>
      <c r="Q224" s="8"/>
      <c r="R224" s="8"/>
      <c r="S224" s="12"/>
      <c r="T224" s="32"/>
      <c r="U224" s="32"/>
      <c r="V224" s="32"/>
      <c r="W224" s="32"/>
      <c r="X224" s="8"/>
      <c r="Y224" s="32"/>
      <c r="Z224" s="8"/>
      <c r="AA224" s="8"/>
    </row>
    <row r="225" spans="1:27" s="52" customFormat="1" x14ac:dyDescent="0.25">
      <c r="A225" s="8"/>
      <c r="B225" s="9"/>
      <c r="C225" s="2"/>
      <c r="D225" s="11"/>
      <c r="E225" s="9"/>
      <c r="F225" s="10"/>
      <c r="G225" s="10"/>
      <c r="H225" s="33"/>
      <c r="I225" s="33"/>
      <c r="J225" s="33"/>
      <c r="K225" s="33"/>
      <c r="L225" s="33"/>
      <c r="M225" s="33"/>
      <c r="N225" s="33"/>
      <c r="O225" s="9"/>
      <c r="P225" s="9"/>
      <c r="Q225" s="8"/>
      <c r="R225" s="8"/>
      <c r="S225" s="12"/>
      <c r="T225" s="32"/>
      <c r="U225" s="32"/>
      <c r="V225" s="32"/>
      <c r="W225" s="32"/>
      <c r="X225" s="8"/>
      <c r="Y225" s="32"/>
      <c r="Z225" s="8"/>
      <c r="AA225" s="8"/>
    </row>
    <row r="226" spans="1:27" s="52" customFormat="1" x14ac:dyDescent="0.25">
      <c r="A226" s="8"/>
      <c r="B226" s="9"/>
      <c r="C226" s="2"/>
      <c r="D226" s="11"/>
      <c r="E226" s="9"/>
      <c r="F226" s="10"/>
      <c r="G226" s="10"/>
      <c r="H226" s="33"/>
      <c r="I226" s="33"/>
      <c r="J226" s="33"/>
      <c r="K226" s="33"/>
      <c r="L226" s="33"/>
      <c r="M226" s="33"/>
      <c r="N226" s="33"/>
      <c r="O226" s="9"/>
      <c r="P226" s="9"/>
      <c r="Q226" s="8"/>
      <c r="R226" s="8"/>
      <c r="S226" s="12"/>
      <c r="T226" s="32"/>
      <c r="U226" s="32"/>
      <c r="V226" s="32"/>
      <c r="W226" s="32"/>
      <c r="X226" s="8"/>
      <c r="Y226" s="32"/>
      <c r="Z226" s="8"/>
      <c r="AA226" s="8"/>
    </row>
    <row r="227" spans="1:27" s="52" customFormat="1" x14ac:dyDescent="0.25">
      <c r="A227" s="8"/>
      <c r="B227" s="9"/>
      <c r="C227" s="2"/>
      <c r="D227" s="11"/>
      <c r="E227" s="9"/>
      <c r="F227" s="10"/>
      <c r="G227" s="10"/>
      <c r="H227" s="33"/>
      <c r="I227" s="33"/>
      <c r="J227" s="33"/>
      <c r="K227" s="33"/>
      <c r="L227" s="33"/>
      <c r="M227" s="33"/>
      <c r="N227" s="33"/>
      <c r="O227" s="9"/>
      <c r="P227" s="9"/>
      <c r="Q227" s="8"/>
      <c r="R227" s="8"/>
      <c r="S227" s="12"/>
      <c r="T227" s="32"/>
      <c r="U227" s="32"/>
      <c r="V227" s="32"/>
      <c r="W227" s="32"/>
      <c r="X227" s="8"/>
      <c r="Y227" s="32"/>
      <c r="Z227" s="8"/>
      <c r="AA227" s="8"/>
    </row>
    <row r="228" spans="1:27" s="52" customFormat="1" x14ac:dyDescent="0.25">
      <c r="A228" s="8"/>
      <c r="B228" s="9"/>
      <c r="C228" s="2"/>
      <c r="D228" s="11"/>
      <c r="E228" s="9"/>
      <c r="F228" s="10"/>
      <c r="G228" s="10"/>
      <c r="H228" s="33"/>
      <c r="I228" s="33"/>
      <c r="J228" s="33"/>
      <c r="K228" s="33"/>
      <c r="L228" s="33"/>
      <c r="M228" s="33"/>
      <c r="N228" s="33"/>
      <c r="O228" s="9"/>
      <c r="P228" s="9"/>
      <c r="Q228" s="8"/>
      <c r="R228" s="8"/>
      <c r="S228" s="12"/>
      <c r="T228" s="32"/>
      <c r="U228" s="32"/>
      <c r="V228" s="32"/>
      <c r="W228" s="32"/>
      <c r="X228" s="8"/>
      <c r="Y228" s="32"/>
      <c r="Z228" s="8"/>
      <c r="AA228" s="8"/>
    </row>
    <row r="229" spans="1:27" s="52" customFormat="1" x14ac:dyDescent="0.25">
      <c r="A229" s="8"/>
      <c r="B229" s="9"/>
      <c r="C229" s="2"/>
      <c r="D229" s="11"/>
      <c r="E229" s="9"/>
      <c r="F229" s="10"/>
      <c r="G229" s="10"/>
      <c r="H229" s="33"/>
      <c r="I229" s="33"/>
      <c r="J229" s="33"/>
      <c r="K229" s="33"/>
      <c r="L229" s="33"/>
      <c r="M229" s="33"/>
      <c r="N229" s="33"/>
      <c r="O229" s="9"/>
      <c r="P229" s="9"/>
      <c r="Q229" s="8"/>
      <c r="R229" s="8"/>
      <c r="S229" s="12"/>
      <c r="T229" s="32"/>
      <c r="U229" s="32"/>
      <c r="V229" s="32"/>
      <c r="W229" s="32"/>
      <c r="X229" s="8"/>
      <c r="Y229" s="32"/>
      <c r="Z229" s="8"/>
      <c r="AA229" s="8"/>
    </row>
    <row r="230" spans="1:27" s="52" customFormat="1" x14ac:dyDescent="0.25">
      <c r="A230" s="8"/>
      <c r="B230" s="9"/>
      <c r="C230" s="2"/>
      <c r="D230" s="11"/>
      <c r="E230" s="9"/>
      <c r="F230" s="10"/>
      <c r="G230" s="10"/>
      <c r="H230" s="33"/>
      <c r="I230" s="33"/>
      <c r="J230" s="33"/>
      <c r="K230" s="33"/>
      <c r="L230" s="33"/>
      <c r="M230" s="33"/>
      <c r="N230" s="33"/>
      <c r="O230" s="9"/>
      <c r="P230" s="9"/>
      <c r="Q230" s="8"/>
      <c r="R230" s="8"/>
      <c r="S230" s="12"/>
      <c r="T230" s="32"/>
      <c r="U230" s="32"/>
      <c r="V230" s="32"/>
      <c r="W230" s="32"/>
      <c r="X230" s="8"/>
      <c r="Y230" s="32"/>
      <c r="Z230" s="8"/>
      <c r="AA230" s="8"/>
    </row>
    <row r="231" spans="1:27" s="52" customFormat="1" x14ac:dyDescent="0.25">
      <c r="A231" s="8"/>
      <c r="B231" s="9"/>
      <c r="C231" s="2"/>
      <c r="D231" s="11"/>
      <c r="E231" s="9"/>
      <c r="F231" s="10"/>
      <c r="G231" s="10"/>
      <c r="H231" s="33"/>
      <c r="I231" s="33"/>
      <c r="J231" s="33"/>
      <c r="K231" s="33"/>
      <c r="L231" s="33"/>
      <c r="M231" s="33"/>
      <c r="N231" s="33"/>
      <c r="O231" s="9"/>
      <c r="P231" s="9"/>
      <c r="Q231" s="8"/>
      <c r="R231" s="8"/>
      <c r="S231" s="12"/>
      <c r="T231" s="32"/>
      <c r="U231" s="32"/>
      <c r="V231" s="32"/>
      <c r="W231" s="32"/>
      <c r="X231" s="8"/>
      <c r="Y231" s="32"/>
      <c r="Z231" s="8"/>
      <c r="AA231" s="8"/>
    </row>
    <row r="232" spans="1:27" s="52" customFormat="1" x14ac:dyDescent="0.25">
      <c r="A232" s="8"/>
      <c r="B232" s="9"/>
      <c r="C232" s="2"/>
      <c r="D232" s="11"/>
      <c r="E232" s="9"/>
      <c r="F232" s="10"/>
      <c r="G232" s="10"/>
      <c r="H232" s="33"/>
      <c r="I232" s="33"/>
      <c r="J232" s="33"/>
      <c r="K232" s="33"/>
      <c r="L232" s="33"/>
      <c r="M232" s="33"/>
      <c r="N232" s="33"/>
      <c r="O232" s="9"/>
      <c r="P232" s="9"/>
      <c r="Q232" s="8"/>
      <c r="R232" s="8"/>
      <c r="S232" s="12"/>
      <c r="T232" s="32"/>
      <c r="U232" s="32"/>
      <c r="V232" s="32"/>
      <c r="W232" s="32"/>
      <c r="X232" s="8"/>
      <c r="Y232" s="32"/>
      <c r="Z232" s="8"/>
      <c r="AA232" s="8"/>
    </row>
    <row r="233" spans="1:27" s="52" customFormat="1" x14ac:dyDescent="0.25">
      <c r="A233" s="8"/>
      <c r="B233" s="9"/>
      <c r="C233" s="2"/>
      <c r="D233" s="11"/>
      <c r="E233" s="9"/>
      <c r="F233" s="10"/>
      <c r="G233" s="10"/>
      <c r="H233" s="33"/>
      <c r="I233" s="33"/>
      <c r="J233" s="33"/>
      <c r="K233" s="33"/>
      <c r="L233" s="33"/>
      <c r="M233" s="33"/>
      <c r="N233" s="33"/>
      <c r="O233" s="9"/>
      <c r="P233" s="9"/>
      <c r="Q233" s="8"/>
      <c r="R233" s="8"/>
      <c r="S233" s="12"/>
      <c r="T233" s="32"/>
      <c r="U233" s="32"/>
      <c r="V233" s="32"/>
      <c r="W233" s="32"/>
      <c r="X233" s="8"/>
      <c r="Y233" s="32"/>
      <c r="Z233" s="8"/>
      <c r="AA233" s="8"/>
    </row>
    <row r="234" spans="1:27" s="52" customFormat="1" x14ac:dyDescent="0.25">
      <c r="A234" s="8"/>
      <c r="B234" s="9"/>
      <c r="C234" s="2"/>
      <c r="D234" s="11"/>
      <c r="E234" s="9"/>
      <c r="F234" s="10"/>
      <c r="G234" s="10"/>
      <c r="H234" s="33"/>
      <c r="I234" s="33"/>
      <c r="J234" s="33"/>
      <c r="K234" s="33"/>
      <c r="L234" s="33"/>
      <c r="M234" s="33"/>
      <c r="N234" s="33"/>
      <c r="O234" s="9"/>
      <c r="P234" s="9"/>
      <c r="Q234" s="8"/>
      <c r="R234" s="8"/>
      <c r="S234" s="12"/>
      <c r="T234" s="32"/>
      <c r="U234" s="32"/>
      <c r="V234" s="32"/>
      <c r="W234" s="32"/>
      <c r="X234" s="8"/>
      <c r="Y234" s="32"/>
      <c r="Z234" s="8"/>
      <c r="AA234" s="8"/>
    </row>
    <row r="235" spans="1:27" s="52" customFormat="1" x14ac:dyDescent="0.25">
      <c r="A235" s="8"/>
      <c r="B235" s="9"/>
      <c r="C235" s="2"/>
      <c r="D235" s="11"/>
      <c r="E235" s="9"/>
      <c r="F235" s="10"/>
      <c r="G235" s="10"/>
      <c r="H235" s="33"/>
      <c r="I235" s="33"/>
      <c r="J235" s="33"/>
      <c r="K235" s="33"/>
      <c r="L235" s="33"/>
      <c r="M235" s="33"/>
      <c r="N235" s="33"/>
      <c r="O235" s="9"/>
      <c r="P235" s="9"/>
      <c r="Q235" s="8"/>
      <c r="R235" s="8"/>
      <c r="S235" s="12"/>
      <c r="T235" s="32"/>
      <c r="U235" s="32"/>
      <c r="V235" s="32"/>
      <c r="W235" s="32"/>
      <c r="X235" s="8"/>
      <c r="Y235" s="32"/>
      <c r="Z235" s="8"/>
      <c r="AA235" s="8"/>
    </row>
    <row r="236" spans="1:27" s="52" customFormat="1" x14ac:dyDescent="0.25">
      <c r="A236" s="8"/>
      <c r="B236" s="9"/>
      <c r="C236" s="2"/>
      <c r="D236" s="11"/>
      <c r="E236" s="9"/>
      <c r="F236" s="10"/>
      <c r="G236" s="10"/>
      <c r="H236" s="33"/>
      <c r="I236" s="33"/>
      <c r="J236" s="33"/>
      <c r="K236" s="33"/>
      <c r="L236" s="33"/>
      <c r="M236" s="33"/>
      <c r="N236" s="33"/>
      <c r="O236" s="9"/>
      <c r="P236" s="9"/>
      <c r="Q236" s="8"/>
      <c r="R236" s="8"/>
      <c r="S236" s="12"/>
      <c r="T236" s="32"/>
      <c r="U236" s="32"/>
      <c r="V236" s="32"/>
      <c r="W236" s="32"/>
      <c r="X236" s="8"/>
      <c r="Y236" s="32"/>
      <c r="Z236" s="8"/>
      <c r="AA236" s="8"/>
    </row>
    <row r="237" spans="1:27" s="52" customFormat="1" x14ac:dyDescent="0.25">
      <c r="A237" s="8"/>
      <c r="B237" s="9"/>
      <c r="C237" s="2"/>
      <c r="D237" s="11"/>
      <c r="E237" s="9"/>
      <c r="F237" s="10"/>
      <c r="G237" s="10"/>
      <c r="H237" s="33"/>
      <c r="I237" s="33"/>
      <c r="J237" s="33"/>
      <c r="K237" s="33"/>
      <c r="L237" s="33"/>
      <c r="M237" s="33"/>
      <c r="N237" s="33"/>
      <c r="O237" s="9"/>
      <c r="P237" s="9"/>
      <c r="Q237" s="8"/>
      <c r="R237" s="8"/>
      <c r="S237" s="12"/>
      <c r="T237" s="32"/>
      <c r="U237" s="32"/>
      <c r="V237" s="32"/>
      <c r="W237" s="32"/>
      <c r="X237" s="8"/>
      <c r="Y237" s="32"/>
      <c r="Z237" s="8"/>
      <c r="AA237" s="8"/>
    </row>
    <row r="238" spans="1:27" s="52" customFormat="1" x14ac:dyDescent="0.25">
      <c r="A238" s="8"/>
      <c r="B238" s="9"/>
      <c r="C238" s="2"/>
      <c r="D238" s="11"/>
      <c r="E238" s="9"/>
      <c r="F238" s="10"/>
      <c r="G238" s="10"/>
      <c r="H238" s="33"/>
      <c r="I238" s="33"/>
      <c r="J238" s="33"/>
      <c r="K238" s="33"/>
      <c r="L238" s="33"/>
      <c r="M238" s="33"/>
      <c r="N238" s="33"/>
      <c r="O238" s="9"/>
      <c r="P238" s="9"/>
      <c r="Q238" s="8"/>
      <c r="R238" s="8"/>
      <c r="S238" s="12"/>
      <c r="T238" s="32"/>
      <c r="U238" s="32"/>
      <c r="V238" s="32"/>
      <c r="W238" s="32"/>
      <c r="X238" s="8"/>
      <c r="Y238" s="32"/>
      <c r="Z238" s="8"/>
      <c r="AA238" s="8"/>
    </row>
    <row r="239" spans="1:27" s="52" customFormat="1" x14ac:dyDescent="0.25">
      <c r="A239" s="8"/>
      <c r="B239" s="9"/>
      <c r="C239" s="2"/>
      <c r="D239" s="11"/>
      <c r="E239" s="9"/>
      <c r="F239" s="10"/>
      <c r="G239" s="10"/>
      <c r="H239" s="33"/>
      <c r="I239" s="33"/>
      <c r="J239" s="33"/>
      <c r="K239" s="33"/>
      <c r="L239" s="33"/>
      <c r="M239" s="33"/>
      <c r="N239" s="33"/>
      <c r="O239" s="9"/>
      <c r="P239" s="9"/>
      <c r="Q239" s="8"/>
      <c r="R239" s="8"/>
      <c r="S239" s="12"/>
      <c r="T239" s="32"/>
      <c r="U239" s="32"/>
      <c r="V239" s="32"/>
      <c r="W239" s="32"/>
      <c r="X239" s="8"/>
      <c r="Y239" s="32"/>
      <c r="Z239" s="8"/>
      <c r="AA239" s="8"/>
    </row>
    <row r="240" spans="1:27" s="52" customFormat="1" x14ac:dyDescent="0.25">
      <c r="A240" s="8"/>
      <c r="B240" s="9"/>
      <c r="C240" s="2"/>
      <c r="D240" s="11"/>
      <c r="E240" s="9"/>
      <c r="F240" s="10"/>
      <c r="G240" s="10"/>
      <c r="H240" s="33"/>
      <c r="I240" s="33"/>
      <c r="J240" s="33"/>
      <c r="K240" s="33"/>
      <c r="L240" s="33"/>
      <c r="M240" s="33"/>
      <c r="N240" s="33"/>
      <c r="O240" s="9"/>
      <c r="P240" s="9"/>
      <c r="Q240" s="8"/>
      <c r="R240" s="8"/>
      <c r="S240" s="12"/>
      <c r="T240" s="32"/>
      <c r="U240" s="32"/>
      <c r="V240" s="32"/>
      <c r="W240" s="32"/>
      <c r="X240" s="8"/>
      <c r="Y240" s="32"/>
      <c r="Z240" s="8"/>
      <c r="AA240" s="8"/>
    </row>
    <row r="241" spans="1:27" s="52" customFormat="1" x14ac:dyDescent="0.25">
      <c r="A241" s="8"/>
      <c r="B241" s="9"/>
      <c r="C241" s="2"/>
      <c r="D241" s="11"/>
      <c r="E241" s="9"/>
      <c r="F241" s="10"/>
      <c r="G241" s="10"/>
      <c r="H241" s="33"/>
      <c r="I241" s="33"/>
      <c r="J241" s="33"/>
      <c r="K241" s="33"/>
      <c r="L241" s="33"/>
      <c r="M241" s="33"/>
      <c r="N241" s="33"/>
      <c r="O241" s="9"/>
      <c r="P241" s="9"/>
      <c r="Q241" s="8"/>
      <c r="R241" s="8"/>
      <c r="S241" s="12"/>
      <c r="T241" s="32"/>
      <c r="U241" s="32"/>
      <c r="V241" s="32"/>
      <c r="W241" s="32"/>
      <c r="X241" s="8"/>
      <c r="Y241" s="32"/>
      <c r="Z241" s="8"/>
      <c r="AA241" s="8"/>
    </row>
    <row r="242" spans="1:27" s="52" customFormat="1" x14ac:dyDescent="0.25">
      <c r="A242" s="8"/>
      <c r="B242" s="9"/>
      <c r="C242" s="2"/>
      <c r="D242" s="11"/>
      <c r="E242" s="9"/>
      <c r="F242" s="10"/>
      <c r="G242" s="10"/>
      <c r="H242" s="33"/>
      <c r="I242" s="33"/>
      <c r="J242" s="33"/>
      <c r="K242" s="33"/>
      <c r="L242" s="33"/>
      <c r="M242" s="33"/>
      <c r="N242" s="33"/>
      <c r="O242" s="9"/>
      <c r="P242" s="9"/>
      <c r="Q242" s="8"/>
      <c r="R242" s="8"/>
      <c r="S242" s="12"/>
      <c r="T242" s="32"/>
      <c r="U242" s="32"/>
      <c r="V242" s="32"/>
      <c r="W242" s="32"/>
      <c r="X242" s="8"/>
      <c r="Y242" s="32"/>
      <c r="Z242" s="8"/>
      <c r="AA242" s="8"/>
    </row>
    <row r="243" spans="1:27" s="52" customFormat="1" x14ac:dyDescent="0.25">
      <c r="A243" s="8"/>
      <c r="B243" s="9"/>
      <c r="C243" s="2"/>
      <c r="D243" s="11"/>
      <c r="E243" s="9"/>
      <c r="F243" s="10"/>
      <c r="G243" s="10"/>
      <c r="H243" s="33"/>
      <c r="I243" s="33"/>
      <c r="J243" s="33"/>
      <c r="K243" s="33"/>
      <c r="L243" s="33"/>
      <c r="M243" s="33"/>
      <c r="N243" s="33"/>
      <c r="O243" s="9"/>
      <c r="P243" s="9"/>
      <c r="Q243" s="8"/>
      <c r="R243" s="8"/>
      <c r="S243" s="12"/>
      <c r="T243" s="32"/>
      <c r="U243" s="32"/>
      <c r="V243" s="32"/>
      <c r="W243" s="32"/>
      <c r="X243" s="8"/>
      <c r="Y243" s="32"/>
      <c r="Z243" s="8"/>
      <c r="AA243" s="8"/>
    </row>
    <row r="244" spans="1:27" s="52" customFormat="1" x14ac:dyDescent="0.25">
      <c r="A244" s="8"/>
      <c r="B244" s="9"/>
      <c r="C244" s="2"/>
      <c r="D244" s="11"/>
      <c r="E244" s="9"/>
      <c r="F244" s="10"/>
      <c r="G244" s="10"/>
      <c r="H244" s="33"/>
      <c r="I244" s="33"/>
      <c r="J244" s="33"/>
      <c r="K244" s="33"/>
      <c r="L244" s="33"/>
      <c r="M244" s="33"/>
      <c r="N244" s="33"/>
      <c r="O244" s="9"/>
      <c r="P244" s="9"/>
      <c r="Q244" s="8"/>
      <c r="R244" s="8"/>
      <c r="S244" s="12"/>
      <c r="T244" s="32"/>
      <c r="U244" s="32"/>
      <c r="V244" s="32"/>
      <c r="W244" s="32"/>
      <c r="X244" s="8"/>
      <c r="Y244" s="32"/>
      <c r="Z244" s="8"/>
      <c r="AA244" s="8"/>
    </row>
    <row r="245" spans="1:27" s="52" customFormat="1" x14ac:dyDescent="0.25">
      <c r="A245" s="8"/>
      <c r="B245" s="9"/>
      <c r="C245" s="2"/>
      <c r="D245" s="11"/>
      <c r="E245" s="9"/>
      <c r="F245" s="10"/>
      <c r="G245" s="10"/>
      <c r="H245" s="33"/>
      <c r="I245" s="33"/>
      <c r="J245" s="33"/>
      <c r="K245" s="33"/>
      <c r="L245" s="33"/>
      <c r="M245" s="33"/>
      <c r="N245" s="33"/>
      <c r="O245" s="9"/>
      <c r="P245" s="9"/>
      <c r="Q245" s="8"/>
      <c r="R245" s="8"/>
      <c r="S245" s="12"/>
      <c r="T245" s="32"/>
      <c r="U245" s="32"/>
      <c r="V245" s="32"/>
      <c r="W245" s="32"/>
      <c r="X245" s="8"/>
      <c r="Y245" s="32"/>
      <c r="Z245" s="8"/>
      <c r="AA245" s="8"/>
    </row>
    <row r="246" spans="1:27" s="83" customFormat="1" x14ac:dyDescent="0.25">
      <c r="A246" s="8"/>
      <c r="B246" s="9"/>
      <c r="C246" s="2"/>
      <c r="D246" s="11"/>
      <c r="E246" s="9"/>
      <c r="F246" s="10"/>
      <c r="G246" s="10"/>
      <c r="H246" s="33"/>
      <c r="I246" s="33"/>
      <c r="J246" s="33"/>
      <c r="K246" s="33"/>
      <c r="L246" s="33"/>
      <c r="M246" s="33"/>
      <c r="N246" s="33"/>
      <c r="O246" s="9"/>
      <c r="P246" s="9"/>
      <c r="Q246" s="8"/>
      <c r="R246" s="8"/>
      <c r="S246" s="12"/>
      <c r="T246" s="32"/>
      <c r="U246" s="32"/>
      <c r="V246" s="32"/>
      <c r="W246" s="32"/>
      <c r="X246" s="8"/>
      <c r="Y246" s="32"/>
      <c r="Z246" s="8"/>
      <c r="AA246" s="8"/>
    </row>
    <row r="247" spans="1:27" s="52" customFormat="1" x14ac:dyDescent="0.25">
      <c r="A247" s="8"/>
      <c r="B247" s="9"/>
      <c r="C247" s="2"/>
      <c r="D247" s="11"/>
      <c r="E247" s="9"/>
      <c r="F247" s="10"/>
      <c r="G247" s="10"/>
      <c r="H247" s="33"/>
      <c r="I247" s="33"/>
      <c r="J247" s="33"/>
      <c r="K247" s="33"/>
      <c r="L247" s="33"/>
      <c r="M247" s="33"/>
      <c r="N247" s="33"/>
      <c r="O247" s="9"/>
      <c r="P247" s="9"/>
      <c r="Q247" s="8"/>
      <c r="R247" s="8"/>
      <c r="S247" s="12"/>
      <c r="T247" s="32"/>
      <c r="U247" s="32"/>
      <c r="V247" s="32"/>
      <c r="W247" s="32"/>
      <c r="X247" s="8"/>
      <c r="Y247" s="32"/>
      <c r="Z247" s="8"/>
      <c r="AA247" s="8"/>
    </row>
    <row r="248" spans="1:27" s="52" customFormat="1" x14ac:dyDescent="0.25">
      <c r="A248" s="8"/>
      <c r="B248" s="9"/>
      <c r="C248" s="2"/>
      <c r="D248" s="11"/>
      <c r="E248" s="9"/>
      <c r="F248" s="10"/>
      <c r="G248" s="10"/>
      <c r="H248" s="33"/>
      <c r="I248" s="33"/>
      <c r="J248" s="33"/>
      <c r="K248" s="33"/>
      <c r="L248" s="33"/>
      <c r="M248" s="33"/>
      <c r="N248" s="33"/>
      <c r="O248" s="9"/>
      <c r="P248" s="9"/>
      <c r="Q248" s="8"/>
      <c r="R248" s="8"/>
      <c r="S248" s="12"/>
      <c r="T248" s="32"/>
      <c r="U248" s="32"/>
      <c r="V248" s="32"/>
      <c r="W248" s="32"/>
      <c r="X248" s="8"/>
      <c r="Y248" s="32"/>
      <c r="Z248" s="8"/>
      <c r="AA248" s="8"/>
    </row>
    <row r="249" spans="1:27" s="52" customFormat="1" x14ac:dyDescent="0.25">
      <c r="A249" s="8"/>
      <c r="B249" s="9"/>
      <c r="C249" s="2"/>
      <c r="D249" s="11"/>
      <c r="E249" s="9"/>
      <c r="F249" s="10"/>
      <c r="G249" s="10"/>
      <c r="H249" s="33"/>
      <c r="I249" s="33"/>
      <c r="J249" s="33"/>
      <c r="K249" s="33"/>
      <c r="L249" s="33"/>
      <c r="M249" s="33"/>
      <c r="N249" s="33"/>
      <c r="O249" s="9"/>
      <c r="P249" s="9"/>
      <c r="Q249" s="8"/>
      <c r="R249" s="8"/>
      <c r="S249" s="12"/>
      <c r="T249" s="32"/>
      <c r="U249" s="32"/>
      <c r="V249" s="32"/>
      <c r="W249" s="32"/>
      <c r="X249" s="8"/>
      <c r="Y249" s="32"/>
      <c r="Z249" s="8"/>
      <c r="AA249" s="8"/>
    </row>
    <row r="250" spans="1:27" s="52" customFormat="1" x14ac:dyDescent="0.25">
      <c r="A250" s="8"/>
      <c r="B250" s="9"/>
      <c r="C250" s="2"/>
      <c r="D250" s="11"/>
      <c r="E250" s="9"/>
      <c r="F250" s="10"/>
      <c r="G250" s="10"/>
      <c r="H250" s="33"/>
      <c r="I250" s="33"/>
      <c r="J250" s="33"/>
      <c r="K250" s="33"/>
      <c r="L250" s="33"/>
      <c r="M250" s="33"/>
      <c r="N250" s="33"/>
      <c r="O250" s="9"/>
      <c r="P250" s="9"/>
      <c r="Q250" s="8"/>
      <c r="R250" s="8"/>
      <c r="S250" s="12"/>
      <c r="T250" s="32"/>
      <c r="U250" s="32"/>
      <c r="V250" s="32"/>
      <c r="W250" s="32"/>
      <c r="X250" s="8"/>
      <c r="Y250" s="32"/>
      <c r="Z250" s="8"/>
      <c r="AA250" s="8"/>
    </row>
    <row r="251" spans="1:27" s="52" customFormat="1" x14ac:dyDescent="0.25">
      <c r="A251" s="8"/>
      <c r="B251" s="9"/>
      <c r="C251" s="2"/>
      <c r="D251" s="11"/>
      <c r="E251" s="9"/>
      <c r="F251" s="10"/>
      <c r="G251" s="10"/>
      <c r="H251" s="33"/>
      <c r="I251" s="33"/>
      <c r="J251" s="33"/>
      <c r="K251" s="33"/>
      <c r="L251" s="33"/>
      <c r="M251" s="33"/>
      <c r="N251" s="33"/>
      <c r="O251" s="9"/>
      <c r="P251" s="9"/>
      <c r="Q251" s="8"/>
      <c r="R251" s="8"/>
      <c r="S251" s="12"/>
      <c r="T251" s="32"/>
      <c r="U251" s="32"/>
      <c r="V251" s="32"/>
      <c r="W251" s="32"/>
      <c r="X251" s="8"/>
      <c r="Y251" s="32"/>
      <c r="Z251" s="8"/>
      <c r="AA251" s="8"/>
    </row>
    <row r="252" spans="1:27" s="52" customFormat="1" x14ac:dyDescent="0.25">
      <c r="A252" s="8"/>
      <c r="B252" s="9"/>
      <c r="C252" s="2"/>
      <c r="D252" s="11"/>
      <c r="E252" s="9"/>
      <c r="F252" s="10"/>
      <c r="G252" s="10"/>
      <c r="H252" s="33"/>
      <c r="I252" s="33"/>
      <c r="J252" s="33"/>
      <c r="K252" s="33"/>
      <c r="L252" s="33"/>
      <c r="M252" s="33"/>
      <c r="N252" s="33"/>
      <c r="O252" s="9"/>
      <c r="P252" s="9"/>
      <c r="Q252" s="8"/>
      <c r="R252" s="8"/>
      <c r="S252" s="12"/>
      <c r="T252" s="32"/>
      <c r="U252" s="32"/>
      <c r="V252" s="32"/>
      <c r="W252" s="32"/>
      <c r="X252" s="8"/>
      <c r="Y252" s="32"/>
      <c r="Z252" s="8"/>
      <c r="AA252" s="8"/>
    </row>
    <row r="253" spans="1:27" s="52" customFormat="1" x14ac:dyDescent="0.25">
      <c r="A253" s="8"/>
      <c r="B253" s="9"/>
      <c r="C253" s="2"/>
      <c r="D253" s="11"/>
      <c r="E253" s="9"/>
      <c r="F253" s="10"/>
      <c r="G253" s="10"/>
      <c r="H253" s="33"/>
      <c r="I253" s="33"/>
      <c r="J253" s="33"/>
      <c r="K253" s="33"/>
      <c r="L253" s="33"/>
      <c r="M253" s="33"/>
      <c r="N253" s="33"/>
      <c r="O253" s="9"/>
      <c r="P253" s="9"/>
      <c r="Q253" s="8"/>
      <c r="R253" s="8"/>
      <c r="S253" s="12"/>
      <c r="T253" s="32"/>
      <c r="U253" s="32"/>
      <c r="V253" s="32"/>
      <c r="W253" s="32"/>
      <c r="X253" s="8"/>
      <c r="Y253" s="32"/>
      <c r="Z253" s="8"/>
      <c r="AA253" s="8"/>
    </row>
    <row r="254" spans="1:27" s="52" customFormat="1" x14ac:dyDescent="0.25">
      <c r="A254" s="8"/>
      <c r="B254" s="9"/>
      <c r="C254" s="2"/>
      <c r="D254" s="11"/>
      <c r="E254" s="9"/>
      <c r="F254" s="10"/>
      <c r="G254" s="10"/>
      <c r="H254" s="33"/>
      <c r="I254" s="33"/>
      <c r="J254" s="33"/>
      <c r="K254" s="33"/>
      <c r="L254" s="33"/>
      <c r="M254" s="33"/>
      <c r="N254" s="33"/>
      <c r="O254" s="9"/>
      <c r="P254" s="9"/>
      <c r="Q254" s="8"/>
      <c r="R254" s="8"/>
      <c r="S254" s="12"/>
      <c r="T254" s="32"/>
      <c r="U254" s="32"/>
      <c r="V254" s="32"/>
      <c r="W254" s="32"/>
      <c r="X254" s="8"/>
      <c r="Y254" s="32"/>
      <c r="Z254" s="8"/>
      <c r="AA254" s="8"/>
    </row>
    <row r="255" spans="1:27" s="52" customFormat="1" x14ac:dyDescent="0.25">
      <c r="A255" s="8"/>
      <c r="B255" s="9"/>
      <c r="C255" s="2"/>
      <c r="D255" s="11"/>
      <c r="E255" s="9"/>
      <c r="F255" s="10"/>
      <c r="G255" s="10"/>
      <c r="H255" s="33"/>
      <c r="I255" s="33"/>
      <c r="J255" s="33"/>
      <c r="K255" s="33"/>
      <c r="L255" s="33"/>
      <c r="M255" s="33"/>
      <c r="N255" s="33"/>
      <c r="O255" s="9"/>
      <c r="P255" s="9"/>
      <c r="Q255" s="8"/>
      <c r="R255" s="8"/>
      <c r="S255" s="12"/>
      <c r="T255" s="32"/>
      <c r="U255" s="32"/>
      <c r="V255" s="32"/>
      <c r="W255" s="32"/>
      <c r="X255" s="8"/>
      <c r="Y255" s="32"/>
      <c r="Z255" s="8"/>
      <c r="AA255" s="8"/>
    </row>
    <row r="256" spans="1:27" s="52" customFormat="1" x14ac:dyDescent="0.25">
      <c r="A256" s="8"/>
      <c r="B256" s="9"/>
      <c r="C256" s="2"/>
      <c r="D256" s="11"/>
      <c r="E256" s="9"/>
      <c r="F256" s="10"/>
      <c r="G256" s="10"/>
      <c r="H256" s="33"/>
      <c r="I256" s="33"/>
      <c r="J256" s="33"/>
      <c r="K256" s="33"/>
      <c r="L256" s="33"/>
      <c r="M256" s="33"/>
      <c r="N256" s="33"/>
      <c r="O256" s="9"/>
      <c r="P256" s="9"/>
      <c r="Q256" s="8"/>
      <c r="R256" s="8"/>
      <c r="S256" s="12"/>
      <c r="T256" s="32"/>
      <c r="U256" s="32"/>
      <c r="V256" s="32"/>
      <c r="W256" s="32"/>
      <c r="X256" s="8"/>
      <c r="Y256" s="32"/>
      <c r="Z256" s="8"/>
      <c r="AA256" s="8"/>
    </row>
    <row r="257" spans="1:27" s="52" customFormat="1" x14ac:dyDescent="0.25">
      <c r="A257" s="8"/>
      <c r="B257" s="9"/>
      <c r="C257" s="2"/>
      <c r="D257" s="11"/>
      <c r="E257" s="9"/>
      <c r="F257" s="10"/>
      <c r="G257" s="10"/>
      <c r="H257" s="33"/>
      <c r="I257" s="33"/>
      <c r="J257" s="33"/>
      <c r="K257" s="33"/>
      <c r="L257" s="33"/>
      <c r="M257" s="33"/>
      <c r="N257" s="33"/>
      <c r="O257" s="9"/>
      <c r="P257" s="9"/>
      <c r="Q257" s="8"/>
      <c r="R257" s="8"/>
      <c r="S257" s="12"/>
      <c r="T257" s="32"/>
      <c r="U257" s="32"/>
      <c r="V257" s="32"/>
      <c r="W257" s="32"/>
      <c r="X257" s="8"/>
      <c r="Y257" s="32"/>
      <c r="Z257" s="8"/>
      <c r="AA257" s="8"/>
    </row>
    <row r="258" spans="1:27" s="52" customFormat="1" x14ac:dyDescent="0.25">
      <c r="A258" s="8"/>
      <c r="B258" s="9"/>
      <c r="C258" s="2"/>
      <c r="D258" s="11"/>
      <c r="E258" s="9"/>
      <c r="F258" s="10"/>
      <c r="G258" s="10"/>
      <c r="H258" s="33"/>
      <c r="I258" s="33"/>
      <c r="J258" s="33"/>
      <c r="K258" s="33"/>
      <c r="L258" s="33"/>
      <c r="M258" s="33"/>
      <c r="N258" s="33"/>
      <c r="O258" s="9"/>
      <c r="P258" s="9"/>
      <c r="Q258" s="8"/>
      <c r="R258" s="8"/>
      <c r="S258" s="12"/>
      <c r="T258" s="32"/>
      <c r="U258" s="32"/>
      <c r="V258" s="32"/>
      <c r="W258" s="32"/>
      <c r="X258" s="8"/>
      <c r="Y258" s="32"/>
      <c r="Z258" s="8"/>
      <c r="AA258" s="8"/>
    </row>
    <row r="259" spans="1:27" s="52" customFormat="1" x14ac:dyDescent="0.25">
      <c r="A259" s="8"/>
      <c r="B259" s="9"/>
      <c r="C259" s="2"/>
      <c r="D259" s="11"/>
      <c r="E259" s="9"/>
      <c r="F259" s="10"/>
      <c r="G259" s="10"/>
      <c r="H259" s="33"/>
      <c r="I259" s="33"/>
      <c r="J259" s="33"/>
      <c r="K259" s="33"/>
      <c r="L259" s="33"/>
      <c r="M259" s="33"/>
      <c r="N259" s="33"/>
      <c r="O259" s="9"/>
      <c r="P259" s="9"/>
      <c r="Q259" s="8"/>
      <c r="R259" s="8"/>
      <c r="S259" s="12"/>
      <c r="T259" s="32"/>
      <c r="U259" s="32"/>
      <c r="V259" s="32"/>
      <c r="W259" s="32"/>
      <c r="X259" s="8"/>
      <c r="Y259" s="32"/>
      <c r="Z259" s="8"/>
      <c r="AA259" s="8"/>
    </row>
    <row r="260" spans="1:27" s="52" customFormat="1" x14ac:dyDescent="0.25">
      <c r="A260" s="8"/>
      <c r="B260" s="9"/>
      <c r="C260" s="2"/>
      <c r="D260" s="11"/>
      <c r="E260" s="9"/>
      <c r="F260" s="10"/>
      <c r="G260" s="10"/>
      <c r="H260" s="33"/>
      <c r="I260" s="33"/>
      <c r="J260" s="33"/>
      <c r="K260" s="33"/>
      <c r="L260" s="33"/>
      <c r="M260" s="33"/>
      <c r="N260" s="33"/>
      <c r="O260" s="9"/>
      <c r="P260" s="9"/>
      <c r="Q260" s="8"/>
      <c r="R260" s="8"/>
      <c r="S260" s="12"/>
      <c r="T260" s="32"/>
      <c r="U260" s="32"/>
      <c r="V260" s="32"/>
      <c r="W260" s="32"/>
      <c r="X260" s="8"/>
      <c r="Y260" s="32"/>
      <c r="Z260" s="8"/>
      <c r="AA260" s="8"/>
    </row>
    <row r="261" spans="1:27" s="52" customFormat="1" x14ac:dyDescent="0.25">
      <c r="A261" s="8"/>
      <c r="B261" s="9"/>
      <c r="C261" s="2"/>
      <c r="D261" s="11"/>
      <c r="E261" s="9"/>
      <c r="F261" s="10"/>
      <c r="G261" s="10"/>
      <c r="H261" s="33"/>
      <c r="I261" s="33"/>
      <c r="J261" s="33"/>
      <c r="K261" s="33"/>
      <c r="L261" s="33"/>
      <c r="M261" s="33"/>
      <c r="N261" s="33"/>
      <c r="O261" s="9"/>
      <c r="P261" s="9"/>
      <c r="Q261" s="8"/>
      <c r="R261" s="8"/>
      <c r="S261" s="12"/>
      <c r="T261" s="32"/>
      <c r="U261" s="32"/>
      <c r="V261" s="32"/>
      <c r="W261" s="32"/>
      <c r="X261" s="8"/>
      <c r="Y261" s="32"/>
      <c r="Z261" s="8"/>
      <c r="AA261" s="8"/>
    </row>
    <row r="262" spans="1:27" s="52" customFormat="1" x14ac:dyDescent="0.25">
      <c r="A262" s="8"/>
      <c r="B262" s="9"/>
      <c r="C262" s="2"/>
      <c r="D262" s="11"/>
      <c r="E262" s="9"/>
      <c r="F262" s="10"/>
      <c r="G262" s="10"/>
      <c r="H262" s="33"/>
      <c r="I262" s="33"/>
      <c r="J262" s="33"/>
      <c r="K262" s="33"/>
      <c r="L262" s="33"/>
      <c r="M262" s="33"/>
      <c r="N262" s="33"/>
      <c r="O262" s="9"/>
      <c r="P262" s="9"/>
      <c r="Q262" s="8"/>
      <c r="R262" s="8"/>
      <c r="S262" s="12"/>
      <c r="T262" s="32"/>
      <c r="U262" s="32"/>
      <c r="V262" s="32"/>
      <c r="W262" s="32"/>
      <c r="X262" s="8"/>
      <c r="Y262" s="32"/>
      <c r="Z262" s="8"/>
      <c r="AA262" s="8"/>
    </row>
    <row r="263" spans="1:27" s="52" customFormat="1" x14ac:dyDescent="0.25">
      <c r="A263" s="8"/>
      <c r="B263" s="9"/>
      <c r="C263" s="2"/>
      <c r="D263" s="11"/>
      <c r="E263" s="9"/>
      <c r="F263" s="10"/>
      <c r="G263" s="10"/>
      <c r="H263" s="33"/>
      <c r="I263" s="33"/>
      <c r="J263" s="33"/>
      <c r="K263" s="33"/>
      <c r="L263" s="33"/>
      <c r="M263" s="33"/>
      <c r="N263" s="33"/>
      <c r="O263" s="9"/>
      <c r="P263" s="9"/>
      <c r="Q263" s="8"/>
      <c r="R263" s="8"/>
      <c r="S263" s="12"/>
      <c r="T263" s="32"/>
      <c r="U263" s="32"/>
      <c r="V263" s="32"/>
      <c r="W263" s="32"/>
      <c r="X263" s="8"/>
      <c r="Y263" s="32"/>
      <c r="Z263" s="8"/>
      <c r="AA263" s="8"/>
    </row>
    <row r="264" spans="1:27" s="52" customFormat="1" x14ac:dyDescent="0.25">
      <c r="A264" s="8"/>
      <c r="B264" s="9"/>
      <c r="C264" s="2"/>
      <c r="D264" s="11"/>
      <c r="E264" s="9"/>
      <c r="F264" s="10"/>
      <c r="G264" s="10"/>
      <c r="H264" s="33"/>
      <c r="I264" s="33"/>
      <c r="J264" s="33"/>
      <c r="K264" s="33"/>
      <c r="L264" s="33"/>
      <c r="M264" s="33"/>
      <c r="N264" s="33"/>
      <c r="O264" s="9"/>
      <c r="P264" s="9"/>
      <c r="Q264" s="8"/>
      <c r="R264" s="8"/>
      <c r="S264" s="12"/>
      <c r="T264" s="32"/>
      <c r="U264" s="32"/>
      <c r="V264" s="32"/>
      <c r="W264" s="32"/>
      <c r="X264" s="8"/>
      <c r="Y264" s="32"/>
      <c r="Z264" s="8"/>
      <c r="AA264" s="8"/>
    </row>
    <row r="265" spans="1:27" s="52" customFormat="1" x14ac:dyDescent="0.25">
      <c r="A265" s="8"/>
      <c r="B265" s="9"/>
      <c r="C265" s="2"/>
      <c r="D265" s="11"/>
      <c r="E265" s="9"/>
      <c r="F265" s="10"/>
      <c r="G265" s="10"/>
      <c r="H265" s="33"/>
      <c r="I265" s="33"/>
      <c r="J265" s="33"/>
      <c r="K265" s="33"/>
      <c r="L265" s="33"/>
      <c r="M265" s="33"/>
      <c r="N265" s="33"/>
      <c r="O265" s="9"/>
      <c r="P265" s="9"/>
      <c r="Q265" s="8"/>
      <c r="R265" s="8"/>
      <c r="S265" s="12"/>
      <c r="T265" s="32"/>
      <c r="U265" s="32"/>
      <c r="V265" s="32"/>
      <c r="W265" s="32"/>
      <c r="X265" s="8"/>
      <c r="Y265" s="32"/>
      <c r="Z265" s="8"/>
      <c r="AA265" s="8"/>
    </row>
    <row r="266" spans="1:27" s="52" customFormat="1" x14ac:dyDescent="0.25">
      <c r="A266" s="8"/>
      <c r="B266" s="9"/>
      <c r="C266" s="2"/>
      <c r="D266" s="11"/>
      <c r="E266" s="9"/>
      <c r="F266" s="10"/>
      <c r="G266" s="10"/>
      <c r="H266" s="33"/>
      <c r="I266" s="33"/>
      <c r="J266" s="33"/>
      <c r="K266" s="33"/>
      <c r="L266" s="33"/>
      <c r="M266" s="33"/>
      <c r="N266" s="33"/>
      <c r="O266" s="9"/>
      <c r="P266" s="9"/>
      <c r="Q266" s="8"/>
      <c r="R266" s="8"/>
      <c r="S266" s="12"/>
      <c r="T266" s="32"/>
      <c r="U266" s="32"/>
      <c r="V266" s="32"/>
      <c r="W266" s="32"/>
      <c r="X266" s="8"/>
      <c r="Y266" s="32"/>
      <c r="Z266" s="8"/>
      <c r="AA266" s="8"/>
    </row>
    <row r="267" spans="1:27" s="52" customFormat="1" x14ac:dyDescent="0.25">
      <c r="A267" s="8"/>
      <c r="B267" s="9"/>
      <c r="C267" s="2"/>
      <c r="D267" s="11"/>
      <c r="E267" s="9"/>
      <c r="F267" s="10"/>
      <c r="G267" s="10"/>
      <c r="H267" s="33"/>
      <c r="I267" s="33"/>
      <c r="J267" s="33"/>
      <c r="K267" s="33"/>
      <c r="L267" s="33"/>
      <c r="M267" s="33"/>
      <c r="N267" s="33"/>
      <c r="O267" s="9"/>
      <c r="P267" s="9"/>
      <c r="Q267" s="8"/>
      <c r="R267" s="8"/>
      <c r="S267" s="12"/>
      <c r="T267" s="32"/>
      <c r="U267" s="32"/>
      <c r="V267" s="32"/>
      <c r="W267" s="32"/>
      <c r="X267" s="8"/>
      <c r="Y267" s="32"/>
      <c r="Z267" s="8"/>
      <c r="AA267" s="8"/>
    </row>
    <row r="268" spans="1:27" s="52" customFormat="1" x14ac:dyDescent="0.25">
      <c r="A268" s="8"/>
      <c r="B268" s="9"/>
      <c r="C268" s="2"/>
      <c r="D268" s="11"/>
      <c r="E268" s="9"/>
      <c r="F268" s="10"/>
      <c r="G268" s="10"/>
      <c r="H268" s="33"/>
      <c r="I268" s="33"/>
      <c r="J268" s="33"/>
      <c r="K268" s="33"/>
      <c r="L268" s="33"/>
      <c r="M268" s="33"/>
      <c r="N268" s="33"/>
      <c r="O268" s="9"/>
      <c r="P268" s="9"/>
      <c r="Q268" s="8"/>
      <c r="R268" s="8"/>
      <c r="S268" s="12"/>
      <c r="T268" s="32"/>
      <c r="U268" s="32"/>
      <c r="V268" s="32"/>
      <c r="W268" s="32"/>
      <c r="X268" s="8"/>
      <c r="Y268" s="32"/>
      <c r="Z268" s="8"/>
      <c r="AA268" s="8"/>
    </row>
    <row r="269" spans="1:27" s="52" customFormat="1" x14ac:dyDescent="0.25">
      <c r="A269" s="8"/>
      <c r="B269" s="9"/>
      <c r="C269" s="2"/>
      <c r="D269" s="11"/>
      <c r="E269" s="9"/>
      <c r="F269" s="10"/>
      <c r="G269" s="10"/>
      <c r="H269" s="33"/>
      <c r="I269" s="33"/>
      <c r="J269" s="33"/>
      <c r="K269" s="33"/>
      <c r="L269" s="33"/>
      <c r="M269" s="33"/>
      <c r="N269" s="33"/>
      <c r="O269" s="9"/>
      <c r="P269" s="9"/>
      <c r="Q269" s="8"/>
      <c r="R269" s="8"/>
      <c r="S269" s="12"/>
      <c r="T269" s="32"/>
      <c r="U269" s="32"/>
      <c r="V269" s="32"/>
      <c r="W269" s="32"/>
      <c r="X269" s="8"/>
      <c r="Y269" s="32"/>
      <c r="Z269" s="8"/>
      <c r="AA269" s="8"/>
    </row>
    <row r="270" spans="1:27" s="52" customFormat="1" x14ac:dyDescent="0.25">
      <c r="A270" s="8"/>
      <c r="B270" s="9"/>
      <c r="C270" s="2"/>
      <c r="D270" s="11"/>
      <c r="E270" s="9"/>
      <c r="F270" s="10"/>
      <c r="G270" s="10"/>
      <c r="H270" s="33"/>
      <c r="I270" s="33"/>
      <c r="J270" s="33"/>
      <c r="K270" s="33"/>
      <c r="L270" s="33"/>
      <c r="M270" s="33"/>
      <c r="N270" s="33"/>
      <c r="O270" s="9"/>
      <c r="P270" s="9"/>
      <c r="Q270" s="8"/>
      <c r="R270" s="8"/>
      <c r="S270" s="12"/>
      <c r="T270" s="32"/>
      <c r="U270" s="32"/>
      <c r="V270" s="32"/>
      <c r="W270" s="32"/>
      <c r="X270" s="8"/>
      <c r="Y270" s="32"/>
      <c r="Z270" s="8"/>
      <c r="AA270" s="8"/>
    </row>
    <row r="271" spans="1:27" s="52" customFormat="1" x14ac:dyDescent="0.25">
      <c r="A271" s="8"/>
      <c r="B271" s="9"/>
      <c r="C271" s="2"/>
      <c r="D271" s="11"/>
      <c r="E271" s="9"/>
      <c r="F271" s="10"/>
      <c r="G271" s="10"/>
      <c r="H271" s="33"/>
      <c r="I271" s="33"/>
      <c r="J271" s="33"/>
      <c r="K271" s="33"/>
      <c r="L271" s="33"/>
      <c r="M271" s="33"/>
      <c r="N271" s="33"/>
      <c r="O271" s="9"/>
      <c r="P271" s="9"/>
      <c r="Q271" s="8"/>
      <c r="R271" s="8"/>
      <c r="S271" s="12"/>
      <c r="T271" s="32"/>
      <c r="U271" s="32"/>
      <c r="V271" s="32"/>
      <c r="W271" s="32"/>
      <c r="X271" s="8"/>
      <c r="Y271" s="32"/>
      <c r="Z271" s="8"/>
      <c r="AA271" s="8"/>
    </row>
    <row r="272" spans="1:27" s="52" customFormat="1" x14ac:dyDescent="0.25">
      <c r="A272" s="8"/>
      <c r="B272" s="9"/>
      <c r="C272" s="2"/>
      <c r="D272" s="11"/>
      <c r="E272" s="9"/>
      <c r="F272" s="10"/>
      <c r="G272" s="10"/>
      <c r="H272" s="33"/>
      <c r="I272" s="33"/>
      <c r="J272" s="33"/>
      <c r="K272" s="33"/>
      <c r="L272" s="33"/>
      <c r="M272" s="33"/>
      <c r="N272" s="33"/>
      <c r="O272" s="9"/>
      <c r="P272" s="9"/>
      <c r="Q272" s="8"/>
      <c r="R272" s="8"/>
      <c r="S272" s="12"/>
      <c r="T272" s="32"/>
      <c r="U272" s="32"/>
      <c r="V272" s="32"/>
      <c r="W272" s="32"/>
      <c r="X272" s="8"/>
      <c r="Y272" s="32"/>
      <c r="Z272" s="8"/>
      <c r="AA272" s="8"/>
    </row>
    <row r="273" spans="1:27" s="52" customFormat="1" x14ac:dyDescent="0.25">
      <c r="A273" s="8"/>
      <c r="B273" s="9"/>
      <c r="C273" s="2"/>
      <c r="D273" s="11"/>
      <c r="E273" s="9"/>
      <c r="F273" s="10"/>
      <c r="G273" s="10"/>
      <c r="H273" s="33"/>
      <c r="I273" s="33"/>
      <c r="J273" s="33"/>
      <c r="K273" s="33"/>
      <c r="L273" s="33"/>
      <c r="M273" s="33"/>
      <c r="N273" s="33"/>
      <c r="O273" s="9"/>
      <c r="P273" s="9"/>
      <c r="Q273" s="8"/>
      <c r="R273" s="8"/>
      <c r="S273" s="12"/>
      <c r="T273" s="32"/>
      <c r="U273" s="32"/>
      <c r="V273" s="32"/>
      <c r="W273" s="32"/>
      <c r="X273" s="8"/>
      <c r="Y273" s="32"/>
      <c r="Z273" s="8"/>
      <c r="AA273" s="8"/>
    </row>
    <row r="274" spans="1:27" s="52" customFormat="1" x14ac:dyDescent="0.25">
      <c r="A274" s="8"/>
      <c r="B274" s="9"/>
      <c r="C274" s="2"/>
      <c r="D274" s="11"/>
      <c r="E274" s="9"/>
      <c r="F274" s="10"/>
      <c r="G274" s="10"/>
      <c r="H274" s="33"/>
      <c r="I274" s="33"/>
      <c r="J274" s="33"/>
      <c r="K274" s="33"/>
      <c r="L274" s="33"/>
      <c r="M274" s="33"/>
      <c r="N274" s="33"/>
      <c r="O274" s="9"/>
      <c r="P274" s="9"/>
      <c r="Q274" s="8"/>
      <c r="R274" s="8"/>
      <c r="S274" s="12"/>
      <c r="T274" s="32"/>
      <c r="U274" s="32"/>
      <c r="V274" s="32"/>
      <c r="W274" s="32"/>
      <c r="X274" s="8"/>
      <c r="Y274" s="32"/>
      <c r="Z274" s="8"/>
      <c r="AA274" s="8"/>
    </row>
    <row r="275" spans="1:27" s="52" customFormat="1" x14ac:dyDescent="0.25">
      <c r="A275" s="8"/>
      <c r="B275" s="9"/>
      <c r="C275" s="2"/>
      <c r="D275" s="11"/>
      <c r="E275" s="9"/>
      <c r="F275" s="10"/>
      <c r="G275" s="10"/>
      <c r="H275" s="33"/>
      <c r="I275" s="33"/>
      <c r="J275" s="33"/>
      <c r="K275" s="33"/>
      <c r="L275" s="33"/>
      <c r="M275" s="33"/>
      <c r="N275" s="33"/>
      <c r="O275" s="9"/>
      <c r="P275" s="9"/>
      <c r="Q275" s="8"/>
      <c r="R275" s="8"/>
      <c r="S275" s="12"/>
      <c r="T275" s="32"/>
      <c r="U275" s="32"/>
      <c r="V275" s="32"/>
      <c r="W275" s="32"/>
      <c r="X275" s="8"/>
      <c r="Y275" s="32"/>
      <c r="Z275" s="8"/>
      <c r="AA275" s="8"/>
    </row>
    <row r="276" spans="1:27" s="52" customFormat="1" x14ac:dyDescent="0.25">
      <c r="A276" s="8"/>
      <c r="B276" s="9"/>
      <c r="C276" s="2"/>
      <c r="D276" s="11"/>
      <c r="E276" s="9"/>
      <c r="F276" s="10"/>
      <c r="G276" s="10"/>
      <c r="H276" s="33"/>
      <c r="I276" s="33"/>
      <c r="J276" s="33"/>
      <c r="K276" s="33"/>
      <c r="L276" s="33"/>
      <c r="M276" s="33"/>
      <c r="N276" s="33"/>
      <c r="O276" s="9"/>
      <c r="P276" s="9"/>
      <c r="Q276" s="8"/>
      <c r="R276" s="8"/>
      <c r="S276" s="12"/>
      <c r="T276" s="32"/>
      <c r="U276" s="32"/>
      <c r="V276" s="32"/>
      <c r="W276" s="32"/>
      <c r="X276" s="8"/>
      <c r="Y276" s="32"/>
      <c r="Z276" s="8"/>
      <c r="AA276" s="8"/>
    </row>
    <row r="277" spans="1:27" s="52" customFormat="1" x14ac:dyDescent="0.25">
      <c r="A277" s="8"/>
      <c r="B277" s="9"/>
      <c r="C277" s="2"/>
      <c r="D277" s="11"/>
      <c r="E277" s="9"/>
      <c r="F277" s="10"/>
      <c r="G277" s="10"/>
      <c r="H277" s="33"/>
      <c r="I277" s="33"/>
      <c r="J277" s="33"/>
      <c r="K277" s="33"/>
      <c r="L277" s="33"/>
      <c r="M277" s="33"/>
      <c r="N277" s="33"/>
      <c r="O277" s="9"/>
      <c r="P277" s="9"/>
      <c r="Q277" s="8"/>
      <c r="R277" s="8"/>
      <c r="S277" s="12"/>
      <c r="T277" s="32"/>
      <c r="U277" s="32"/>
      <c r="V277" s="32"/>
      <c r="W277" s="32"/>
      <c r="X277" s="8"/>
      <c r="Y277" s="32"/>
      <c r="Z277" s="8"/>
      <c r="AA277" s="8"/>
    </row>
    <row r="278" spans="1:27" s="52" customFormat="1" x14ac:dyDescent="0.25">
      <c r="A278" s="8"/>
      <c r="B278" s="9"/>
      <c r="C278" s="2"/>
      <c r="D278" s="11"/>
      <c r="E278" s="9"/>
      <c r="F278" s="10"/>
      <c r="G278" s="10"/>
      <c r="H278" s="33"/>
      <c r="I278" s="33"/>
      <c r="J278" s="33"/>
      <c r="K278" s="33"/>
      <c r="L278" s="33"/>
      <c r="M278" s="33"/>
      <c r="N278" s="33"/>
      <c r="O278" s="9"/>
      <c r="P278" s="9"/>
      <c r="Q278" s="8"/>
      <c r="R278" s="8"/>
      <c r="S278" s="12"/>
      <c r="T278" s="32"/>
      <c r="U278" s="32"/>
      <c r="V278" s="32"/>
      <c r="W278" s="32"/>
      <c r="X278" s="8"/>
      <c r="Y278" s="32"/>
      <c r="Z278" s="8"/>
      <c r="AA278" s="8"/>
    </row>
    <row r="279" spans="1:27" s="52" customFormat="1" x14ac:dyDescent="0.25">
      <c r="A279" s="8"/>
      <c r="B279" s="9"/>
      <c r="C279" s="2"/>
      <c r="D279" s="11"/>
      <c r="E279" s="9"/>
      <c r="F279" s="10"/>
      <c r="G279" s="10"/>
      <c r="H279" s="33"/>
      <c r="I279" s="33"/>
      <c r="J279" s="33"/>
      <c r="K279" s="33"/>
      <c r="L279" s="33"/>
      <c r="M279" s="33"/>
      <c r="N279" s="33"/>
      <c r="O279" s="9"/>
      <c r="P279" s="9"/>
      <c r="Q279" s="8"/>
      <c r="R279" s="8"/>
      <c r="S279" s="12"/>
      <c r="T279" s="32"/>
      <c r="U279" s="32"/>
      <c r="V279" s="32"/>
      <c r="W279" s="32"/>
      <c r="X279" s="8"/>
      <c r="Y279" s="32"/>
      <c r="Z279" s="8"/>
      <c r="AA279" s="8"/>
    </row>
    <row r="280" spans="1:27" s="52" customFormat="1" x14ac:dyDescent="0.25">
      <c r="A280" s="8"/>
      <c r="B280" s="9"/>
      <c r="C280" s="2"/>
      <c r="D280" s="11"/>
      <c r="E280" s="9"/>
      <c r="F280" s="10"/>
      <c r="G280" s="10"/>
      <c r="H280" s="33"/>
      <c r="I280" s="33"/>
      <c r="J280" s="33"/>
      <c r="K280" s="33"/>
      <c r="L280" s="33"/>
      <c r="M280" s="33"/>
      <c r="N280" s="33"/>
      <c r="O280" s="9"/>
      <c r="P280" s="9"/>
      <c r="Q280" s="8"/>
      <c r="R280" s="8"/>
      <c r="S280" s="12"/>
      <c r="T280" s="32"/>
      <c r="U280" s="32"/>
      <c r="V280" s="32"/>
      <c r="W280" s="32"/>
      <c r="X280" s="8"/>
      <c r="Y280" s="32"/>
      <c r="Z280" s="8"/>
      <c r="AA280" s="8"/>
    </row>
    <row r="281" spans="1:27" s="52" customFormat="1" x14ac:dyDescent="0.25">
      <c r="A281" s="8"/>
      <c r="B281" s="9"/>
      <c r="C281" s="2"/>
      <c r="D281" s="11"/>
      <c r="E281" s="9"/>
      <c r="F281" s="10"/>
      <c r="G281" s="10"/>
      <c r="H281" s="33"/>
      <c r="I281" s="33"/>
      <c r="J281" s="33"/>
      <c r="K281" s="33"/>
      <c r="L281" s="33"/>
      <c r="M281" s="33"/>
      <c r="N281" s="33"/>
      <c r="O281" s="9"/>
      <c r="P281" s="9"/>
      <c r="Q281" s="8"/>
      <c r="R281" s="8"/>
      <c r="S281" s="12"/>
      <c r="T281" s="32"/>
      <c r="U281" s="32"/>
      <c r="V281" s="32"/>
      <c r="W281" s="32"/>
      <c r="X281" s="8"/>
      <c r="Y281" s="32"/>
      <c r="Z281" s="8"/>
      <c r="AA281" s="8"/>
    </row>
    <row r="282" spans="1:27" s="52" customFormat="1" x14ac:dyDescent="0.25">
      <c r="A282" s="8"/>
      <c r="B282" s="9"/>
      <c r="C282" s="2"/>
      <c r="D282" s="11"/>
      <c r="E282" s="9"/>
      <c r="F282" s="10"/>
      <c r="G282" s="10"/>
      <c r="H282" s="33"/>
      <c r="I282" s="33"/>
      <c r="J282" s="33"/>
      <c r="K282" s="33"/>
      <c r="L282" s="33"/>
      <c r="M282" s="33"/>
      <c r="N282" s="33"/>
      <c r="O282" s="9"/>
      <c r="P282" s="9"/>
      <c r="Q282" s="8"/>
      <c r="R282" s="8"/>
      <c r="S282" s="12"/>
      <c r="T282" s="32"/>
      <c r="U282" s="32"/>
      <c r="V282" s="32"/>
      <c r="W282" s="32"/>
      <c r="X282" s="8"/>
      <c r="Y282" s="32"/>
      <c r="Z282" s="8"/>
      <c r="AA282" s="8"/>
    </row>
    <row r="283" spans="1:27" s="52" customFormat="1" x14ac:dyDescent="0.25">
      <c r="A283" s="8"/>
      <c r="B283" s="9"/>
      <c r="C283" s="2"/>
      <c r="D283" s="11"/>
      <c r="E283" s="9"/>
      <c r="F283" s="10"/>
      <c r="G283" s="10"/>
      <c r="H283" s="33"/>
      <c r="I283" s="33"/>
      <c r="J283" s="33"/>
      <c r="K283" s="33"/>
      <c r="L283" s="33"/>
      <c r="M283" s="33"/>
      <c r="N283" s="33"/>
      <c r="O283" s="9"/>
      <c r="P283" s="9"/>
      <c r="Q283" s="8"/>
      <c r="R283" s="8"/>
      <c r="S283" s="12"/>
      <c r="T283" s="32"/>
      <c r="U283" s="32"/>
      <c r="V283" s="32"/>
      <c r="W283" s="32"/>
      <c r="X283" s="8"/>
      <c r="Y283" s="32"/>
      <c r="Z283" s="8"/>
      <c r="AA283" s="8"/>
    </row>
    <row r="284" spans="1:27" s="52" customFormat="1" x14ac:dyDescent="0.25">
      <c r="A284" s="8"/>
      <c r="B284" s="9"/>
      <c r="C284" s="2"/>
      <c r="D284" s="11"/>
      <c r="E284" s="9"/>
      <c r="F284" s="10"/>
      <c r="G284" s="10"/>
      <c r="H284" s="33"/>
      <c r="I284" s="33"/>
      <c r="J284" s="33"/>
      <c r="K284" s="33"/>
      <c r="L284" s="33"/>
      <c r="M284" s="33"/>
      <c r="N284" s="33"/>
      <c r="O284" s="9"/>
      <c r="P284" s="9"/>
      <c r="Q284" s="8"/>
      <c r="R284" s="8"/>
      <c r="S284" s="12"/>
      <c r="T284" s="32"/>
      <c r="U284" s="32"/>
      <c r="V284" s="32"/>
      <c r="W284" s="32"/>
      <c r="X284" s="8"/>
      <c r="Y284" s="32"/>
      <c r="Z284" s="8"/>
      <c r="AA284" s="8"/>
    </row>
    <row r="285" spans="1:27" s="52" customFormat="1" x14ac:dyDescent="0.25">
      <c r="A285" s="8"/>
      <c r="B285" s="9"/>
      <c r="C285" s="2"/>
      <c r="D285" s="11"/>
      <c r="E285" s="9"/>
      <c r="F285" s="10"/>
      <c r="G285" s="10"/>
      <c r="H285" s="33"/>
      <c r="I285" s="33"/>
      <c r="J285" s="33"/>
      <c r="K285" s="33"/>
      <c r="L285" s="33"/>
      <c r="M285" s="33"/>
      <c r="N285" s="33"/>
      <c r="O285" s="9"/>
      <c r="P285" s="9"/>
      <c r="Q285" s="8"/>
      <c r="R285" s="8"/>
      <c r="S285" s="12"/>
      <c r="T285" s="32"/>
      <c r="U285" s="32"/>
      <c r="V285" s="32"/>
      <c r="W285" s="32"/>
      <c r="X285" s="8"/>
      <c r="Y285" s="32"/>
      <c r="Z285" s="8"/>
      <c r="AA285" s="8"/>
    </row>
    <row r="286" spans="1:27" s="52" customFormat="1" x14ac:dyDescent="0.25">
      <c r="A286" s="8"/>
      <c r="B286" s="9"/>
      <c r="C286" s="2"/>
      <c r="D286" s="11"/>
      <c r="E286" s="9"/>
      <c r="F286" s="10"/>
      <c r="G286" s="10"/>
      <c r="H286" s="33"/>
      <c r="I286" s="33"/>
      <c r="J286" s="33"/>
      <c r="K286" s="33"/>
      <c r="L286" s="33"/>
      <c r="M286" s="33"/>
      <c r="N286" s="33"/>
      <c r="O286" s="9"/>
      <c r="P286" s="9"/>
      <c r="Q286" s="8"/>
      <c r="R286" s="8"/>
      <c r="S286" s="12"/>
      <c r="T286" s="32"/>
      <c r="U286" s="32"/>
      <c r="V286" s="32"/>
      <c r="W286" s="32"/>
      <c r="X286" s="8"/>
      <c r="Y286" s="32"/>
      <c r="Z286" s="8"/>
      <c r="AA286" s="8"/>
    </row>
    <row r="287" spans="1:27" s="52" customFormat="1" x14ac:dyDescent="0.25">
      <c r="A287" s="8"/>
      <c r="B287" s="9"/>
      <c r="C287" s="2"/>
      <c r="D287" s="11"/>
      <c r="E287" s="9"/>
      <c r="F287" s="10"/>
      <c r="G287" s="10"/>
      <c r="H287" s="33"/>
      <c r="I287" s="33"/>
      <c r="J287" s="33"/>
      <c r="K287" s="33"/>
      <c r="L287" s="33"/>
      <c r="M287" s="33"/>
      <c r="N287" s="33"/>
      <c r="O287" s="9"/>
      <c r="P287" s="9"/>
      <c r="Q287" s="8"/>
      <c r="R287" s="8"/>
      <c r="S287" s="12"/>
      <c r="T287" s="32"/>
      <c r="U287" s="32"/>
      <c r="V287" s="32"/>
      <c r="W287" s="32"/>
      <c r="X287" s="8"/>
      <c r="Y287" s="32"/>
      <c r="Z287" s="8"/>
      <c r="AA287" s="8"/>
    </row>
    <row r="288" spans="1:27" s="76" customFormat="1" ht="15.75" customHeight="1" x14ac:dyDescent="0.25">
      <c r="A288" s="8"/>
      <c r="B288" s="9"/>
      <c r="C288" s="2"/>
      <c r="D288" s="11"/>
      <c r="E288" s="9"/>
      <c r="F288" s="10"/>
      <c r="G288" s="10"/>
      <c r="H288" s="33"/>
      <c r="I288" s="33"/>
      <c r="J288" s="33"/>
      <c r="K288" s="33"/>
      <c r="L288" s="33"/>
      <c r="M288" s="33"/>
      <c r="N288" s="33"/>
      <c r="O288" s="9"/>
      <c r="P288" s="9"/>
      <c r="Q288" s="8"/>
      <c r="R288" s="8"/>
      <c r="S288" s="12"/>
      <c r="T288" s="32"/>
      <c r="U288" s="32"/>
      <c r="V288" s="32"/>
      <c r="W288" s="32"/>
      <c r="X288" s="8"/>
      <c r="Y288" s="32"/>
      <c r="Z288" s="8"/>
      <c r="AA288" s="8"/>
    </row>
    <row r="289" spans="1:27" s="76" customFormat="1" ht="14.65" customHeight="1" x14ac:dyDescent="0.25">
      <c r="A289" s="8"/>
      <c r="B289" s="9"/>
      <c r="C289" s="2"/>
      <c r="D289" s="11"/>
      <c r="E289" s="9"/>
      <c r="F289" s="10"/>
      <c r="G289" s="10"/>
      <c r="H289" s="33"/>
      <c r="I289" s="33"/>
      <c r="J289" s="33"/>
      <c r="K289" s="33"/>
      <c r="L289" s="33"/>
      <c r="M289" s="33"/>
      <c r="N289" s="33"/>
      <c r="O289" s="9"/>
      <c r="P289" s="9"/>
      <c r="Q289" s="8"/>
      <c r="R289" s="8"/>
      <c r="S289" s="12"/>
      <c r="T289" s="32"/>
      <c r="U289" s="32"/>
      <c r="V289" s="32"/>
      <c r="W289" s="32"/>
      <c r="X289" s="8"/>
      <c r="Y289" s="32"/>
      <c r="Z289" s="8"/>
      <c r="AA289" s="8"/>
    </row>
    <row r="290" spans="1:27" s="76" customFormat="1" ht="15.75" customHeight="1" x14ac:dyDescent="0.25">
      <c r="A290" s="8"/>
      <c r="B290" s="9"/>
      <c r="C290" s="2"/>
      <c r="D290" s="11"/>
      <c r="E290" s="9"/>
      <c r="F290" s="10"/>
      <c r="G290" s="10"/>
      <c r="H290" s="33"/>
      <c r="I290" s="33"/>
      <c r="J290" s="33"/>
      <c r="K290" s="33"/>
      <c r="L290" s="33"/>
      <c r="M290" s="33"/>
      <c r="N290" s="33"/>
      <c r="O290" s="9"/>
      <c r="P290" s="9"/>
      <c r="Q290" s="8"/>
      <c r="R290" s="8"/>
      <c r="S290" s="12"/>
      <c r="T290" s="32"/>
      <c r="U290" s="32"/>
      <c r="V290" s="32"/>
      <c r="W290" s="32"/>
      <c r="X290" s="8"/>
      <c r="Y290" s="32"/>
      <c r="Z290" s="8"/>
      <c r="AA290" s="8"/>
    </row>
    <row r="291" spans="1:27" s="76" customFormat="1" ht="15.75" customHeight="1" x14ac:dyDescent="0.25">
      <c r="A291" s="8"/>
      <c r="B291" s="9"/>
      <c r="C291" s="2"/>
      <c r="D291" s="11"/>
      <c r="E291" s="9"/>
      <c r="F291" s="10"/>
      <c r="G291" s="10"/>
      <c r="H291" s="33"/>
      <c r="I291" s="33"/>
      <c r="J291" s="33"/>
      <c r="K291" s="33"/>
      <c r="L291" s="33"/>
      <c r="M291" s="33"/>
      <c r="N291" s="33"/>
      <c r="O291" s="9"/>
      <c r="P291" s="9"/>
      <c r="Q291" s="8"/>
      <c r="R291" s="8"/>
      <c r="S291" s="12"/>
      <c r="T291" s="32"/>
      <c r="U291" s="32"/>
      <c r="V291" s="32"/>
      <c r="W291" s="32"/>
      <c r="X291" s="8"/>
      <c r="Y291" s="32"/>
      <c r="Z291" s="8"/>
      <c r="AA291" s="8"/>
    </row>
    <row r="292" spans="1:27" s="76" customFormat="1" ht="15.75" customHeight="1" x14ac:dyDescent="0.25">
      <c r="A292" s="8"/>
      <c r="B292" s="9"/>
      <c r="C292" s="2"/>
      <c r="D292" s="11"/>
      <c r="E292" s="9"/>
      <c r="F292" s="10"/>
      <c r="G292" s="10"/>
      <c r="H292" s="33"/>
      <c r="I292" s="33"/>
      <c r="J292" s="33"/>
      <c r="K292" s="33"/>
      <c r="L292" s="33"/>
      <c r="M292" s="33"/>
      <c r="N292" s="33"/>
      <c r="O292" s="9"/>
      <c r="P292" s="9"/>
      <c r="Q292" s="8"/>
      <c r="R292" s="8"/>
      <c r="S292" s="12"/>
      <c r="T292" s="32"/>
      <c r="U292" s="32"/>
      <c r="V292" s="32"/>
      <c r="W292" s="32"/>
      <c r="X292" s="8"/>
      <c r="Y292" s="32"/>
      <c r="Z292" s="8"/>
      <c r="AA292" s="8"/>
    </row>
    <row r="293" spans="1:27" s="76" customFormat="1" ht="15.75" customHeight="1" x14ac:dyDescent="0.25">
      <c r="A293" s="8"/>
      <c r="B293" s="9"/>
      <c r="C293" s="2"/>
      <c r="D293" s="11"/>
      <c r="E293" s="9"/>
      <c r="F293" s="10"/>
      <c r="G293" s="10"/>
      <c r="H293" s="33"/>
      <c r="I293" s="33"/>
      <c r="J293" s="33"/>
      <c r="K293" s="33"/>
      <c r="L293" s="33"/>
      <c r="M293" s="33"/>
      <c r="N293" s="33"/>
      <c r="O293" s="9"/>
      <c r="P293" s="9"/>
      <c r="Q293" s="8"/>
      <c r="R293" s="8"/>
      <c r="S293" s="12"/>
      <c r="T293" s="32"/>
      <c r="U293" s="32"/>
      <c r="V293" s="32"/>
      <c r="W293" s="32"/>
      <c r="X293" s="8"/>
      <c r="Y293" s="32"/>
      <c r="Z293" s="8"/>
      <c r="AA293" s="8"/>
    </row>
    <row r="294" spans="1:27" s="76" customFormat="1" ht="15.75" customHeight="1" x14ac:dyDescent="0.25">
      <c r="A294" s="8"/>
      <c r="B294" s="9"/>
      <c r="C294" s="2"/>
      <c r="D294" s="11"/>
      <c r="E294" s="9"/>
      <c r="F294" s="10"/>
      <c r="G294" s="10"/>
      <c r="H294" s="33"/>
      <c r="I294" s="33"/>
      <c r="J294" s="33"/>
      <c r="K294" s="33"/>
      <c r="L294" s="33"/>
      <c r="M294" s="33"/>
      <c r="N294" s="33"/>
      <c r="O294" s="9"/>
      <c r="P294" s="9"/>
      <c r="Q294" s="8"/>
      <c r="R294" s="8"/>
      <c r="S294" s="12"/>
      <c r="T294" s="32"/>
      <c r="U294" s="32"/>
      <c r="V294" s="32"/>
      <c r="W294" s="32"/>
      <c r="X294" s="8"/>
      <c r="Y294" s="32"/>
      <c r="Z294" s="8"/>
      <c r="AA294" s="8"/>
    </row>
    <row r="295" spans="1:27" s="76" customFormat="1" ht="15.75" customHeight="1" x14ac:dyDescent="0.25">
      <c r="A295" s="8"/>
      <c r="B295" s="9"/>
      <c r="C295" s="2"/>
      <c r="D295" s="11"/>
      <c r="E295" s="9"/>
      <c r="F295" s="10"/>
      <c r="G295" s="10"/>
      <c r="H295" s="33"/>
      <c r="I295" s="33"/>
      <c r="J295" s="33"/>
      <c r="K295" s="33"/>
      <c r="L295" s="33"/>
      <c r="M295" s="33"/>
      <c r="N295" s="33"/>
      <c r="O295" s="9"/>
      <c r="P295" s="9"/>
      <c r="Q295" s="8"/>
      <c r="R295" s="8"/>
      <c r="S295" s="12"/>
      <c r="T295" s="32"/>
      <c r="U295" s="32"/>
      <c r="V295" s="32"/>
      <c r="W295" s="32"/>
      <c r="X295" s="8"/>
      <c r="Y295" s="32"/>
      <c r="Z295" s="8"/>
      <c r="AA295" s="8"/>
    </row>
    <row r="296" spans="1:27" s="76" customFormat="1" ht="15.75" customHeight="1" x14ac:dyDescent="0.25">
      <c r="A296" s="8"/>
      <c r="B296" s="9"/>
      <c r="C296" s="2"/>
      <c r="D296" s="11"/>
      <c r="E296" s="9"/>
      <c r="F296" s="10"/>
      <c r="G296" s="10"/>
      <c r="H296" s="33"/>
      <c r="I296" s="33"/>
      <c r="J296" s="33"/>
      <c r="K296" s="33"/>
      <c r="L296" s="33"/>
      <c r="M296" s="33"/>
      <c r="N296" s="33"/>
      <c r="O296" s="9"/>
      <c r="P296" s="9"/>
      <c r="Q296" s="8"/>
      <c r="R296" s="8"/>
      <c r="S296" s="12"/>
      <c r="T296" s="32"/>
      <c r="U296" s="32"/>
      <c r="V296" s="32"/>
      <c r="W296" s="32"/>
      <c r="X296" s="8"/>
      <c r="Y296" s="32"/>
      <c r="Z296" s="8"/>
      <c r="AA296" s="8"/>
    </row>
    <row r="297" spans="1:27" s="76" customFormat="1" ht="15.75" customHeight="1" x14ac:dyDescent="0.25">
      <c r="A297" s="8"/>
      <c r="B297" s="9"/>
      <c r="C297" s="2"/>
      <c r="D297" s="11"/>
      <c r="E297" s="9"/>
      <c r="F297" s="10"/>
      <c r="G297" s="10"/>
      <c r="H297" s="33"/>
      <c r="I297" s="33"/>
      <c r="J297" s="33"/>
      <c r="K297" s="33"/>
      <c r="L297" s="33"/>
      <c r="M297" s="33"/>
      <c r="N297" s="33"/>
      <c r="O297" s="9"/>
      <c r="P297" s="9"/>
      <c r="Q297" s="8"/>
      <c r="R297" s="8"/>
      <c r="S297" s="12"/>
      <c r="T297" s="32"/>
      <c r="U297" s="32"/>
      <c r="V297" s="32"/>
      <c r="W297" s="32"/>
      <c r="X297" s="8"/>
      <c r="Y297" s="32"/>
      <c r="Z297" s="8"/>
      <c r="AA297" s="8"/>
    </row>
    <row r="298" spans="1:27" s="76" customFormat="1" ht="15.75" customHeight="1" x14ac:dyDescent="0.25">
      <c r="A298" s="8"/>
      <c r="B298" s="9"/>
      <c r="C298" s="2"/>
      <c r="D298" s="11"/>
      <c r="E298" s="9"/>
      <c r="F298" s="10"/>
      <c r="G298" s="10"/>
      <c r="H298" s="33"/>
      <c r="I298" s="33"/>
      <c r="J298" s="33"/>
      <c r="K298" s="33"/>
      <c r="L298" s="33"/>
      <c r="M298" s="33"/>
      <c r="N298" s="33"/>
      <c r="O298" s="9"/>
      <c r="P298" s="9"/>
      <c r="Q298" s="8"/>
      <c r="R298" s="8"/>
      <c r="S298" s="12"/>
      <c r="T298" s="32"/>
      <c r="U298" s="32"/>
      <c r="V298" s="32"/>
      <c r="W298" s="32"/>
      <c r="X298" s="8"/>
      <c r="Y298" s="32"/>
      <c r="Z298" s="8"/>
      <c r="AA298" s="8"/>
    </row>
    <row r="299" spans="1:27" s="76" customFormat="1" ht="15.75" customHeight="1" x14ac:dyDescent="0.25">
      <c r="A299" s="8"/>
      <c r="B299" s="9"/>
      <c r="C299" s="2"/>
      <c r="D299" s="11"/>
      <c r="E299" s="9"/>
      <c r="F299" s="10"/>
      <c r="G299" s="10"/>
      <c r="H299" s="33"/>
      <c r="I299" s="33"/>
      <c r="J299" s="33"/>
      <c r="K299" s="33"/>
      <c r="L299" s="33"/>
      <c r="M299" s="33"/>
      <c r="N299" s="33"/>
      <c r="O299" s="9"/>
      <c r="P299" s="9"/>
      <c r="Q299" s="8"/>
      <c r="R299" s="8"/>
      <c r="S299" s="12"/>
      <c r="T299" s="32"/>
      <c r="U299" s="32"/>
      <c r="V299" s="32"/>
      <c r="W299" s="32"/>
      <c r="X299" s="8"/>
      <c r="Y299" s="32"/>
      <c r="Z299" s="8"/>
      <c r="AA299" s="8"/>
    </row>
    <row r="300" spans="1:27" s="76" customFormat="1" ht="15.75" customHeight="1" x14ac:dyDescent="0.25">
      <c r="A300" s="8"/>
      <c r="B300" s="9"/>
      <c r="C300" s="2"/>
      <c r="D300" s="11"/>
      <c r="E300" s="9"/>
      <c r="F300" s="10"/>
      <c r="G300" s="10"/>
      <c r="H300" s="33"/>
      <c r="I300" s="33"/>
      <c r="J300" s="33"/>
      <c r="K300" s="33"/>
      <c r="L300" s="33"/>
      <c r="M300" s="33"/>
      <c r="N300" s="33"/>
      <c r="O300" s="9"/>
      <c r="P300" s="9"/>
      <c r="Q300" s="8"/>
      <c r="R300" s="8"/>
      <c r="S300" s="12"/>
      <c r="T300" s="32"/>
      <c r="U300" s="32"/>
      <c r="V300" s="32"/>
      <c r="W300" s="32"/>
      <c r="X300" s="8"/>
      <c r="Y300" s="32"/>
      <c r="Z300" s="8"/>
      <c r="AA300" s="8"/>
    </row>
    <row r="301" spans="1:27" s="76" customFormat="1" ht="15.75" customHeight="1" x14ac:dyDescent="0.25">
      <c r="A301" s="8"/>
      <c r="B301" s="9"/>
      <c r="C301" s="2"/>
      <c r="D301" s="11"/>
      <c r="E301" s="9"/>
      <c r="F301" s="10"/>
      <c r="G301" s="10"/>
      <c r="H301" s="33"/>
      <c r="I301" s="33"/>
      <c r="J301" s="33"/>
      <c r="K301" s="33"/>
      <c r="L301" s="33"/>
      <c r="M301" s="33"/>
      <c r="N301" s="33"/>
      <c r="O301" s="9"/>
      <c r="P301" s="9"/>
      <c r="Q301" s="8"/>
      <c r="R301" s="8"/>
      <c r="S301" s="12"/>
      <c r="T301" s="32"/>
      <c r="U301" s="32"/>
      <c r="V301" s="32"/>
      <c r="W301" s="32"/>
      <c r="X301" s="8"/>
      <c r="Y301" s="32"/>
      <c r="Z301" s="8"/>
      <c r="AA301" s="8"/>
    </row>
    <row r="302" spans="1:27" s="52" customFormat="1" x14ac:dyDescent="0.25">
      <c r="A302" s="8"/>
      <c r="B302" s="9"/>
      <c r="C302" s="2"/>
      <c r="D302" s="11"/>
      <c r="E302" s="9"/>
      <c r="F302" s="10"/>
      <c r="G302" s="10"/>
      <c r="H302" s="33"/>
      <c r="I302" s="33"/>
      <c r="J302" s="33"/>
      <c r="K302" s="33"/>
      <c r="L302" s="33"/>
      <c r="M302" s="33"/>
      <c r="N302" s="33"/>
      <c r="O302" s="9"/>
      <c r="P302" s="9"/>
      <c r="Q302" s="8"/>
      <c r="R302" s="8"/>
      <c r="S302" s="12"/>
      <c r="T302" s="32"/>
      <c r="U302" s="32"/>
      <c r="V302" s="32"/>
      <c r="W302" s="32"/>
      <c r="X302" s="8"/>
      <c r="Y302" s="32"/>
      <c r="Z302" s="8"/>
      <c r="AA302" s="8"/>
    </row>
    <row r="303" spans="1:27" s="52" customFormat="1" x14ac:dyDescent="0.25">
      <c r="A303" s="8"/>
      <c r="B303" s="9"/>
      <c r="C303" s="2"/>
      <c r="D303" s="11"/>
      <c r="E303" s="9"/>
      <c r="F303" s="10"/>
      <c r="G303" s="10"/>
      <c r="H303" s="33"/>
      <c r="I303" s="33"/>
      <c r="J303" s="33"/>
      <c r="K303" s="33"/>
      <c r="L303" s="33"/>
      <c r="M303" s="33"/>
      <c r="N303" s="33"/>
      <c r="O303" s="9"/>
      <c r="P303" s="9"/>
      <c r="Q303" s="8"/>
      <c r="R303" s="8"/>
      <c r="S303" s="12"/>
      <c r="T303" s="32"/>
      <c r="U303" s="32"/>
      <c r="V303" s="32"/>
      <c r="W303" s="32"/>
      <c r="X303" s="8"/>
      <c r="Y303" s="32"/>
      <c r="Z303" s="8"/>
      <c r="AA303" s="8"/>
    </row>
    <row r="304" spans="1:27" s="52" customFormat="1" x14ac:dyDescent="0.25">
      <c r="A304" s="8"/>
      <c r="B304" s="9"/>
      <c r="C304" s="2"/>
      <c r="D304" s="11"/>
      <c r="E304" s="9"/>
      <c r="F304" s="10"/>
      <c r="G304" s="10"/>
      <c r="H304" s="33"/>
      <c r="I304" s="33"/>
      <c r="J304" s="33"/>
      <c r="K304" s="33"/>
      <c r="L304" s="33"/>
      <c r="M304" s="33"/>
      <c r="N304" s="33"/>
      <c r="O304" s="9"/>
      <c r="P304" s="9"/>
      <c r="Q304" s="8"/>
      <c r="R304" s="8"/>
      <c r="S304" s="12"/>
      <c r="T304" s="32"/>
      <c r="U304" s="32"/>
      <c r="V304" s="32"/>
      <c r="W304" s="32"/>
      <c r="X304" s="8"/>
      <c r="Y304" s="32"/>
      <c r="Z304" s="8"/>
      <c r="AA304" s="8"/>
    </row>
    <row r="305" spans="1:27" s="52" customFormat="1" x14ac:dyDescent="0.25">
      <c r="A305" s="8"/>
      <c r="B305" s="9"/>
      <c r="C305" s="2"/>
      <c r="D305" s="11"/>
      <c r="E305" s="9"/>
      <c r="F305" s="10"/>
      <c r="G305" s="10"/>
      <c r="H305" s="33"/>
      <c r="I305" s="33"/>
      <c r="J305" s="33"/>
      <c r="K305" s="33"/>
      <c r="L305" s="33"/>
      <c r="M305" s="33"/>
      <c r="N305" s="33"/>
      <c r="O305" s="9"/>
      <c r="P305" s="9"/>
      <c r="Q305" s="8"/>
      <c r="R305" s="8"/>
      <c r="S305" s="12"/>
      <c r="T305" s="32"/>
      <c r="U305" s="32"/>
      <c r="V305" s="32"/>
      <c r="W305" s="32"/>
      <c r="X305" s="8"/>
      <c r="Y305" s="32"/>
      <c r="Z305" s="8"/>
      <c r="AA305" s="8"/>
    </row>
    <row r="306" spans="1:27" s="52" customFormat="1" x14ac:dyDescent="0.25">
      <c r="A306" s="8"/>
      <c r="B306" s="9"/>
      <c r="C306" s="2"/>
      <c r="D306" s="11"/>
      <c r="E306" s="9"/>
      <c r="F306" s="10"/>
      <c r="G306" s="10"/>
      <c r="H306" s="33"/>
      <c r="I306" s="33"/>
      <c r="J306" s="33"/>
      <c r="K306" s="33"/>
      <c r="L306" s="33"/>
      <c r="M306" s="33"/>
      <c r="N306" s="33"/>
      <c r="O306" s="9"/>
      <c r="P306" s="9"/>
      <c r="Q306" s="8"/>
      <c r="R306" s="8"/>
      <c r="S306" s="12"/>
      <c r="T306" s="32"/>
      <c r="U306" s="32"/>
      <c r="V306" s="32"/>
      <c r="W306" s="32"/>
      <c r="X306" s="8"/>
      <c r="Y306" s="32"/>
      <c r="Z306" s="8"/>
      <c r="AA306" s="8"/>
    </row>
    <row r="307" spans="1:27" s="52" customFormat="1" x14ac:dyDescent="0.25">
      <c r="A307" s="8"/>
      <c r="B307" s="9"/>
      <c r="C307" s="2"/>
      <c r="D307" s="11"/>
      <c r="E307" s="9"/>
      <c r="F307" s="10"/>
      <c r="G307" s="10"/>
      <c r="H307" s="33"/>
      <c r="I307" s="33"/>
      <c r="J307" s="33"/>
      <c r="K307" s="33"/>
      <c r="L307" s="33"/>
      <c r="M307" s="33"/>
      <c r="N307" s="33"/>
      <c r="O307" s="9"/>
      <c r="P307" s="9"/>
      <c r="Q307" s="8"/>
      <c r="R307" s="8"/>
      <c r="S307" s="12"/>
      <c r="T307" s="32"/>
      <c r="U307" s="32"/>
      <c r="V307" s="32"/>
      <c r="W307" s="32"/>
      <c r="X307" s="8"/>
      <c r="Y307" s="32"/>
      <c r="Z307" s="8"/>
      <c r="AA307" s="8"/>
    </row>
    <row r="308" spans="1:27" s="52" customFormat="1" x14ac:dyDescent="0.25">
      <c r="A308" s="8"/>
      <c r="B308" s="9"/>
      <c r="C308" s="2"/>
      <c r="D308" s="11"/>
      <c r="E308" s="9"/>
      <c r="F308" s="10"/>
      <c r="G308" s="10"/>
      <c r="H308" s="33"/>
      <c r="I308" s="33"/>
      <c r="J308" s="33"/>
      <c r="K308" s="33"/>
      <c r="L308" s="33"/>
      <c r="M308" s="33"/>
      <c r="N308" s="33"/>
      <c r="O308" s="9"/>
      <c r="P308" s="9"/>
      <c r="Q308" s="8"/>
      <c r="R308" s="8"/>
      <c r="S308" s="12"/>
      <c r="T308" s="32"/>
      <c r="U308" s="32"/>
      <c r="V308" s="32"/>
      <c r="W308" s="32"/>
      <c r="X308" s="8"/>
      <c r="Y308" s="32"/>
      <c r="Z308" s="8"/>
      <c r="AA308" s="8"/>
    </row>
    <row r="309" spans="1:27" s="52" customFormat="1" x14ac:dyDescent="0.25">
      <c r="A309" s="8"/>
      <c r="B309" s="9"/>
      <c r="C309" s="2"/>
      <c r="D309" s="11"/>
      <c r="E309" s="9"/>
      <c r="F309" s="10"/>
      <c r="G309" s="10"/>
      <c r="H309" s="33"/>
      <c r="I309" s="33"/>
      <c r="J309" s="33"/>
      <c r="K309" s="33"/>
      <c r="L309" s="33"/>
      <c r="M309" s="33"/>
      <c r="N309" s="33"/>
      <c r="O309" s="9"/>
      <c r="P309" s="9"/>
      <c r="Q309" s="8"/>
      <c r="R309" s="8"/>
      <c r="S309" s="12"/>
      <c r="T309" s="32"/>
      <c r="U309" s="32"/>
      <c r="V309" s="32"/>
      <c r="W309" s="32"/>
      <c r="X309" s="8"/>
      <c r="Y309" s="32"/>
      <c r="Z309" s="8"/>
      <c r="AA309" s="8"/>
    </row>
    <row r="310" spans="1:27" s="52" customFormat="1" x14ac:dyDescent="0.25">
      <c r="A310" s="8"/>
      <c r="B310" s="9"/>
      <c r="C310" s="2"/>
      <c r="D310" s="11"/>
      <c r="E310" s="9"/>
      <c r="F310" s="10"/>
      <c r="G310" s="10"/>
      <c r="H310" s="33"/>
      <c r="I310" s="33"/>
      <c r="J310" s="33"/>
      <c r="K310" s="33"/>
      <c r="L310" s="33"/>
      <c r="M310" s="33"/>
      <c r="N310" s="33"/>
      <c r="O310" s="9"/>
      <c r="P310" s="9"/>
      <c r="Q310" s="8"/>
      <c r="R310" s="8"/>
      <c r="S310" s="12"/>
      <c r="T310" s="32"/>
      <c r="U310" s="32"/>
      <c r="V310" s="32"/>
      <c r="W310" s="32"/>
      <c r="X310" s="8"/>
      <c r="Y310" s="32"/>
      <c r="Z310" s="8"/>
      <c r="AA310" s="8"/>
    </row>
    <row r="311" spans="1:27" s="52" customFormat="1" x14ac:dyDescent="0.25">
      <c r="A311" s="8"/>
      <c r="B311" s="9"/>
      <c r="C311" s="2"/>
      <c r="D311" s="11"/>
      <c r="E311" s="9"/>
      <c r="F311" s="10"/>
      <c r="G311" s="10"/>
      <c r="H311" s="33"/>
      <c r="I311" s="33"/>
      <c r="J311" s="33"/>
      <c r="K311" s="33"/>
      <c r="L311" s="33"/>
      <c r="M311" s="33"/>
      <c r="N311" s="33"/>
      <c r="O311" s="9"/>
      <c r="P311" s="9"/>
      <c r="Q311" s="8"/>
      <c r="R311" s="8"/>
      <c r="S311" s="12"/>
      <c r="T311" s="32"/>
      <c r="U311" s="32"/>
      <c r="V311" s="32"/>
      <c r="W311" s="32"/>
      <c r="X311" s="8"/>
      <c r="Y311" s="32"/>
      <c r="Z311" s="8"/>
      <c r="AA311" s="8"/>
    </row>
    <row r="312" spans="1:27" s="52" customFormat="1" x14ac:dyDescent="0.25">
      <c r="A312" s="8"/>
      <c r="B312" s="9"/>
      <c r="C312" s="2"/>
      <c r="D312" s="11"/>
      <c r="E312" s="9"/>
      <c r="F312" s="10"/>
      <c r="G312" s="10"/>
      <c r="H312" s="33"/>
      <c r="I312" s="33"/>
      <c r="J312" s="33"/>
      <c r="K312" s="33"/>
      <c r="L312" s="33"/>
      <c r="M312" s="33"/>
      <c r="N312" s="33"/>
      <c r="O312" s="9"/>
      <c r="P312" s="9"/>
      <c r="Q312" s="8"/>
      <c r="R312" s="8"/>
      <c r="S312" s="12"/>
      <c r="T312" s="32"/>
      <c r="U312" s="32"/>
      <c r="V312" s="32"/>
      <c r="W312" s="32"/>
      <c r="X312" s="8"/>
      <c r="Y312" s="32"/>
      <c r="Z312" s="8"/>
      <c r="AA312" s="8"/>
    </row>
    <row r="313" spans="1:27" s="52" customFormat="1" x14ac:dyDescent="0.25">
      <c r="A313" s="8"/>
      <c r="B313" s="9"/>
      <c r="C313" s="2"/>
      <c r="D313" s="11"/>
      <c r="E313" s="9"/>
      <c r="F313" s="10"/>
      <c r="G313" s="10"/>
      <c r="H313" s="33"/>
      <c r="I313" s="33"/>
      <c r="J313" s="33"/>
      <c r="K313" s="33"/>
      <c r="L313" s="33"/>
      <c r="M313" s="33"/>
      <c r="N313" s="33"/>
      <c r="O313" s="9"/>
      <c r="P313" s="9"/>
      <c r="Q313" s="8"/>
      <c r="R313" s="8"/>
      <c r="S313" s="12"/>
      <c r="T313" s="32"/>
      <c r="U313" s="32"/>
      <c r="V313" s="32"/>
      <c r="W313" s="32"/>
      <c r="X313" s="8"/>
      <c r="Y313" s="32"/>
      <c r="Z313" s="8"/>
      <c r="AA313" s="8"/>
    </row>
    <row r="314" spans="1:27" s="52" customFormat="1" x14ac:dyDescent="0.25">
      <c r="A314" s="8"/>
      <c r="B314" s="9"/>
      <c r="C314" s="2"/>
      <c r="D314" s="11"/>
      <c r="E314" s="9"/>
      <c r="F314" s="10"/>
      <c r="G314" s="10"/>
      <c r="H314" s="33"/>
      <c r="I314" s="33"/>
      <c r="J314" s="33"/>
      <c r="K314" s="33"/>
      <c r="L314" s="33"/>
      <c r="M314" s="33"/>
      <c r="N314" s="33"/>
      <c r="O314" s="9"/>
      <c r="P314" s="9"/>
      <c r="Q314" s="8"/>
      <c r="R314" s="8"/>
      <c r="S314" s="12"/>
      <c r="T314" s="32"/>
      <c r="U314" s="32"/>
      <c r="V314" s="32"/>
      <c r="W314" s="32"/>
      <c r="X314" s="8"/>
      <c r="Y314" s="32"/>
      <c r="Z314" s="8"/>
      <c r="AA314" s="8"/>
    </row>
    <row r="315" spans="1:27" s="52" customFormat="1" x14ac:dyDescent="0.25">
      <c r="A315" s="8"/>
      <c r="B315" s="9"/>
      <c r="C315" s="2"/>
      <c r="D315" s="11"/>
      <c r="E315" s="9"/>
      <c r="F315" s="10"/>
      <c r="G315" s="10"/>
      <c r="H315" s="33"/>
      <c r="I315" s="33"/>
      <c r="J315" s="33"/>
      <c r="K315" s="33"/>
      <c r="L315" s="33"/>
      <c r="M315" s="33"/>
      <c r="N315" s="33"/>
      <c r="O315" s="9"/>
      <c r="P315" s="9"/>
      <c r="Q315" s="8"/>
      <c r="R315" s="8"/>
      <c r="S315" s="12"/>
      <c r="T315" s="32"/>
      <c r="U315" s="32"/>
      <c r="V315" s="32"/>
      <c r="W315" s="32"/>
      <c r="X315" s="8"/>
      <c r="Y315" s="32"/>
      <c r="Z315" s="8"/>
      <c r="AA315" s="8"/>
    </row>
    <row r="316" spans="1:27" s="52" customFormat="1" x14ac:dyDescent="0.25">
      <c r="A316" s="8"/>
      <c r="B316" s="9"/>
      <c r="C316" s="2"/>
      <c r="D316" s="11"/>
      <c r="E316" s="9"/>
      <c r="F316" s="10"/>
      <c r="G316" s="10"/>
      <c r="H316" s="33"/>
      <c r="I316" s="33"/>
      <c r="J316" s="33"/>
      <c r="K316" s="33"/>
      <c r="L316" s="33"/>
      <c r="M316" s="33"/>
      <c r="N316" s="33"/>
      <c r="O316" s="9"/>
      <c r="P316" s="9"/>
      <c r="Q316" s="8"/>
      <c r="R316" s="8"/>
      <c r="S316" s="12"/>
      <c r="T316" s="32"/>
      <c r="U316" s="32"/>
      <c r="V316" s="32"/>
      <c r="W316" s="32"/>
      <c r="X316" s="8"/>
      <c r="Y316" s="32"/>
      <c r="Z316" s="8"/>
      <c r="AA316" s="8"/>
    </row>
    <row r="317" spans="1:27" s="52" customFormat="1" x14ac:dyDescent="0.25">
      <c r="A317" s="8"/>
      <c r="B317" s="9"/>
      <c r="C317" s="2"/>
      <c r="D317" s="11"/>
      <c r="E317" s="9"/>
      <c r="F317" s="10"/>
      <c r="G317" s="10"/>
      <c r="H317" s="33"/>
      <c r="I317" s="33"/>
      <c r="J317" s="33"/>
      <c r="K317" s="33"/>
      <c r="L317" s="33"/>
      <c r="M317" s="33"/>
      <c r="N317" s="33"/>
      <c r="O317" s="9"/>
      <c r="P317" s="9"/>
      <c r="Q317" s="8"/>
      <c r="R317" s="8"/>
      <c r="S317" s="12"/>
      <c r="T317" s="32"/>
      <c r="U317" s="32"/>
      <c r="V317" s="32"/>
      <c r="W317" s="32"/>
      <c r="X317" s="8"/>
      <c r="Y317" s="32"/>
      <c r="Z317" s="8"/>
      <c r="AA317" s="8"/>
    </row>
    <row r="318" spans="1:27" s="52" customFormat="1" x14ac:dyDescent="0.25">
      <c r="A318" s="8"/>
      <c r="B318" s="9"/>
      <c r="C318" s="2"/>
      <c r="D318" s="11"/>
      <c r="E318" s="9"/>
      <c r="F318" s="10"/>
      <c r="G318" s="10"/>
      <c r="H318" s="33"/>
      <c r="I318" s="33"/>
      <c r="J318" s="33"/>
      <c r="K318" s="33"/>
      <c r="L318" s="33"/>
      <c r="M318" s="33"/>
      <c r="N318" s="33"/>
      <c r="O318" s="9"/>
      <c r="P318" s="9"/>
      <c r="Q318" s="8"/>
      <c r="R318" s="8"/>
      <c r="S318" s="12"/>
      <c r="T318" s="32"/>
      <c r="U318" s="32"/>
      <c r="V318" s="32"/>
      <c r="W318" s="32"/>
      <c r="X318" s="8"/>
      <c r="Y318" s="32"/>
      <c r="Z318" s="8"/>
      <c r="AA318" s="8"/>
    </row>
    <row r="319" spans="1:27" s="52" customFormat="1" x14ac:dyDescent="0.25">
      <c r="A319" s="8"/>
      <c r="B319" s="9"/>
      <c r="C319" s="2"/>
      <c r="D319" s="11"/>
      <c r="E319" s="9"/>
      <c r="F319" s="10"/>
      <c r="G319" s="10"/>
      <c r="H319" s="33"/>
      <c r="I319" s="33"/>
      <c r="J319" s="33"/>
      <c r="K319" s="33"/>
      <c r="L319" s="33"/>
      <c r="M319" s="33"/>
      <c r="N319" s="33"/>
      <c r="O319" s="9"/>
      <c r="P319" s="9"/>
      <c r="Q319" s="8"/>
      <c r="R319" s="8"/>
      <c r="S319" s="12"/>
      <c r="T319" s="32"/>
      <c r="U319" s="32"/>
      <c r="V319" s="32"/>
      <c r="W319" s="32"/>
      <c r="X319" s="8"/>
      <c r="Y319" s="32"/>
      <c r="Z319" s="8"/>
      <c r="AA319" s="8"/>
    </row>
    <row r="320" spans="1:27" s="52" customFormat="1" x14ac:dyDescent="0.25">
      <c r="A320" s="8"/>
      <c r="B320" s="9"/>
      <c r="C320" s="2"/>
      <c r="D320" s="11"/>
      <c r="E320" s="9"/>
      <c r="F320" s="10"/>
      <c r="G320" s="10"/>
      <c r="H320" s="33"/>
      <c r="I320" s="33"/>
      <c r="J320" s="33"/>
      <c r="K320" s="33"/>
      <c r="L320" s="33"/>
      <c r="M320" s="33"/>
      <c r="N320" s="33"/>
      <c r="O320" s="9"/>
      <c r="P320" s="9"/>
      <c r="Q320" s="8"/>
      <c r="R320" s="8"/>
      <c r="S320" s="12"/>
      <c r="T320" s="32"/>
      <c r="U320" s="32"/>
      <c r="V320" s="32"/>
      <c r="W320" s="32"/>
      <c r="X320" s="8"/>
      <c r="Y320" s="32"/>
      <c r="Z320" s="8"/>
      <c r="AA320" s="8"/>
    </row>
    <row r="321" spans="1:27" s="52" customFormat="1" x14ac:dyDescent="0.25">
      <c r="A321" s="8"/>
      <c r="B321" s="9"/>
      <c r="C321" s="2"/>
      <c r="D321" s="11"/>
      <c r="E321" s="9"/>
      <c r="F321" s="10"/>
      <c r="G321" s="10"/>
      <c r="H321" s="33"/>
      <c r="I321" s="33"/>
      <c r="J321" s="33"/>
      <c r="K321" s="33"/>
      <c r="L321" s="33"/>
      <c r="M321" s="33"/>
      <c r="N321" s="33"/>
      <c r="O321" s="9"/>
      <c r="P321" s="9"/>
      <c r="Q321" s="8"/>
      <c r="R321" s="8"/>
      <c r="S321" s="12"/>
      <c r="T321" s="32"/>
      <c r="U321" s="32"/>
      <c r="V321" s="32"/>
      <c r="W321" s="32"/>
      <c r="X321" s="8"/>
      <c r="Y321" s="32"/>
      <c r="Z321" s="8"/>
      <c r="AA321" s="8"/>
    </row>
    <row r="322" spans="1:27" s="52" customFormat="1" x14ac:dyDescent="0.25">
      <c r="A322" s="8"/>
      <c r="B322" s="9"/>
      <c r="C322" s="2"/>
      <c r="D322" s="11"/>
      <c r="E322" s="9"/>
      <c r="F322" s="10"/>
      <c r="G322" s="10"/>
      <c r="H322" s="33"/>
      <c r="I322" s="33"/>
      <c r="J322" s="33"/>
      <c r="K322" s="33"/>
      <c r="L322" s="33"/>
      <c r="M322" s="33"/>
      <c r="N322" s="33"/>
      <c r="O322" s="9"/>
      <c r="P322" s="9"/>
      <c r="Q322" s="8"/>
      <c r="R322" s="8"/>
      <c r="S322" s="12"/>
      <c r="T322" s="32"/>
      <c r="U322" s="32"/>
      <c r="V322" s="32"/>
      <c r="W322" s="32"/>
      <c r="X322" s="8"/>
      <c r="Y322" s="32"/>
      <c r="Z322" s="8"/>
      <c r="AA322" s="8"/>
    </row>
    <row r="323" spans="1:27" s="52" customFormat="1" x14ac:dyDescent="0.25">
      <c r="A323" s="8"/>
      <c r="B323" s="9"/>
      <c r="C323" s="2"/>
      <c r="D323" s="11"/>
      <c r="E323" s="9"/>
      <c r="F323" s="10"/>
      <c r="G323" s="10"/>
      <c r="H323" s="33"/>
      <c r="I323" s="33"/>
      <c r="J323" s="33"/>
      <c r="K323" s="33"/>
      <c r="L323" s="33"/>
      <c r="M323" s="33"/>
      <c r="N323" s="33"/>
      <c r="O323" s="9"/>
      <c r="P323" s="9"/>
      <c r="Q323" s="8"/>
      <c r="R323" s="8"/>
      <c r="S323" s="12"/>
      <c r="T323" s="32"/>
      <c r="U323" s="32"/>
      <c r="V323" s="32"/>
      <c r="W323" s="32"/>
      <c r="X323" s="8"/>
      <c r="Y323" s="32"/>
      <c r="Z323" s="8"/>
      <c r="AA323" s="8"/>
    </row>
    <row r="324" spans="1:27" s="52" customFormat="1" x14ac:dyDescent="0.25">
      <c r="A324" s="8"/>
      <c r="B324" s="9"/>
      <c r="C324" s="2"/>
      <c r="D324" s="11"/>
      <c r="E324" s="9"/>
      <c r="F324" s="10"/>
      <c r="G324" s="10"/>
      <c r="H324" s="33"/>
      <c r="I324" s="33"/>
      <c r="J324" s="33"/>
      <c r="K324" s="33"/>
      <c r="L324" s="33"/>
      <c r="M324" s="33"/>
      <c r="N324" s="33"/>
      <c r="O324" s="9"/>
      <c r="P324" s="9"/>
      <c r="Q324" s="8"/>
      <c r="R324" s="8"/>
      <c r="S324" s="12"/>
      <c r="T324" s="32"/>
      <c r="U324" s="32"/>
      <c r="V324" s="32"/>
      <c r="W324" s="32"/>
      <c r="X324" s="8"/>
      <c r="Y324" s="32"/>
      <c r="Z324" s="8"/>
      <c r="AA324" s="8"/>
    </row>
    <row r="325" spans="1:27" s="52" customFormat="1" x14ac:dyDescent="0.25">
      <c r="A325" s="8"/>
      <c r="B325" s="9"/>
      <c r="C325" s="2"/>
      <c r="D325" s="11"/>
      <c r="E325" s="9"/>
      <c r="F325" s="10"/>
      <c r="G325" s="10"/>
      <c r="H325" s="33"/>
      <c r="I325" s="33"/>
      <c r="J325" s="33"/>
      <c r="K325" s="33"/>
      <c r="L325" s="33"/>
      <c r="M325" s="33"/>
      <c r="N325" s="33"/>
      <c r="O325" s="9"/>
      <c r="P325" s="9"/>
      <c r="Q325" s="8"/>
      <c r="R325" s="8"/>
      <c r="S325" s="12"/>
      <c r="T325" s="32"/>
      <c r="U325" s="32"/>
      <c r="V325" s="32"/>
      <c r="W325" s="32"/>
      <c r="X325" s="8"/>
      <c r="Y325" s="32"/>
      <c r="Z325" s="8"/>
      <c r="AA325" s="8"/>
    </row>
    <row r="326" spans="1:27" s="52" customFormat="1" x14ac:dyDescent="0.25">
      <c r="A326" s="8"/>
      <c r="B326" s="9"/>
      <c r="C326" s="2"/>
      <c r="D326" s="11"/>
      <c r="E326" s="9"/>
      <c r="F326" s="10"/>
      <c r="G326" s="10"/>
      <c r="H326" s="33"/>
      <c r="I326" s="33"/>
      <c r="J326" s="33"/>
      <c r="K326" s="33"/>
      <c r="L326" s="33"/>
      <c r="M326" s="33"/>
      <c r="N326" s="33"/>
      <c r="O326" s="9"/>
      <c r="P326" s="9"/>
      <c r="Q326" s="8"/>
      <c r="R326" s="8"/>
      <c r="S326" s="12"/>
      <c r="T326" s="32"/>
      <c r="U326" s="32"/>
      <c r="V326" s="32"/>
      <c r="W326" s="32"/>
      <c r="X326" s="8"/>
      <c r="Y326" s="32"/>
      <c r="Z326" s="8"/>
      <c r="AA326" s="8"/>
    </row>
    <row r="327" spans="1:27" s="52" customFormat="1" x14ac:dyDescent="0.25">
      <c r="A327" s="8"/>
      <c r="B327" s="9"/>
      <c r="C327" s="2"/>
      <c r="D327" s="11"/>
      <c r="E327" s="9"/>
      <c r="F327" s="10"/>
      <c r="G327" s="10"/>
      <c r="H327" s="33"/>
      <c r="I327" s="33"/>
      <c r="J327" s="33"/>
      <c r="K327" s="33"/>
      <c r="L327" s="33"/>
      <c r="M327" s="33"/>
      <c r="N327" s="33"/>
      <c r="O327" s="9"/>
      <c r="P327" s="9"/>
      <c r="Q327" s="8"/>
      <c r="R327" s="8"/>
      <c r="S327" s="12"/>
      <c r="T327" s="32"/>
      <c r="U327" s="32"/>
      <c r="V327" s="32"/>
      <c r="W327" s="32"/>
      <c r="X327" s="8"/>
      <c r="Y327" s="32"/>
      <c r="Z327" s="8"/>
      <c r="AA327" s="8"/>
    </row>
    <row r="328" spans="1:27" s="52" customFormat="1" x14ac:dyDescent="0.25">
      <c r="A328" s="8"/>
      <c r="B328" s="9"/>
      <c r="C328" s="2"/>
      <c r="D328" s="11"/>
      <c r="E328" s="9"/>
      <c r="F328" s="10"/>
      <c r="G328" s="10"/>
      <c r="H328" s="33"/>
      <c r="I328" s="33"/>
      <c r="J328" s="33"/>
      <c r="K328" s="33"/>
      <c r="L328" s="33"/>
      <c r="M328" s="33"/>
      <c r="N328" s="33"/>
      <c r="O328" s="9"/>
      <c r="P328" s="9"/>
      <c r="Q328" s="8"/>
      <c r="R328" s="8"/>
      <c r="S328" s="12"/>
      <c r="T328" s="32"/>
      <c r="U328" s="32"/>
      <c r="V328" s="32"/>
      <c r="W328" s="32"/>
      <c r="X328" s="8"/>
      <c r="Y328" s="32"/>
      <c r="Z328" s="8"/>
      <c r="AA328" s="8"/>
    </row>
    <row r="329" spans="1:27" s="52" customFormat="1" x14ac:dyDescent="0.25">
      <c r="A329" s="8"/>
      <c r="B329" s="9"/>
      <c r="C329" s="2"/>
      <c r="D329" s="11"/>
      <c r="E329" s="9"/>
      <c r="F329" s="10"/>
      <c r="G329" s="10"/>
      <c r="H329" s="33"/>
      <c r="I329" s="33"/>
      <c r="J329" s="33"/>
      <c r="K329" s="33"/>
      <c r="L329" s="33"/>
      <c r="M329" s="33"/>
      <c r="N329" s="33"/>
      <c r="O329" s="9"/>
      <c r="P329" s="9"/>
      <c r="Q329" s="8"/>
      <c r="R329" s="8"/>
      <c r="S329" s="12"/>
      <c r="T329" s="32"/>
      <c r="U329" s="32"/>
      <c r="V329" s="32"/>
      <c r="W329" s="32"/>
      <c r="X329" s="8"/>
      <c r="Y329" s="32"/>
      <c r="Z329" s="8"/>
      <c r="AA329" s="8"/>
    </row>
    <row r="330" spans="1:27" s="52" customFormat="1" x14ac:dyDescent="0.25">
      <c r="A330" s="8"/>
      <c r="B330" s="9"/>
      <c r="C330" s="2"/>
      <c r="D330" s="11"/>
      <c r="E330" s="9"/>
      <c r="F330" s="10"/>
      <c r="G330" s="10"/>
      <c r="H330" s="33"/>
      <c r="I330" s="33"/>
      <c r="J330" s="33"/>
      <c r="K330" s="33"/>
      <c r="L330" s="33"/>
      <c r="M330" s="33"/>
      <c r="N330" s="33"/>
      <c r="O330" s="9"/>
      <c r="P330" s="9"/>
      <c r="Q330" s="8"/>
      <c r="R330" s="8"/>
      <c r="S330" s="12"/>
      <c r="T330" s="32"/>
      <c r="U330" s="32"/>
      <c r="V330" s="32"/>
      <c r="W330" s="32"/>
      <c r="X330" s="8"/>
      <c r="Y330" s="32"/>
      <c r="Z330" s="8"/>
      <c r="AA330" s="8"/>
    </row>
    <row r="331" spans="1:27" s="52" customFormat="1" x14ac:dyDescent="0.25">
      <c r="A331" s="8"/>
      <c r="B331" s="9"/>
      <c r="C331" s="2"/>
      <c r="D331" s="11"/>
      <c r="E331" s="9"/>
      <c r="F331" s="10"/>
      <c r="G331" s="10"/>
      <c r="H331" s="33"/>
      <c r="I331" s="33"/>
      <c r="J331" s="33"/>
      <c r="K331" s="33"/>
      <c r="L331" s="33"/>
      <c r="M331" s="33"/>
      <c r="N331" s="33"/>
      <c r="O331" s="9"/>
      <c r="P331" s="9"/>
      <c r="Q331" s="8"/>
      <c r="R331" s="8"/>
      <c r="S331" s="12"/>
      <c r="T331" s="32"/>
      <c r="U331" s="32"/>
      <c r="V331" s="32"/>
      <c r="W331" s="32"/>
      <c r="X331" s="8"/>
      <c r="Y331" s="32"/>
      <c r="Z331" s="8"/>
      <c r="AA331" s="8"/>
    </row>
    <row r="332" spans="1:27" s="52" customFormat="1" x14ac:dyDescent="0.25">
      <c r="A332" s="8"/>
      <c r="B332" s="9"/>
      <c r="C332" s="2"/>
      <c r="D332" s="11"/>
      <c r="E332" s="9"/>
      <c r="F332" s="10"/>
      <c r="G332" s="10"/>
      <c r="H332" s="33"/>
      <c r="I332" s="33"/>
      <c r="J332" s="33"/>
      <c r="K332" s="33"/>
      <c r="L332" s="33"/>
      <c r="M332" s="33"/>
      <c r="N332" s="33"/>
      <c r="O332" s="9"/>
      <c r="P332" s="9"/>
      <c r="Q332" s="8"/>
      <c r="R332" s="8"/>
      <c r="S332" s="12"/>
      <c r="T332" s="32"/>
      <c r="U332" s="32"/>
      <c r="V332" s="32"/>
      <c r="W332" s="32"/>
      <c r="X332" s="8"/>
      <c r="Y332" s="32"/>
      <c r="Z332" s="8"/>
      <c r="AA332" s="8"/>
    </row>
    <row r="333" spans="1:27" s="52" customFormat="1" x14ac:dyDescent="0.25">
      <c r="A333" s="8"/>
      <c r="B333" s="9"/>
      <c r="C333" s="2"/>
      <c r="D333" s="11"/>
      <c r="E333" s="9"/>
      <c r="F333" s="10"/>
      <c r="G333" s="10"/>
      <c r="H333" s="33"/>
      <c r="I333" s="33"/>
      <c r="J333" s="33"/>
      <c r="K333" s="33"/>
      <c r="L333" s="33"/>
      <c r="M333" s="33"/>
      <c r="N333" s="33"/>
      <c r="O333" s="9"/>
      <c r="P333" s="9"/>
      <c r="Q333" s="8"/>
      <c r="R333" s="8"/>
      <c r="S333" s="12"/>
      <c r="T333" s="32"/>
      <c r="U333" s="32"/>
      <c r="V333" s="32"/>
      <c r="W333" s="32"/>
      <c r="X333" s="8"/>
      <c r="Y333" s="32"/>
      <c r="Z333" s="8"/>
      <c r="AA333" s="8"/>
    </row>
    <row r="334" spans="1:27" s="52" customFormat="1" x14ac:dyDescent="0.25">
      <c r="A334" s="8"/>
      <c r="B334" s="9"/>
      <c r="C334" s="2"/>
      <c r="D334" s="11"/>
      <c r="E334" s="9"/>
      <c r="F334" s="10"/>
      <c r="G334" s="10"/>
      <c r="H334" s="33"/>
      <c r="I334" s="33"/>
      <c r="J334" s="33"/>
      <c r="K334" s="33"/>
      <c r="L334" s="33"/>
      <c r="M334" s="33"/>
      <c r="N334" s="33"/>
      <c r="O334" s="9"/>
      <c r="P334" s="9"/>
      <c r="Q334" s="8"/>
      <c r="R334" s="8"/>
      <c r="S334" s="12"/>
      <c r="T334" s="32"/>
      <c r="U334" s="32"/>
      <c r="V334" s="32"/>
      <c r="W334" s="32"/>
      <c r="X334" s="8"/>
      <c r="Y334" s="32"/>
      <c r="Z334" s="8"/>
      <c r="AA334" s="8"/>
    </row>
    <row r="335" spans="1:27" s="52" customFormat="1" x14ac:dyDescent="0.25">
      <c r="A335" s="8"/>
      <c r="B335" s="9"/>
      <c r="C335" s="2"/>
      <c r="D335" s="11"/>
      <c r="E335" s="9"/>
      <c r="F335" s="10"/>
      <c r="G335" s="10"/>
      <c r="H335" s="33"/>
      <c r="I335" s="33"/>
      <c r="J335" s="33"/>
      <c r="K335" s="33"/>
      <c r="L335" s="33"/>
      <c r="M335" s="33"/>
      <c r="N335" s="33"/>
      <c r="O335" s="9"/>
      <c r="P335" s="9"/>
      <c r="Q335" s="8"/>
      <c r="R335" s="8"/>
      <c r="S335" s="12"/>
      <c r="T335" s="32"/>
      <c r="U335" s="32"/>
      <c r="V335" s="32"/>
      <c r="W335" s="32"/>
      <c r="X335" s="8"/>
      <c r="Y335" s="32"/>
      <c r="Z335" s="8"/>
      <c r="AA335" s="8"/>
    </row>
    <row r="336" spans="1:27" s="52" customFormat="1" x14ac:dyDescent="0.25">
      <c r="A336" s="8"/>
      <c r="B336" s="9"/>
      <c r="C336" s="2"/>
      <c r="D336" s="11"/>
      <c r="E336" s="9"/>
      <c r="F336" s="10"/>
      <c r="G336" s="10"/>
      <c r="H336" s="33"/>
      <c r="I336" s="33"/>
      <c r="J336" s="33"/>
      <c r="K336" s="33"/>
      <c r="L336" s="33"/>
      <c r="M336" s="33"/>
      <c r="N336" s="33"/>
      <c r="O336" s="9"/>
      <c r="P336" s="9"/>
      <c r="Q336" s="8"/>
      <c r="R336" s="8"/>
      <c r="S336" s="12"/>
      <c r="T336" s="32"/>
      <c r="U336" s="32"/>
      <c r="V336" s="32"/>
      <c r="W336" s="32"/>
      <c r="X336" s="8"/>
      <c r="Y336" s="32"/>
      <c r="Z336" s="8"/>
      <c r="AA336" s="8"/>
    </row>
    <row r="337" spans="1:27" s="52" customFormat="1" x14ac:dyDescent="0.25">
      <c r="A337" s="8"/>
      <c r="B337" s="9"/>
      <c r="C337" s="2"/>
      <c r="D337" s="11"/>
      <c r="E337" s="9"/>
      <c r="F337" s="10"/>
      <c r="G337" s="10"/>
      <c r="H337" s="33"/>
      <c r="I337" s="33"/>
      <c r="J337" s="33"/>
      <c r="K337" s="33"/>
      <c r="L337" s="33"/>
      <c r="M337" s="33"/>
      <c r="N337" s="33"/>
      <c r="O337" s="9"/>
      <c r="P337" s="9"/>
      <c r="Q337" s="8"/>
      <c r="R337" s="8"/>
      <c r="S337" s="12"/>
      <c r="T337" s="32"/>
      <c r="U337" s="32"/>
      <c r="V337" s="32"/>
      <c r="W337" s="32"/>
      <c r="X337" s="8"/>
      <c r="Y337" s="32"/>
      <c r="Z337" s="8"/>
      <c r="AA337" s="8"/>
    </row>
    <row r="338" spans="1:27" s="52" customFormat="1" x14ac:dyDescent="0.25">
      <c r="A338" s="8"/>
      <c r="B338" s="9"/>
      <c r="C338" s="2"/>
      <c r="D338" s="11"/>
      <c r="E338" s="9"/>
      <c r="F338" s="10"/>
      <c r="G338" s="10"/>
      <c r="H338" s="33"/>
      <c r="I338" s="33"/>
      <c r="J338" s="33"/>
      <c r="K338" s="33"/>
      <c r="L338" s="33"/>
      <c r="M338" s="33"/>
      <c r="N338" s="33"/>
      <c r="O338" s="9"/>
      <c r="P338" s="9"/>
      <c r="Q338" s="8"/>
      <c r="R338" s="8"/>
      <c r="S338" s="12"/>
      <c r="T338" s="32"/>
      <c r="U338" s="32"/>
      <c r="V338" s="32"/>
      <c r="W338" s="32"/>
      <c r="X338" s="8"/>
      <c r="Y338" s="32"/>
      <c r="Z338" s="8"/>
      <c r="AA338" s="8"/>
    </row>
    <row r="339" spans="1:27" s="52" customFormat="1" x14ac:dyDescent="0.25">
      <c r="A339" s="8"/>
      <c r="B339" s="9"/>
      <c r="C339" s="2"/>
      <c r="D339" s="11"/>
      <c r="E339" s="9"/>
      <c r="F339" s="10"/>
      <c r="G339" s="10"/>
      <c r="H339" s="33"/>
      <c r="I339" s="33"/>
      <c r="J339" s="33"/>
      <c r="K339" s="33"/>
      <c r="L339" s="33"/>
      <c r="M339" s="33"/>
      <c r="N339" s="33"/>
      <c r="O339" s="9"/>
      <c r="P339" s="9"/>
      <c r="Q339" s="8"/>
      <c r="R339" s="8"/>
      <c r="S339" s="12"/>
      <c r="T339" s="32"/>
      <c r="U339" s="32"/>
      <c r="V339" s="32"/>
      <c r="W339" s="32"/>
      <c r="X339" s="8"/>
      <c r="Y339" s="32"/>
      <c r="Z339" s="8"/>
      <c r="AA339" s="8"/>
    </row>
    <row r="340" spans="1:27" s="52" customFormat="1" x14ac:dyDescent="0.25">
      <c r="A340" s="8"/>
      <c r="B340" s="9"/>
      <c r="C340" s="2"/>
      <c r="D340" s="11"/>
      <c r="E340" s="9"/>
      <c r="F340" s="10"/>
      <c r="G340" s="10"/>
      <c r="H340" s="33"/>
      <c r="I340" s="33"/>
      <c r="J340" s="33"/>
      <c r="K340" s="33"/>
      <c r="L340" s="33"/>
      <c r="M340" s="33"/>
      <c r="N340" s="33"/>
      <c r="O340" s="9"/>
      <c r="P340" s="9"/>
      <c r="Q340" s="8"/>
      <c r="R340" s="8"/>
      <c r="S340" s="12"/>
      <c r="T340" s="32"/>
      <c r="U340" s="32"/>
      <c r="V340" s="32"/>
      <c r="W340" s="32"/>
      <c r="X340" s="8"/>
      <c r="Y340" s="32"/>
      <c r="Z340" s="8"/>
      <c r="AA340" s="8"/>
    </row>
    <row r="341" spans="1:27" s="52" customFormat="1" x14ac:dyDescent="0.25">
      <c r="A341" s="8"/>
      <c r="B341" s="9"/>
      <c r="C341" s="2"/>
      <c r="D341" s="11"/>
      <c r="E341" s="9"/>
      <c r="F341" s="10"/>
      <c r="G341" s="10"/>
      <c r="H341" s="33"/>
      <c r="I341" s="33"/>
      <c r="J341" s="33"/>
      <c r="K341" s="33"/>
      <c r="L341" s="33"/>
      <c r="M341" s="33"/>
      <c r="N341" s="33"/>
      <c r="O341" s="9"/>
      <c r="P341" s="9"/>
      <c r="Q341" s="8"/>
      <c r="R341" s="8"/>
      <c r="S341" s="12"/>
      <c r="T341" s="32"/>
      <c r="U341" s="32"/>
      <c r="V341" s="32"/>
      <c r="W341" s="32"/>
      <c r="X341" s="8"/>
      <c r="Y341" s="32"/>
      <c r="Z341" s="8"/>
      <c r="AA341" s="8"/>
    </row>
    <row r="342" spans="1:27" s="52" customFormat="1" x14ac:dyDescent="0.25">
      <c r="A342" s="8"/>
      <c r="B342" s="9"/>
      <c r="C342" s="2"/>
      <c r="D342" s="11"/>
      <c r="E342" s="9"/>
      <c r="F342" s="10"/>
      <c r="G342" s="10"/>
      <c r="H342" s="33"/>
      <c r="I342" s="33"/>
      <c r="J342" s="33"/>
      <c r="K342" s="33"/>
      <c r="L342" s="33"/>
      <c r="M342" s="33"/>
      <c r="N342" s="33"/>
      <c r="O342" s="9"/>
      <c r="P342" s="9"/>
      <c r="Q342" s="8"/>
      <c r="R342" s="8"/>
      <c r="S342" s="12"/>
      <c r="T342" s="32"/>
      <c r="U342" s="32"/>
      <c r="V342" s="32"/>
      <c r="W342" s="32"/>
      <c r="X342" s="8"/>
      <c r="Y342" s="32"/>
      <c r="Z342" s="8"/>
      <c r="AA342" s="8"/>
    </row>
    <row r="343" spans="1:27" s="52" customFormat="1" x14ac:dyDescent="0.25">
      <c r="A343" s="8"/>
      <c r="B343" s="9"/>
      <c r="C343" s="2"/>
      <c r="D343" s="11"/>
      <c r="E343" s="9"/>
      <c r="F343" s="10"/>
      <c r="G343" s="10"/>
      <c r="H343" s="33"/>
      <c r="I343" s="33"/>
      <c r="J343" s="33"/>
      <c r="K343" s="33"/>
      <c r="L343" s="33"/>
      <c r="M343" s="33"/>
      <c r="N343" s="33"/>
      <c r="O343" s="9"/>
      <c r="P343" s="9"/>
      <c r="Q343" s="8"/>
      <c r="R343" s="8"/>
      <c r="S343" s="12"/>
      <c r="T343" s="32"/>
      <c r="U343" s="32"/>
      <c r="V343" s="32"/>
      <c r="W343" s="32"/>
      <c r="X343" s="8"/>
      <c r="Y343" s="32"/>
      <c r="Z343" s="8"/>
      <c r="AA343" s="8"/>
    </row>
    <row r="344" spans="1:27" s="52" customFormat="1" x14ac:dyDescent="0.25">
      <c r="A344" s="8"/>
      <c r="B344" s="9"/>
      <c r="C344" s="2"/>
      <c r="D344" s="11"/>
      <c r="E344" s="9"/>
      <c r="F344" s="10"/>
      <c r="G344" s="10"/>
      <c r="H344" s="33"/>
      <c r="I344" s="33"/>
      <c r="J344" s="33"/>
      <c r="K344" s="33"/>
      <c r="L344" s="33"/>
      <c r="M344" s="33"/>
      <c r="N344" s="33"/>
      <c r="O344" s="9"/>
      <c r="P344" s="9"/>
      <c r="Q344" s="8"/>
      <c r="R344" s="8"/>
      <c r="S344" s="12"/>
      <c r="T344" s="32"/>
      <c r="U344" s="32"/>
      <c r="V344" s="32"/>
      <c r="W344" s="32"/>
      <c r="X344" s="8"/>
      <c r="Y344" s="32"/>
      <c r="Z344" s="8"/>
      <c r="AA344" s="8"/>
    </row>
    <row r="345" spans="1:27" s="52" customFormat="1" x14ac:dyDescent="0.25">
      <c r="A345" s="8"/>
      <c r="B345" s="9"/>
      <c r="C345" s="2"/>
      <c r="D345" s="11"/>
      <c r="E345" s="9"/>
      <c r="F345" s="10"/>
      <c r="G345" s="10"/>
      <c r="H345" s="33"/>
      <c r="I345" s="33"/>
      <c r="J345" s="33"/>
      <c r="K345" s="33"/>
      <c r="L345" s="33"/>
      <c r="M345" s="33"/>
      <c r="N345" s="33"/>
      <c r="O345" s="9"/>
      <c r="P345" s="9"/>
      <c r="Q345" s="8"/>
      <c r="R345" s="8"/>
      <c r="S345" s="12"/>
      <c r="T345" s="32"/>
      <c r="U345" s="32"/>
      <c r="V345" s="32"/>
      <c r="W345" s="32"/>
      <c r="X345" s="8"/>
      <c r="Y345" s="32"/>
      <c r="Z345" s="8"/>
      <c r="AA345" s="8"/>
    </row>
    <row r="346" spans="1:27" s="52" customFormat="1" x14ac:dyDescent="0.25">
      <c r="A346" s="8"/>
      <c r="B346" s="9"/>
      <c r="C346" s="2"/>
      <c r="D346" s="11"/>
      <c r="E346" s="9"/>
      <c r="F346" s="10"/>
      <c r="G346" s="10"/>
      <c r="H346" s="33"/>
      <c r="I346" s="33"/>
      <c r="J346" s="33"/>
      <c r="K346" s="33"/>
      <c r="L346" s="33"/>
      <c r="M346" s="33"/>
      <c r="N346" s="33"/>
      <c r="O346" s="9"/>
      <c r="P346" s="9"/>
      <c r="Q346" s="8"/>
      <c r="R346" s="8"/>
      <c r="S346" s="12"/>
      <c r="T346" s="32"/>
      <c r="U346" s="32"/>
      <c r="V346" s="32"/>
      <c r="W346" s="32"/>
      <c r="X346" s="8"/>
      <c r="Y346" s="32"/>
      <c r="Z346" s="8"/>
      <c r="AA346" s="8"/>
    </row>
    <row r="347" spans="1:27" s="52" customFormat="1" x14ac:dyDescent="0.25">
      <c r="A347" s="8"/>
      <c r="B347" s="9"/>
      <c r="C347" s="2"/>
      <c r="D347" s="11"/>
      <c r="E347" s="9"/>
      <c r="F347" s="10"/>
      <c r="G347" s="10"/>
      <c r="H347" s="33"/>
      <c r="I347" s="33"/>
      <c r="J347" s="33"/>
      <c r="K347" s="33"/>
      <c r="L347" s="33"/>
      <c r="M347" s="33"/>
      <c r="N347" s="33"/>
      <c r="O347" s="9"/>
      <c r="P347" s="9"/>
      <c r="Q347" s="8"/>
      <c r="R347" s="8"/>
      <c r="S347" s="12"/>
      <c r="T347" s="32"/>
      <c r="U347" s="32"/>
      <c r="V347" s="32"/>
      <c r="W347" s="32"/>
      <c r="X347" s="8"/>
      <c r="Y347" s="32"/>
      <c r="Z347" s="8"/>
      <c r="AA347" s="8"/>
    </row>
    <row r="348" spans="1:27" s="52" customFormat="1" x14ac:dyDescent="0.25">
      <c r="A348" s="8"/>
      <c r="B348" s="9"/>
      <c r="C348" s="2"/>
      <c r="D348" s="11"/>
      <c r="E348" s="9"/>
      <c r="F348" s="10"/>
      <c r="G348" s="10"/>
      <c r="H348" s="33"/>
      <c r="I348" s="33"/>
      <c r="J348" s="33"/>
      <c r="K348" s="33"/>
      <c r="L348" s="33"/>
      <c r="M348" s="33"/>
      <c r="N348" s="33"/>
      <c r="O348" s="9"/>
      <c r="P348" s="9"/>
      <c r="Q348" s="8"/>
      <c r="R348" s="8"/>
      <c r="S348" s="12"/>
      <c r="T348" s="32"/>
      <c r="U348" s="32"/>
      <c r="V348" s="32"/>
      <c r="W348" s="32"/>
      <c r="X348" s="8"/>
      <c r="Y348" s="32"/>
      <c r="Z348" s="8"/>
      <c r="AA348" s="8"/>
    </row>
    <row r="349" spans="1:27" s="52" customFormat="1" x14ac:dyDescent="0.25">
      <c r="A349" s="8"/>
      <c r="B349" s="9"/>
      <c r="C349" s="2"/>
      <c r="D349" s="11"/>
      <c r="E349" s="9"/>
      <c r="F349" s="10"/>
      <c r="G349" s="10"/>
      <c r="H349" s="33"/>
      <c r="I349" s="33"/>
      <c r="J349" s="33"/>
      <c r="K349" s="33"/>
      <c r="L349" s="33"/>
      <c r="M349" s="33"/>
      <c r="N349" s="33"/>
      <c r="O349" s="9"/>
      <c r="P349" s="9"/>
      <c r="Q349" s="8"/>
      <c r="R349" s="8"/>
      <c r="S349" s="12"/>
      <c r="T349" s="32"/>
      <c r="U349" s="32"/>
      <c r="V349" s="32"/>
      <c r="W349" s="32"/>
      <c r="X349" s="8"/>
      <c r="Y349" s="32"/>
      <c r="Z349" s="8"/>
      <c r="AA349" s="8"/>
    </row>
    <row r="350" spans="1:27" s="52" customFormat="1" x14ac:dyDescent="0.25">
      <c r="A350" s="8"/>
      <c r="B350" s="9"/>
      <c r="C350" s="2"/>
      <c r="D350" s="11"/>
      <c r="E350" s="9"/>
      <c r="F350" s="10"/>
      <c r="G350" s="10"/>
      <c r="H350" s="33"/>
      <c r="I350" s="33"/>
      <c r="J350" s="33"/>
      <c r="K350" s="33"/>
      <c r="L350" s="33"/>
      <c r="M350" s="33"/>
      <c r="N350" s="33"/>
      <c r="O350" s="9"/>
      <c r="P350" s="9"/>
      <c r="Q350" s="8"/>
      <c r="R350" s="8"/>
      <c r="S350" s="12"/>
      <c r="T350" s="32"/>
      <c r="U350" s="32"/>
      <c r="V350" s="32"/>
      <c r="W350" s="32"/>
      <c r="X350" s="8"/>
      <c r="Y350" s="32"/>
      <c r="Z350" s="8"/>
      <c r="AA350" s="8"/>
    </row>
    <row r="351" spans="1:27" s="52" customFormat="1" x14ac:dyDescent="0.25">
      <c r="A351" s="8"/>
      <c r="B351" s="9"/>
      <c r="C351" s="2"/>
      <c r="D351" s="11"/>
      <c r="E351" s="9"/>
      <c r="F351" s="10"/>
      <c r="G351" s="10"/>
      <c r="H351" s="33"/>
      <c r="I351" s="33"/>
      <c r="J351" s="33"/>
      <c r="K351" s="33"/>
      <c r="L351" s="33"/>
      <c r="M351" s="33"/>
      <c r="N351" s="33"/>
      <c r="O351" s="9"/>
      <c r="P351" s="9"/>
      <c r="Q351" s="8"/>
      <c r="R351" s="8"/>
      <c r="S351" s="12"/>
      <c r="T351" s="32"/>
      <c r="U351" s="32"/>
      <c r="V351" s="32"/>
      <c r="W351" s="32"/>
      <c r="X351" s="8"/>
      <c r="Y351" s="32"/>
      <c r="Z351" s="8"/>
      <c r="AA351" s="8"/>
    </row>
    <row r="352" spans="1:27" s="52" customFormat="1" x14ac:dyDescent="0.25">
      <c r="A352" s="8"/>
      <c r="B352" s="9"/>
      <c r="C352" s="2"/>
      <c r="D352" s="11"/>
      <c r="E352" s="9"/>
      <c r="F352" s="10"/>
      <c r="G352" s="10"/>
      <c r="H352" s="33"/>
      <c r="I352" s="33"/>
      <c r="J352" s="33"/>
      <c r="K352" s="33"/>
      <c r="L352" s="33"/>
      <c r="M352" s="33"/>
      <c r="N352" s="33"/>
      <c r="O352" s="9"/>
      <c r="P352" s="9"/>
      <c r="Q352" s="8"/>
      <c r="R352" s="8"/>
      <c r="S352" s="12"/>
      <c r="T352" s="32"/>
      <c r="U352" s="32"/>
      <c r="V352" s="32"/>
      <c r="W352" s="32"/>
      <c r="X352" s="8"/>
      <c r="Y352" s="32"/>
      <c r="Z352" s="8"/>
      <c r="AA352" s="8"/>
    </row>
    <row r="353" spans="1:27" s="52" customFormat="1" x14ac:dyDescent="0.25">
      <c r="A353" s="8"/>
      <c r="B353" s="9"/>
      <c r="C353" s="2"/>
      <c r="D353" s="11"/>
      <c r="E353" s="9"/>
      <c r="F353" s="10"/>
      <c r="G353" s="10"/>
      <c r="H353" s="33"/>
      <c r="I353" s="33"/>
      <c r="J353" s="33"/>
      <c r="K353" s="33"/>
      <c r="L353" s="33"/>
      <c r="M353" s="33"/>
      <c r="N353" s="33"/>
      <c r="O353" s="9"/>
      <c r="P353" s="9"/>
      <c r="Q353" s="8"/>
      <c r="R353" s="8"/>
      <c r="S353" s="12"/>
      <c r="T353" s="32"/>
      <c r="U353" s="32"/>
      <c r="V353" s="32"/>
      <c r="W353" s="32"/>
      <c r="X353" s="8"/>
      <c r="Y353" s="32"/>
      <c r="Z353" s="8"/>
      <c r="AA353" s="8"/>
    </row>
    <row r="354" spans="1:27" s="76" customFormat="1" ht="15.75" customHeight="1" x14ac:dyDescent="0.25">
      <c r="A354" s="8"/>
      <c r="B354" s="9"/>
      <c r="C354" s="2"/>
      <c r="D354" s="11"/>
      <c r="E354" s="9"/>
      <c r="F354" s="10"/>
      <c r="G354" s="10"/>
      <c r="H354" s="33"/>
      <c r="I354" s="33"/>
      <c r="J354" s="33"/>
      <c r="K354" s="33"/>
      <c r="L354" s="33"/>
      <c r="M354" s="33"/>
      <c r="N354" s="33"/>
      <c r="O354" s="9"/>
      <c r="P354" s="9"/>
      <c r="Q354" s="8"/>
      <c r="R354" s="8"/>
      <c r="S354" s="12"/>
      <c r="T354" s="32"/>
      <c r="U354" s="32"/>
      <c r="V354" s="32"/>
      <c r="W354" s="32"/>
      <c r="X354" s="8"/>
      <c r="Y354" s="32"/>
      <c r="Z354" s="8"/>
      <c r="AA354" s="8"/>
    </row>
    <row r="355" spans="1:27" s="76" customFormat="1" ht="15.75" customHeight="1" x14ac:dyDescent="0.25">
      <c r="A355" s="8"/>
      <c r="B355" s="9"/>
      <c r="C355" s="2"/>
      <c r="D355" s="11"/>
      <c r="E355" s="9"/>
      <c r="F355" s="10"/>
      <c r="G355" s="10"/>
      <c r="H355" s="33"/>
      <c r="I355" s="33"/>
      <c r="J355" s="33"/>
      <c r="K355" s="33"/>
      <c r="L355" s="33"/>
      <c r="M355" s="33"/>
      <c r="N355" s="33"/>
      <c r="O355" s="9"/>
      <c r="P355" s="9"/>
      <c r="Q355" s="8"/>
      <c r="R355" s="8"/>
      <c r="S355" s="12"/>
      <c r="T355" s="32"/>
      <c r="U355" s="32"/>
      <c r="V355" s="32"/>
      <c r="W355" s="32"/>
      <c r="X355" s="8"/>
      <c r="Y355" s="32"/>
      <c r="Z355" s="8"/>
      <c r="AA355" s="8"/>
    </row>
    <row r="356" spans="1:27" s="76" customFormat="1" ht="15.75" customHeight="1" x14ac:dyDescent="0.25">
      <c r="A356" s="8"/>
      <c r="B356" s="9"/>
      <c r="C356" s="2"/>
      <c r="D356" s="11"/>
      <c r="E356" s="9"/>
      <c r="F356" s="10"/>
      <c r="G356" s="10"/>
      <c r="H356" s="33"/>
      <c r="I356" s="33"/>
      <c r="J356" s="33"/>
      <c r="K356" s="33"/>
      <c r="L356" s="33"/>
      <c r="M356" s="33"/>
      <c r="N356" s="33"/>
      <c r="O356" s="9"/>
      <c r="P356" s="9"/>
      <c r="Q356" s="8"/>
      <c r="R356" s="8"/>
      <c r="S356" s="12"/>
      <c r="T356" s="32"/>
      <c r="U356" s="32"/>
      <c r="V356" s="32"/>
      <c r="W356" s="32"/>
      <c r="X356" s="8"/>
      <c r="Y356" s="32"/>
      <c r="Z356" s="8"/>
      <c r="AA356" s="8"/>
    </row>
    <row r="357" spans="1:27" s="76" customFormat="1" ht="15.75" customHeight="1" x14ac:dyDescent="0.25">
      <c r="A357" s="8"/>
      <c r="B357" s="9"/>
      <c r="C357" s="2"/>
      <c r="D357" s="11"/>
      <c r="E357" s="9"/>
      <c r="F357" s="10"/>
      <c r="G357" s="10"/>
      <c r="H357" s="33"/>
      <c r="I357" s="33"/>
      <c r="J357" s="33"/>
      <c r="K357" s="33"/>
      <c r="L357" s="33"/>
      <c r="M357" s="33"/>
      <c r="N357" s="33"/>
      <c r="O357" s="9"/>
      <c r="P357" s="9"/>
      <c r="Q357" s="8"/>
      <c r="R357" s="8"/>
      <c r="S357" s="12"/>
      <c r="T357" s="32"/>
      <c r="U357" s="32"/>
      <c r="V357" s="32"/>
      <c r="W357" s="32"/>
      <c r="X357" s="8"/>
      <c r="Y357" s="32"/>
      <c r="Z357" s="8"/>
      <c r="AA357" s="8"/>
    </row>
    <row r="358" spans="1:27" s="76" customFormat="1" ht="15.75" customHeight="1" x14ac:dyDescent="0.25">
      <c r="A358" s="8"/>
      <c r="B358" s="9"/>
      <c r="C358" s="2"/>
      <c r="D358" s="11"/>
      <c r="E358" s="9"/>
      <c r="F358" s="10"/>
      <c r="G358" s="10"/>
      <c r="H358" s="33"/>
      <c r="I358" s="33"/>
      <c r="J358" s="33"/>
      <c r="K358" s="33"/>
      <c r="L358" s="33"/>
      <c r="M358" s="33"/>
      <c r="N358" s="33"/>
      <c r="O358" s="9"/>
      <c r="P358" s="9"/>
      <c r="Q358" s="8"/>
      <c r="R358" s="8"/>
      <c r="S358" s="12"/>
      <c r="T358" s="32"/>
      <c r="U358" s="32"/>
      <c r="V358" s="32"/>
      <c r="W358" s="32"/>
      <c r="X358" s="8"/>
      <c r="Y358" s="32"/>
      <c r="Z358" s="8"/>
      <c r="AA358" s="8"/>
    </row>
    <row r="359" spans="1:27" s="76" customFormat="1" ht="15.75" customHeight="1" x14ac:dyDescent="0.25">
      <c r="A359" s="8"/>
      <c r="B359" s="9"/>
      <c r="C359" s="2"/>
      <c r="D359" s="11"/>
      <c r="E359" s="9"/>
      <c r="F359" s="10"/>
      <c r="G359" s="10"/>
      <c r="H359" s="33"/>
      <c r="I359" s="33"/>
      <c r="J359" s="33"/>
      <c r="K359" s="33"/>
      <c r="L359" s="33"/>
      <c r="M359" s="33"/>
      <c r="N359" s="33"/>
      <c r="O359" s="9"/>
      <c r="P359" s="9"/>
      <c r="Q359" s="8"/>
      <c r="R359" s="8"/>
      <c r="S359" s="12"/>
      <c r="T359" s="32"/>
      <c r="U359" s="32"/>
      <c r="V359" s="32"/>
      <c r="W359" s="32"/>
      <c r="X359" s="8"/>
      <c r="Y359" s="32"/>
      <c r="Z359" s="8"/>
      <c r="AA359" s="8"/>
    </row>
    <row r="360" spans="1:27" s="76" customFormat="1" ht="15.75" customHeight="1" x14ac:dyDescent="0.25">
      <c r="A360" s="8"/>
      <c r="B360" s="9"/>
      <c r="C360" s="2"/>
      <c r="D360" s="11"/>
      <c r="E360" s="9"/>
      <c r="F360" s="10"/>
      <c r="G360" s="10"/>
      <c r="H360" s="33"/>
      <c r="I360" s="33"/>
      <c r="J360" s="33"/>
      <c r="K360" s="33"/>
      <c r="L360" s="33"/>
      <c r="M360" s="33"/>
      <c r="N360" s="33"/>
      <c r="O360" s="9"/>
      <c r="P360" s="9"/>
      <c r="Q360" s="8"/>
      <c r="R360" s="8"/>
      <c r="S360" s="12"/>
      <c r="T360" s="32"/>
      <c r="U360" s="32"/>
      <c r="V360" s="32"/>
      <c r="W360" s="32"/>
      <c r="X360" s="8"/>
      <c r="Y360" s="32"/>
      <c r="Z360" s="8"/>
      <c r="AA360" s="8"/>
    </row>
    <row r="361" spans="1:27" s="76" customFormat="1" ht="15.75" customHeight="1" x14ac:dyDescent="0.25">
      <c r="A361" s="8"/>
      <c r="B361" s="9"/>
      <c r="C361" s="2"/>
      <c r="D361" s="11"/>
      <c r="E361" s="9"/>
      <c r="F361" s="10"/>
      <c r="G361" s="10"/>
      <c r="H361" s="33"/>
      <c r="I361" s="33"/>
      <c r="J361" s="33"/>
      <c r="K361" s="33"/>
      <c r="L361" s="33"/>
      <c r="M361" s="33"/>
      <c r="N361" s="33"/>
      <c r="O361" s="9"/>
      <c r="P361" s="9"/>
      <c r="Q361" s="8"/>
      <c r="R361" s="8"/>
      <c r="S361" s="12"/>
      <c r="T361" s="32"/>
      <c r="U361" s="32"/>
      <c r="V361" s="32"/>
      <c r="W361" s="32"/>
      <c r="X361" s="8"/>
      <c r="Y361" s="32"/>
      <c r="Z361" s="8"/>
      <c r="AA361" s="8"/>
    </row>
    <row r="362" spans="1:27" s="76" customFormat="1" ht="15.75" customHeight="1" x14ac:dyDescent="0.25">
      <c r="A362" s="8"/>
      <c r="B362" s="9"/>
      <c r="C362" s="2"/>
      <c r="D362" s="11"/>
      <c r="E362" s="9"/>
      <c r="F362" s="10"/>
      <c r="G362" s="10"/>
      <c r="H362" s="33"/>
      <c r="I362" s="33"/>
      <c r="J362" s="33"/>
      <c r="K362" s="33"/>
      <c r="L362" s="33"/>
      <c r="M362" s="33"/>
      <c r="N362" s="33"/>
      <c r="O362" s="9"/>
      <c r="P362" s="9"/>
      <c r="Q362" s="8"/>
      <c r="R362" s="8"/>
      <c r="S362" s="12"/>
      <c r="T362" s="32"/>
      <c r="U362" s="32"/>
      <c r="V362" s="32"/>
      <c r="W362" s="32"/>
      <c r="X362" s="8"/>
      <c r="Y362" s="32"/>
      <c r="Z362" s="8"/>
      <c r="AA362" s="8"/>
    </row>
    <row r="363" spans="1:27" s="76" customFormat="1" ht="15.75" customHeight="1" x14ac:dyDescent="0.25">
      <c r="A363" s="8"/>
      <c r="B363" s="9"/>
      <c r="C363" s="2"/>
      <c r="D363" s="11"/>
      <c r="E363" s="9"/>
      <c r="F363" s="10"/>
      <c r="G363" s="10"/>
      <c r="H363" s="33"/>
      <c r="I363" s="33"/>
      <c r="J363" s="33"/>
      <c r="K363" s="33"/>
      <c r="L363" s="33"/>
      <c r="M363" s="33"/>
      <c r="N363" s="33"/>
      <c r="O363" s="9"/>
      <c r="P363" s="9"/>
      <c r="Q363" s="8"/>
      <c r="R363" s="8"/>
      <c r="S363" s="12"/>
      <c r="T363" s="32"/>
      <c r="U363" s="32"/>
      <c r="V363" s="32"/>
      <c r="W363" s="32"/>
      <c r="X363" s="8"/>
      <c r="Y363" s="32"/>
      <c r="Z363" s="8"/>
      <c r="AA363" s="8"/>
    </row>
    <row r="364" spans="1:27" s="76" customFormat="1" ht="15.75" customHeight="1" x14ac:dyDescent="0.25">
      <c r="A364" s="8"/>
      <c r="B364" s="9"/>
      <c r="C364" s="2"/>
      <c r="D364" s="11"/>
      <c r="E364" s="9"/>
      <c r="F364" s="10"/>
      <c r="G364" s="10"/>
      <c r="H364" s="33"/>
      <c r="I364" s="33"/>
      <c r="J364" s="33"/>
      <c r="K364" s="33"/>
      <c r="L364" s="33"/>
      <c r="M364" s="33"/>
      <c r="N364" s="33"/>
      <c r="O364" s="9"/>
      <c r="P364" s="9"/>
      <c r="Q364" s="8"/>
      <c r="R364" s="8"/>
      <c r="S364" s="12"/>
      <c r="T364" s="32"/>
      <c r="U364" s="32"/>
      <c r="V364" s="32"/>
      <c r="W364" s="32"/>
      <c r="X364" s="8"/>
      <c r="Y364" s="32"/>
      <c r="Z364" s="8"/>
      <c r="AA364" s="8"/>
    </row>
    <row r="365" spans="1:27" s="76" customFormat="1" ht="15.75" customHeight="1" x14ac:dyDescent="0.25">
      <c r="A365" s="8"/>
      <c r="B365" s="9"/>
      <c r="C365" s="2"/>
      <c r="D365" s="11"/>
      <c r="E365" s="9"/>
      <c r="F365" s="10"/>
      <c r="G365" s="10"/>
      <c r="H365" s="33"/>
      <c r="I365" s="33"/>
      <c r="J365" s="33"/>
      <c r="K365" s="33"/>
      <c r="L365" s="33"/>
      <c r="M365" s="33"/>
      <c r="N365" s="33"/>
      <c r="O365" s="9"/>
      <c r="P365" s="9"/>
      <c r="Q365" s="8"/>
      <c r="R365" s="8"/>
      <c r="S365" s="12"/>
      <c r="T365" s="32"/>
      <c r="U365" s="32"/>
      <c r="V365" s="32"/>
      <c r="W365" s="32"/>
      <c r="X365" s="8"/>
      <c r="Y365" s="32"/>
      <c r="Z365" s="8"/>
      <c r="AA365" s="8"/>
    </row>
    <row r="366" spans="1:27" s="76" customFormat="1" ht="15.75" customHeight="1" x14ac:dyDescent="0.25">
      <c r="A366" s="8"/>
      <c r="B366" s="9"/>
      <c r="C366" s="2"/>
      <c r="D366" s="11"/>
      <c r="E366" s="9"/>
      <c r="F366" s="10"/>
      <c r="G366" s="10"/>
      <c r="H366" s="33"/>
      <c r="I366" s="33"/>
      <c r="J366" s="33"/>
      <c r="K366" s="33"/>
      <c r="L366" s="33"/>
      <c r="M366" s="33"/>
      <c r="N366" s="33"/>
      <c r="O366" s="9"/>
      <c r="P366" s="9"/>
      <c r="Q366" s="8"/>
      <c r="R366" s="8"/>
      <c r="S366" s="12"/>
      <c r="T366" s="32"/>
      <c r="U366" s="32"/>
      <c r="V366" s="32"/>
      <c r="W366" s="32"/>
      <c r="X366" s="8"/>
      <c r="Y366" s="32"/>
      <c r="Z366" s="8"/>
      <c r="AA366" s="8"/>
    </row>
    <row r="367" spans="1:27" s="76" customFormat="1" ht="15.75" customHeight="1" x14ac:dyDescent="0.25">
      <c r="A367" s="8"/>
      <c r="B367" s="9"/>
      <c r="C367" s="2"/>
      <c r="D367" s="11"/>
      <c r="E367" s="9"/>
      <c r="F367" s="10"/>
      <c r="G367" s="10"/>
      <c r="H367" s="33"/>
      <c r="I367" s="33"/>
      <c r="J367" s="33"/>
      <c r="K367" s="33"/>
      <c r="L367" s="33"/>
      <c r="M367" s="33"/>
      <c r="N367" s="33"/>
      <c r="O367" s="9"/>
      <c r="P367" s="9"/>
      <c r="Q367" s="8"/>
      <c r="R367" s="8"/>
      <c r="S367" s="12"/>
      <c r="T367" s="32"/>
      <c r="U367" s="32"/>
      <c r="V367" s="32"/>
      <c r="W367" s="32"/>
      <c r="X367" s="8"/>
      <c r="Y367" s="32"/>
      <c r="Z367" s="8"/>
      <c r="AA367" s="8"/>
    </row>
    <row r="368" spans="1:27" s="76" customFormat="1" ht="15.75" customHeight="1" x14ac:dyDescent="0.25">
      <c r="A368" s="8"/>
      <c r="B368" s="9"/>
      <c r="C368" s="2"/>
      <c r="D368" s="11"/>
      <c r="E368" s="9"/>
      <c r="F368" s="10"/>
      <c r="G368" s="10"/>
      <c r="H368" s="33"/>
      <c r="I368" s="33"/>
      <c r="J368" s="33"/>
      <c r="K368" s="33"/>
      <c r="L368" s="33"/>
      <c r="M368" s="33"/>
      <c r="N368" s="33"/>
      <c r="O368" s="9"/>
      <c r="P368" s="9"/>
      <c r="Q368" s="8"/>
      <c r="R368" s="8"/>
      <c r="S368" s="12"/>
      <c r="T368" s="32"/>
      <c r="U368" s="32"/>
      <c r="V368" s="32"/>
      <c r="W368" s="32"/>
      <c r="X368" s="8"/>
      <c r="Y368" s="32"/>
      <c r="Z368" s="8"/>
      <c r="AA368" s="8"/>
    </row>
    <row r="369" spans="1:27" s="70" customFormat="1" x14ac:dyDescent="0.25">
      <c r="A369" s="8"/>
      <c r="B369" s="9"/>
      <c r="C369" s="2"/>
      <c r="D369" s="11"/>
      <c r="E369" s="9"/>
      <c r="F369" s="10"/>
      <c r="G369" s="10"/>
      <c r="H369" s="33"/>
      <c r="I369" s="33"/>
      <c r="J369" s="33"/>
      <c r="K369" s="33"/>
      <c r="L369" s="33"/>
      <c r="M369" s="33"/>
      <c r="N369" s="33"/>
      <c r="O369" s="9"/>
      <c r="P369" s="9"/>
      <c r="Q369" s="8"/>
      <c r="R369" s="8"/>
      <c r="S369" s="12"/>
      <c r="T369" s="32"/>
      <c r="U369" s="32"/>
      <c r="V369" s="32"/>
      <c r="W369" s="32"/>
      <c r="X369" s="8"/>
      <c r="Y369" s="32"/>
      <c r="Z369" s="8"/>
      <c r="AA369" s="8"/>
    </row>
    <row r="370" spans="1:27" s="52" customFormat="1" x14ac:dyDescent="0.25">
      <c r="A370" s="8"/>
      <c r="B370" s="9"/>
      <c r="C370" s="2"/>
      <c r="D370" s="11"/>
      <c r="E370" s="9"/>
      <c r="F370" s="10"/>
      <c r="G370" s="10"/>
      <c r="H370" s="33"/>
      <c r="I370" s="33"/>
      <c r="J370" s="33"/>
      <c r="K370" s="33"/>
      <c r="L370" s="33"/>
      <c r="M370" s="33"/>
      <c r="N370" s="33"/>
      <c r="O370" s="9"/>
      <c r="P370" s="9"/>
      <c r="Q370" s="8"/>
      <c r="R370" s="8"/>
      <c r="S370" s="12"/>
      <c r="T370" s="32"/>
      <c r="U370" s="32"/>
      <c r="V370" s="32"/>
      <c r="W370" s="32"/>
      <c r="X370" s="8"/>
      <c r="Y370" s="32"/>
      <c r="Z370" s="8"/>
      <c r="AA370" s="8"/>
    </row>
    <row r="371" spans="1:27" s="52" customFormat="1" x14ac:dyDescent="0.25">
      <c r="A371" s="8"/>
      <c r="B371" s="9"/>
      <c r="C371" s="2"/>
      <c r="D371" s="11"/>
      <c r="E371" s="9"/>
      <c r="F371" s="10"/>
      <c r="G371" s="10"/>
      <c r="H371" s="33"/>
      <c r="I371" s="33"/>
      <c r="J371" s="33"/>
      <c r="K371" s="33"/>
      <c r="L371" s="33"/>
      <c r="M371" s="33"/>
      <c r="N371" s="33"/>
      <c r="O371" s="9"/>
      <c r="P371" s="9"/>
      <c r="Q371" s="8"/>
      <c r="R371" s="8"/>
      <c r="S371" s="12"/>
      <c r="T371" s="32"/>
      <c r="U371" s="32"/>
      <c r="V371" s="32"/>
      <c r="W371" s="32"/>
      <c r="X371" s="8"/>
      <c r="Y371" s="32"/>
      <c r="Z371" s="8"/>
      <c r="AA371" s="8"/>
    </row>
    <row r="372" spans="1:27" s="52" customFormat="1" x14ac:dyDescent="0.25">
      <c r="A372" s="8"/>
      <c r="B372" s="9"/>
      <c r="C372" s="2"/>
      <c r="D372" s="11"/>
      <c r="E372" s="9"/>
      <c r="F372" s="10"/>
      <c r="G372" s="10"/>
      <c r="H372" s="33"/>
      <c r="I372" s="33"/>
      <c r="J372" s="33"/>
      <c r="K372" s="33"/>
      <c r="L372" s="33"/>
      <c r="M372" s="33"/>
      <c r="N372" s="33"/>
      <c r="O372" s="9"/>
      <c r="P372" s="9"/>
      <c r="Q372" s="8"/>
      <c r="R372" s="8"/>
      <c r="S372" s="12"/>
      <c r="T372" s="32"/>
      <c r="U372" s="32"/>
      <c r="V372" s="32"/>
      <c r="W372" s="32"/>
      <c r="X372" s="8"/>
      <c r="Y372" s="32"/>
      <c r="Z372" s="8"/>
      <c r="AA372" s="8"/>
    </row>
    <row r="373" spans="1:27" s="52" customFormat="1" x14ac:dyDescent="0.25">
      <c r="A373" s="8"/>
      <c r="B373" s="9"/>
      <c r="C373" s="2"/>
      <c r="D373" s="11"/>
      <c r="E373" s="9"/>
      <c r="F373" s="10"/>
      <c r="G373" s="10"/>
      <c r="H373" s="33"/>
      <c r="I373" s="33"/>
      <c r="J373" s="33"/>
      <c r="K373" s="33"/>
      <c r="L373" s="33"/>
      <c r="M373" s="33"/>
      <c r="N373" s="33"/>
      <c r="O373" s="9"/>
      <c r="P373" s="9"/>
      <c r="Q373" s="8"/>
      <c r="R373" s="8"/>
      <c r="S373" s="12"/>
      <c r="T373" s="32"/>
      <c r="U373" s="32"/>
      <c r="V373" s="32"/>
      <c r="W373" s="32"/>
      <c r="X373" s="8"/>
      <c r="Y373" s="32"/>
      <c r="Z373" s="8"/>
      <c r="AA373" s="8"/>
    </row>
    <row r="374" spans="1:27" s="52" customFormat="1" x14ac:dyDescent="0.25">
      <c r="A374" s="8"/>
      <c r="B374" s="9"/>
      <c r="C374" s="2"/>
      <c r="D374" s="11"/>
      <c r="E374" s="9"/>
      <c r="F374" s="10"/>
      <c r="G374" s="10"/>
      <c r="H374" s="33"/>
      <c r="I374" s="33"/>
      <c r="J374" s="33"/>
      <c r="K374" s="33"/>
      <c r="L374" s="33"/>
      <c r="M374" s="33"/>
      <c r="N374" s="33"/>
      <c r="O374" s="9"/>
      <c r="P374" s="9"/>
      <c r="Q374" s="8"/>
      <c r="R374" s="8"/>
      <c r="S374" s="12"/>
      <c r="T374" s="32"/>
      <c r="U374" s="32"/>
      <c r="V374" s="32"/>
      <c r="W374" s="32"/>
      <c r="X374" s="8"/>
      <c r="Y374" s="32"/>
      <c r="Z374" s="8"/>
      <c r="AA374" s="8"/>
    </row>
    <row r="375" spans="1:27" s="52" customFormat="1" x14ac:dyDescent="0.25">
      <c r="A375" s="8"/>
      <c r="B375" s="9"/>
      <c r="C375" s="2"/>
      <c r="D375" s="11"/>
      <c r="E375" s="9"/>
      <c r="F375" s="10"/>
      <c r="G375" s="10"/>
      <c r="H375" s="33"/>
      <c r="I375" s="33"/>
      <c r="J375" s="33"/>
      <c r="K375" s="33"/>
      <c r="L375" s="33"/>
      <c r="M375" s="33"/>
      <c r="N375" s="33"/>
      <c r="O375" s="9"/>
      <c r="P375" s="9"/>
      <c r="Q375" s="8"/>
      <c r="R375" s="8"/>
      <c r="S375" s="12"/>
      <c r="T375" s="32"/>
      <c r="U375" s="32"/>
      <c r="V375" s="32"/>
      <c r="W375" s="32"/>
      <c r="X375" s="8"/>
      <c r="Y375" s="32"/>
      <c r="Z375" s="8"/>
      <c r="AA375" s="8"/>
    </row>
    <row r="376" spans="1:27" s="52" customFormat="1" x14ac:dyDescent="0.25">
      <c r="A376" s="8"/>
      <c r="B376" s="9"/>
      <c r="C376" s="2"/>
      <c r="D376" s="11"/>
      <c r="E376" s="9"/>
      <c r="F376" s="10"/>
      <c r="G376" s="10"/>
      <c r="H376" s="33"/>
      <c r="I376" s="33"/>
      <c r="J376" s="33"/>
      <c r="K376" s="33"/>
      <c r="L376" s="33"/>
      <c r="M376" s="33"/>
      <c r="N376" s="33"/>
      <c r="O376" s="9"/>
      <c r="P376" s="9"/>
      <c r="Q376" s="8"/>
      <c r="R376" s="8"/>
      <c r="S376" s="12"/>
      <c r="T376" s="32"/>
      <c r="U376" s="32"/>
      <c r="V376" s="32"/>
      <c r="W376" s="32"/>
      <c r="X376" s="8"/>
      <c r="Y376" s="32"/>
      <c r="Z376" s="8"/>
      <c r="AA376" s="8"/>
    </row>
    <row r="377" spans="1:27" s="52" customFormat="1" x14ac:dyDescent="0.25">
      <c r="A377" s="8"/>
      <c r="B377" s="9"/>
      <c r="C377" s="2"/>
      <c r="D377" s="11"/>
      <c r="E377" s="9"/>
      <c r="F377" s="10"/>
      <c r="G377" s="10"/>
      <c r="H377" s="33"/>
      <c r="I377" s="33"/>
      <c r="J377" s="33"/>
      <c r="K377" s="33"/>
      <c r="L377" s="33"/>
      <c r="M377" s="33"/>
      <c r="N377" s="33"/>
      <c r="O377" s="9"/>
      <c r="P377" s="9"/>
      <c r="Q377" s="8"/>
      <c r="R377" s="8"/>
      <c r="S377" s="12"/>
      <c r="T377" s="32"/>
      <c r="U377" s="32"/>
      <c r="V377" s="32"/>
      <c r="W377" s="32"/>
      <c r="X377" s="8"/>
      <c r="Y377" s="32"/>
      <c r="Z377" s="8"/>
      <c r="AA377" s="8"/>
    </row>
    <row r="378" spans="1:27" s="52" customFormat="1" x14ac:dyDescent="0.25">
      <c r="A378" s="8"/>
      <c r="B378" s="9"/>
      <c r="C378" s="2"/>
      <c r="D378" s="11"/>
      <c r="E378" s="9"/>
      <c r="F378" s="10"/>
      <c r="G378" s="10"/>
      <c r="H378" s="33"/>
      <c r="I378" s="33"/>
      <c r="J378" s="33"/>
      <c r="K378" s="33"/>
      <c r="L378" s="33"/>
      <c r="M378" s="33"/>
      <c r="N378" s="33"/>
      <c r="O378" s="9"/>
      <c r="P378" s="9"/>
      <c r="Q378" s="8"/>
      <c r="R378" s="8"/>
      <c r="S378" s="12"/>
      <c r="T378" s="32"/>
      <c r="U378" s="32"/>
      <c r="V378" s="32"/>
      <c r="W378" s="32"/>
      <c r="X378" s="8"/>
      <c r="Y378" s="32"/>
      <c r="Z378" s="8"/>
      <c r="AA378" s="8"/>
    </row>
    <row r="379" spans="1:27" s="52" customFormat="1" x14ac:dyDescent="0.25">
      <c r="A379" s="8"/>
      <c r="B379" s="9"/>
      <c r="C379" s="2"/>
      <c r="D379" s="11"/>
      <c r="E379" s="9"/>
      <c r="F379" s="10"/>
      <c r="G379" s="10"/>
      <c r="H379" s="33"/>
      <c r="I379" s="33"/>
      <c r="J379" s="33"/>
      <c r="K379" s="33"/>
      <c r="L379" s="33"/>
      <c r="M379" s="33"/>
      <c r="N379" s="33"/>
      <c r="O379" s="9"/>
      <c r="P379" s="9"/>
      <c r="Q379" s="8"/>
      <c r="R379" s="8"/>
      <c r="S379" s="12"/>
      <c r="T379" s="32"/>
      <c r="U379" s="32"/>
      <c r="V379" s="32"/>
      <c r="W379" s="32"/>
      <c r="X379" s="8"/>
      <c r="Y379" s="32"/>
      <c r="Z379" s="8"/>
      <c r="AA379" s="8"/>
    </row>
    <row r="380" spans="1:27" s="52" customFormat="1" x14ac:dyDescent="0.25">
      <c r="A380" s="8"/>
      <c r="B380" s="9"/>
      <c r="C380" s="2"/>
      <c r="D380" s="11"/>
      <c r="E380" s="9"/>
      <c r="F380" s="10"/>
      <c r="G380" s="10"/>
      <c r="H380" s="33"/>
      <c r="I380" s="33"/>
      <c r="J380" s="33"/>
      <c r="K380" s="33"/>
      <c r="L380" s="33"/>
      <c r="M380" s="33"/>
      <c r="N380" s="33"/>
      <c r="O380" s="9"/>
      <c r="P380" s="9"/>
      <c r="Q380" s="8"/>
      <c r="R380" s="8"/>
      <c r="S380" s="12"/>
      <c r="T380" s="32"/>
      <c r="U380" s="32"/>
      <c r="V380" s="32"/>
      <c r="W380" s="32"/>
      <c r="X380" s="8"/>
      <c r="Y380" s="32"/>
      <c r="Z380" s="8"/>
      <c r="AA380" s="8"/>
    </row>
    <row r="381" spans="1:27" s="52" customFormat="1" x14ac:dyDescent="0.25">
      <c r="A381" s="8"/>
      <c r="B381" s="9"/>
      <c r="C381" s="2"/>
      <c r="D381" s="11"/>
      <c r="E381" s="9"/>
      <c r="F381" s="10"/>
      <c r="G381" s="10"/>
      <c r="H381" s="33"/>
      <c r="I381" s="33"/>
      <c r="J381" s="33"/>
      <c r="K381" s="33"/>
      <c r="L381" s="33"/>
      <c r="M381" s="33"/>
      <c r="N381" s="33"/>
      <c r="O381" s="9"/>
      <c r="P381" s="9"/>
      <c r="Q381" s="8"/>
      <c r="R381" s="8"/>
      <c r="S381" s="12"/>
      <c r="T381" s="32"/>
      <c r="U381" s="32"/>
      <c r="V381" s="32"/>
      <c r="W381" s="32"/>
      <c r="X381" s="8"/>
      <c r="Y381" s="32"/>
      <c r="Z381" s="8"/>
      <c r="AA381" s="8"/>
    </row>
    <row r="382" spans="1:27" s="52" customFormat="1" x14ac:dyDescent="0.25">
      <c r="A382" s="8"/>
      <c r="B382" s="9"/>
      <c r="C382" s="2"/>
      <c r="D382" s="11"/>
      <c r="E382" s="9"/>
      <c r="F382" s="10"/>
      <c r="G382" s="10"/>
      <c r="H382" s="33"/>
      <c r="I382" s="33"/>
      <c r="J382" s="33"/>
      <c r="K382" s="33"/>
      <c r="L382" s="33"/>
      <c r="M382" s="33"/>
      <c r="N382" s="33"/>
      <c r="O382" s="9"/>
      <c r="P382" s="9"/>
      <c r="Q382" s="8"/>
      <c r="R382" s="8"/>
      <c r="S382" s="12"/>
      <c r="T382" s="32"/>
      <c r="U382" s="32"/>
      <c r="V382" s="32"/>
      <c r="W382" s="32"/>
      <c r="X382" s="8"/>
      <c r="Y382" s="32"/>
      <c r="Z382" s="8"/>
      <c r="AA382" s="8"/>
    </row>
    <row r="383" spans="1:27" s="52" customFormat="1" x14ac:dyDescent="0.25">
      <c r="A383" s="8"/>
      <c r="B383" s="9"/>
      <c r="C383" s="2"/>
      <c r="D383" s="11"/>
      <c r="E383" s="9"/>
      <c r="F383" s="10"/>
      <c r="G383" s="10"/>
      <c r="H383" s="33"/>
      <c r="I383" s="33"/>
      <c r="J383" s="33"/>
      <c r="K383" s="33"/>
      <c r="L383" s="33"/>
      <c r="M383" s="33"/>
      <c r="N383" s="33"/>
      <c r="O383" s="9"/>
      <c r="P383" s="9"/>
      <c r="Q383" s="8"/>
      <c r="R383" s="8"/>
      <c r="S383" s="12"/>
      <c r="T383" s="32"/>
      <c r="U383" s="32"/>
      <c r="V383" s="32"/>
      <c r="W383" s="32"/>
      <c r="X383" s="8"/>
      <c r="Y383" s="32"/>
      <c r="Z383" s="8"/>
      <c r="AA383" s="8"/>
    </row>
    <row r="384" spans="1:27" s="52" customFormat="1" x14ac:dyDescent="0.25">
      <c r="A384" s="8"/>
      <c r="B384" s="9"/>
      <c r="C384" s="2"/>
      <c r="D384" s="11"/>
      <c r="E384" s="9"/>
      <c r="F384" s="10"/>
      <c r="G384" s="10"/>
      <c r="H384" s="33"/>
      <c r="I384" s="33"/>
      <c r="J384" s="33"/>
      <c r="K384" s="33"/>
      <c r="L384" s="33"/>
      <c r="M384" s="33"/>
      <c r="N384" s="33"/>
      <c r="O384" s="9"/>
      <c r="P384" s="9"/>
      <c r="Q384" s="8"/>
      <c r="R384" s="8"/>
      <c r="S384" s="12"/>
      <c r="T384" s="32"/>
      <c r="U384" s="32"/>
      <c r="V384" s="32"/>
      <c r="W384" s="32"/>
      <c r="X384" s="8"/>
      <c r="Y384" s="32"/>
      <c r="Z384" s="8"/>
      <c r="AA384" s="8"/>
    </row>
    <row r="385" spans="1:27" s="52" customFormat="1" x14ac:dyDescent="0.25">
      <c r="A385" s="8"/>
      <c r="B385" s="9"/>
      <c r="C385" s="2"/>
      <c r="D385" s="11"/>
      <c r="E385" s="9"/>
      <c r="F385" s="10"/>
      <c r="G385" s="10"/>
      <c r="H385" s="33"/>
      <c r="I385" s="33"/>
      <c r="J385" s="33"/>
      <c r="K385" s="33"/>
      <c r="L385" s="33"/>
      <c r="M385" s="33"/>
      <c r="N385" s="33"/>
      <c r="O385" s="9"/>
      <c r="P385" s="9"/>
      <c r="Q385" s="8"/>
      <c r="R385" s="8"/>
      <c r="S385" s="12"/>
      <c r="T385" s="32"/>
      <c r="U385" s="32"/>
      <c r="V385" s="32"/>
      <c r="W385" s="32"/>
      <c r="X385" s="8"/>
      <c r="Y385" s="32"/>
      <c r="Z385" s="8"/>
      <c r="AA385" s="8"/>
    </row>
    <row r="386" spans="1:27" s="52" customFormat="1" x14ac:dyDescent="0.25">
      <c r="A386" s="8"/>
      <c r="B386" s="9"/>
      <c r="C386" s="2"/>
      <c r="D386" s="11"/>
      <c r="E386" s="9"/>
      <c r="F386" s="10"/>
      <c r="G386" s="10"/>
      <c r="H386" s="33"/>
      <c r="I386" s="33"/>
      <c r="J386" s="33"/>
      <c r="K386" s="33"/>
      <c r="L386" s="33"/>
      <c r="M386" s="33"/>
      <c r="N386" s="33"/>
      <c r="O386" s="9"/>
      <c r="P386" s="9"/>
      <c r="Q386" s="8"/>
      <c r="R386" s="8"/>
      <c r="S386" s="12"/>
      <c r="T386" s="32"/>
      <c r="U386" s="32"/>
      <c r="V386" s="32"/>
      <c r="W386" s="32"/>
      <c r="X386" s="8"/>
      <c r="Y386" s="32"/>
      <c r="Z386" s="8"/>
      <c r="AA386" s="8"/>
    </row>
    <row r="387" spans="1:27" s="52" customFormat="1" x14ac:dyDescent="0.25">
      <c r="A387" s="8"/>
      <c r="B387" s="9"/>
      <c r="C387" s="2"/>
      <c r="D387" s="11"/>
      <c r="E387" s="9"/>
      <c r="F387" s="10"/>
      <c r="G387" s="10"/>
      <c r="H387" s="33"/>
      <c r="I387" s="33"/>
      <c r="J387" s="33"/>
      <c r="K387" s="33"/>
      <c r="L387" s="33"/>
      <c r="M387" s="33"/>
      <c r="N387" s="33"/>
      <c r="O387" s="9"/>
      <c r="P387" s="9"/>
      <c r="Q387" s="8"/>
      <c r="R387" s="8"/>
      <c r="S387" s="12"/>
      <c r="T387" s="32"/>
      <c r="U387" s="32"/>
      <c r="V387" s="32"/>
      <c r="W387" s="32"/>
      <c r="X387" s="8"/>
      <c r="Y387" s="32"/>
      <c r="Z387" s="8"/>
      <c r="AA387" s="8"/>
    </row>
    <row r="388" spans="1:27" s="52" customFormat="1" x14ac:dyDescent="0.25">
      <c r="A388" s="8"/>
      <c r="B388" s="9"/>
      <c r="C388" s="2"/>
      <c r="D388" s="11"/>
      <c r="E388" s="9"/>
      <c r="F388" s="10"/>
      <c r="G388" s="10"/>
      <c r="H388" s="33"/>
      <c r="I388" s="33"/>
      <c r="J388" s="33"/>
      <c r="K388" s="33"/>
      <c r="L388" s="33"/>
      <c r="M388" s="33"/>
      <c r="N388" s="33"/>
      <c r="O388" s="9"/>
      <c r="P388" s="9"/>
      <c r="Q388" s="8"/>
      <c r="R388" s="8"/>
      <c r="S388" s="12"/>
      <c r="T388" s="32"/>
      <c r="U388" s="32"/>
      <c r="V388" s="32"/>
      <c r="W388" s="32"/>
      <c r="X388" s="8"/>
      <c r="Y388" s="32"/>
      <c r="Z388" s="8"/>
      <c r="AA388" s="8"/>
    </row>
    <row r="389" spans="1:27" s="52" customFormat="1" x14ac:dyDescent="0.25">
      <c r="A389" s="8"/>
      <c r="B389" s="9"/>
      <c r="C389" s="2"/>
      <c r="D389" s="11"/>
      <c r="E389" s="9"/>
      <c r="F389" s="10"/>
      <c r="G389" s="10"/>
      <c r="H389" s="33"/>
      <c r="I389" s="33"/>
      <c r="J389" s="33"/>
      <c r="K389" s="33"/>
      <c r="L389" s="33"/>
      <c r="M389" s="33"/>
      <c r="N389" s="33"/>
      <c r="O389" s="9"/>
      <c r="P389" s="9"/>
      <c r="Q389" s="8"/>
      <c r="R389" s="8"/>
      <c r="S389" s="12"/>
      <c r="T389" s="32"/>
      <c r="U389" s="32"/>
      <c r="V389" s="32"/>
      <c r="W389" s="32"/>
      <c r="X389" s="8"/>
      <c r="Y389" s="32"/>
      <c r="Z389" s="8"/>
      <c r="AA389" s="8"/>
    </row>
    <row r="390" spans="1:27" s="52" customFormat="1" x14ac:dyDescent="0.25">
      <c r="A390" s="8"/>
      <c r="B390" s="9"/>
      <c r="C390" s="2"/>
      <c r="D390" s="11"/>
      <c r="E390" s="9"/>
      <c r="F390" s="10"/>
      <c r="G390" s="10"/>
      <c r="H390" s="33"/>
      <c r="I390" s="33"/>
      <c r="J390" s="33"/>
      <c r="K390" s="33"/>
      <c r="L390" s="33"/>
      <c r="M390" s="33"/>
      <c r="N390" s="33"/>
      <c r="O390" s="9"/>
      <c r="P390" s="9"/>
      <c r="Q390" s="8"/>
      <c r="R390" s="8"/>
      <c r="S390" s="12"/>
      <c r="T390" s="32"/>
      <c r="U390" s="32"/>
      <c r="V390" s="32"/>
      <c r="W390" s="32"/>
      <c r="X390" s="8"/>
      <c r="Y390" s="32"/>
      <c r="Z390" s="8"/>
      <c r="AA390" s="8"/>
    </row>
    <row r="391" spans="1:27" s="52" customFormat="1" x14ac:dyDescent="0.25">
      <c r="A391" s="8"/>
      <c r="B391" s="9"/>
      <c r="C391" s="2"/>
      <c r="D391" s="11"/>
      <c r="E391" s="9"/>
      <c r="F391" s="10"/>
      <c r="G391" s="10"/>
      <c r="H391" s="33"/>
      <c r="I391" s="33"/>
      <c r="J391" s="33"/>
      <c r="K391" s="33"/>
      <c r="L391" s="33"/>
      <c r="M391" s="33"/>
      <c r="N391" s="33"/>
      <c r="O391" s="9"/>
      <c r="P391" s="9"/>
      <c r="Q391" s="8"/>
      <c r="R391" s="8"/>
      <c r="S391" s="12"/>
      <c r="T391" s="32"/>
      <c r="U391" s="32"/>
      <c r="V391" s="32"/>
      <c r="W391" s="32"/>
      <c r="X391" s="8"/>
      <c r="Y391" s="32"/>
      <c r="Z391" s="8"/>
      <c r="AA391" s="8"/>
    </row>
    <row r="392" spans="1:27" s="52" customFormat="1" x14ac:dyDescent="0.25">
      <c r="A392" s="8"/>
      <c r="B392" s="9"/>
      <c r="C392" s="2"/>
      <c r="D392" s="11"/>
      <c r="E392" s="9"/>
      <c r="F392" s="10"/>
      <c r="G392" s="10"/>
      <c r="H392" s="33"/>
      <c r="I392" s="33"/>
      <c r="J392" s="33"/>
      <c r="K392" s="33"/>
      <c r="L392" s="33"/>
      <c r="M392" s="33"/>
      <c r="N392" s="33"/>
      <c r="O392" s="9"/>
      <c r="P392" s="9"/>
      <c r="Q392" s="8"/>
      <c r="R392" s="8"/>
      <c r="S392" s="12"/>
      <c r="T392" s="32"/>
      <c r="U392" s="32"/>
      <c r="V392" s="32"/>
      <c r="W392" s="32"/>
      <c r="X392" s="8"/>
      <c r="Y392" s="32"/>
      <c r="Z392" s="8"/>
      <c r="AA392" s="8"/>
    </row>
    <row r="393" spans="1:27" s="52" customFormat="1" x14ac:dyDescent="0.25">
      <c r="A393" s="8"/>
      <c r="B393" s="9"/>
      <c r="C393" s="2"/>
      <c r="D393" s="11"/>
      <c r="E393" s="9"/>
      <c r="F393" s="10"/>
      <c r="G393" s="10"/>
      <c r="H393" s="33"/>
      <c r="I393" s="33"/>
      <c r="J393" s="33"/>
      <c r="K393" s="33"/>
      <c r="L393" s="33"/>
      <c r="M393" s="33"/>
      <c r="N393" s="33"/>
      <c r="O393" s="9"/>
      <c r="P393" s="9"/>
      <c r="Q393" s="8"/>
      <c r="R393" s="8"/>
      <c r="S393" s="12"/>
      <c r="T393" s="32"/>
      <c r="U393" s="32"/>
      <c r="V393" s="32"/>
      <c r="W393" s="32"/>
      <c r="X393" s="8"/>
      <c r="Y393" s="32"/>
      <c r="Z393" s="8"/>
      <c r="AA393" s="8"/>
    </row>
    <row r="394" spans="1:27" s="52" customFormat="1" x14ac:dyDescent="0.25">
      <c r="A394" s="8"/>
      <c r="B394" s="9"/>
      <c r="C394" s="2"/>
      <c r="D394" s="11"/>
      <c r="E394" s="9"/>
      <c r="F394" s="10"/>
      <c r="G394" s="10"/>
      <c r="H394" s="33"/>
      <c r="I394" s="33"/>
      <c r="J394" s="33"/>
      <c r="K394" s="33"/>
      <c r="L394" s="33"/>
      <c r="M394" s="33"/>
      <c r="N394" s="33"/>
      <c r="O394" s="9"/>
      <c r="P394" s="9"/>
      <c r="Q394" s="8"/>
      <c r="R394" s="8"/>
      <c r="S394" s="12"/>
      <c r="T394" s="32"/>
      <c r="U394" s="32"/>
      <c r="V394" s="32"/>
      <c r="W394" s="32"/>
      <c r="X394" s="8"/>
      <c r="Y394" s="32"/>
      <c r="Z394" s="8"/>
      <c r="AA394" s="8"/>
    </row>
    <row r="395" spans="1:27" s="52" customFormat="1" x14ac:dyDescent="0.25">
      <c r="A395" s="8"/>
      <c r="B395" s="9"/>
      <c r="C395" s="2"/>
      <c r="D395" s="11"/>
      <c r="E395" s="9"/>
      <c r="F395" s="10"/>
      <c r="G395" s="10"/>
      <c r="H395" s="33"/>
      <c r="I395" s="33"/>
      <c r="J395" s="33"/>
      <c r="K395" s="33"/>
      <c r="L395" s="33"/>
      <c r="M395" s="33"/>
      <c r="N395" s="33"/>
      <c r="O395" s="9"/>
      <c r="P395" s="9"/>
      <c r="Q395" s="8"/>
      <c r="R395" s="8"/>
      <c r="S395" s="12"/>
      <c r="T395" s="32"/>
      <c r="U395" s="32"/>
      <c r="V395" s="32"/>
      <c r="W395" s="32"/>
      <c r="X395" s="8"/>
      <c r="Y395" s="32"/>
      <c r="Z395" s="8"/>
      <c r="AA395" s="8"/>
    </row>
    <row r="396" spans="1:27" s="52" customFormat="1" x14ac:dyDescent="0.25">
      <c r="A396" s="8"/>
      <c r="B396" s="9"/>
      <c r="C396" s="2"/>
      <c r="D396" s="11"/>
      <c r="E396" s="9"/>
      <c r="F396" s="10"/>
      <c r="G396" s="10"/>
      <c r="H396" s="33"/>
      <c r="I396" s="33"/>
      <c r="J396" s="33"/>
      <c r="K396" s="33"/>
      <c r="L396" s="33"/>
      <c r="M396" s="33"/>
      <c r="N396" s="33"/>
      <c r="O396" s="9"/>
      <c r="P396" s="9"/>
      <c r="Q396" s="8"/>
      <c r="R396" s="8"/>
      <c r="S396" s="12"/>
      <c r="T396" s="32"/>
      <c r="U396" s="32"/>
      <c r="V396" s="32"/>
      <c r="W396" s="32"/>
      <c r="X396" s="8"/>
      <c r="Y396" s="32"/>
      <c r="Z396" s="8"/>
      <c r="AA396" s="8"/>
    </row>
    <row r="397" spans="1:27" s="52" customFormat="1" x14ac:dyDescent="0.25">
      <c r="A397" s="8"/>
      <c r="B397" s="9"/>
      <c r="C397" s="2"/>
      <c r="D397" s="11"/>
      <c r="E397" s="9"/>
      <c r="F397" s="10"/>
      <c r="G397" s="10"/>
      <c r="H397" s="33"/>
      <c r="I397" s="33"/>
      <c r="J397" s="33"/>
      <c r="K397" s="33"/>
      <c r="L397" s="33"/>
      <c r="M397" s="33"/>
      <c r="N397" s="33"/>
      <c r="O397" s="9"/>
      <c r="P397" s="9"/>
      <c r="Q397" s="8"/>
      <c r="R397" s="8"/>
      <c r="S397" s="12"/>
      <c r="T397" s="32"/>
      <c r="U397" s="32"/>
      <c r="V397" s="32"/>
      <c r="W397" s="32"/>
      <c r="X397" s="8"/>
      <c r="Y397" s="32"/>
      <c r="Z397" s="8"/>
      <c r="AA397" s="8"/>
    </row>
    <row r="398" spans="1:27" s="52" customFormat="1" x14ac:dyDescent="0.25">
      <c r="A398" s="8"/>
      <c r="B398" s="9"/>
      <c r="C398" s="2"/>
      <c r="D398" s="11"/>
      <c r="E398" s="9"/>
      <c r="F398" s="10"/>
      <c r="G398" s="10"/>
      <c r="H398" s="33"/>
      <c r="I398" s="33"/>
      <c r="J398" s="33"/>
      <c r="K398" s="33"/>
      <c r="L398" s="33"/>
      <c r="M398" s="33"/>
      <c r="N398" s="33"/>
      <c r="O398" s="9"/>
      <c r="P398" s="9"/>
      <c r="Q398" s="8"/>
      <c r="R398" s="8"/>
      <c r="S398" s="12"/>
      <c r="T398" s="32"/>
      <c r="U398" s="32"/>
      <c r="V398" s="32"/>
      <c r="W398" s="32"/>
      <c r="X398" s="8"/>
      <c r="Y398" s="32"/>
      <c r="Z398" s="8"/>
      <c r="AA398" s="8"/>
    </row>
    <row r="399" spans="1:27" s="52" customFormat="1" x14ac:dyDescent="0.25">
      <c r="A399" s="8"/>
      <c r="B399" s="9"/>
      <c r="C399" s="2"/>
      <c r="D399" s="11"/>
      <c r="E399" s="9"/>
      <c r="F399" s="10"/>
      <c r="G399" s="10"/>
      <c r="H399" s="33"/>
      <c r="I399" s="33"/>
      <c r="J399" s="33"/>
      <c r="K399" s="33"/>
      <c r="L399" s="33"/>
      <c r="M399" s="33"/>
      <c r="N399" s="33"/>
      <c r="O399" s="9"/>
      <c r="P399" s="9"/>
      <c r="Q399" s="8"/>
      <c r="R399" s="8"/>
      <c r="S399" s="12"/>
      <c r="T399" s="32"/>
      <c r="U399" s="32"/>
      <c r="V399" s="32"/>
      <c r="W399" s="32"/>
      <c r="X399" s="8"/>
      <c r="Y399" s="32"/>
      <c r="Z399" s="8"/>
      <c r="AA399" s="8"/>
    </row>
    <row r="400" spans="1:27" s="52" customFormat="1" x14ac:dyDescent="0.25">
      <c r="A400" s="8"/>
      <c r="B400" s="9"/>
      <c r="C400" s="2"/>
      <c r="D400" s="11"/>
      <c r="E400" s="9"/>
      <c r="F400" s="10"/>
      <c r="G400" s="10"/>
      <c r="H400" s="33"/>
      <c r="I400" s="33"/>
      <c r="J400" s="33"/>
      <c r="K400" s="33"/>
      <c r="L400" s="33"/>
      <c r="M400" s="33"/>
      <c r="N400" s="33"/>
      <c r="O400" s="9"/>
      <c r="P400" s="9"/>
      <c r="Q400" s="8"/>
      <c r="R400" s="8"/>
      <c r="S400" s="12"/>
      <c r="T400" s="32"/>
      <c r="U400" s="32"/>
      <c r="V400" s="32"/>
      <c r="W400" s="32"/>
      <c r="X400" s="8"/>
      <c r="Y400" s="32"/>
      <c r="Z400" s="8"/>
      <c r="AA400" s="8"/>
    </row>
    <row r="401" spans="1:27" s="52" customFormat="1" x14ac:dyDescent="0.25">
      <c r="A401" s="8"/>
      <c r="B401" s="9"/>
      <c r="C401" s="2"/>
      <c r="D401" s="11"/>
      <c r="E401" s="9"/>
      <c r="F401" s="10"/>
      <c r="G401" s="10"/>
      <c r="H401" s="33"/>
      <c r="I401" s="33"/>
      <c r="J401" s="33"/>
      <c r="K401" s="33"/>
      <c r="L401" s="33"/>
      <c r="M401" s="33"/>
      <c r="N401" s="33"/>
      <c r="O401" s="9"/>
      <c r="P401" s="9"/>
      <c r="Q401" s="8"/>
      <c r="R401" s="8"/>
      <c r="S401" s="12"/>
      <c r="T401" s="32"/>
      <c r="U401" s="32"/>
      <c r="V401" s="32"/>
      <c r="W401" s="32"/>
      <c r="X401" s="8"/>
      <c r="Y401" s="32"/>
      <c r="Z401" s="8"/>
      <c r="AA401" s="8"/>
    </row>
    <row r="402" spans="1:27" s="52" customFormat="1" x14ac:dyDescent="0.25">
      <c r="A402" s="8"/>
      <c r="B402" s="9"/>
      <c r="C402" s="2"/>
      <c r="D402" s="11"/>
      <c r="E402" s="9"/>
      <c r="F402" s="10"/>
      <c r="G402" s="10"/>
      <c r="H402" s="33"/>
      <c r="I402" s="33"/>
      <c r="J402" s="33"/>
      <c r="K402" s="33"/>
      <c r="L402" s="33"/>
      <c r="M402" s="33"/>
      <c r="N402" s="33"/>
      <c r="O402" s="9"/>
      <c r="P402" s="9"/>
      <c r="Q402" s="8"/>
      <c r="R402" s="8"/>
      <c r="S402" s="12"/>
      <c r="T402" s="32"/>
      <c r="U402" s="32"/>
      <c r="V402" s="32"/>
      <c r="W402" s="32"/>
      <c r="X402" s="8"/>
      <c r="Y402" s="32"/>
      <c r="Z402" s="8"/>
      <c r="AA402" s="8"/>
    </row>
    <row r="403" spans="1:27" s="52" customFormat="1" x14ac:dyDescent="0.25">
      <c r="A403" s="8"/>
      <c r="B403" s="9"/>
      <c r="C403" s="2"/>
      <c r="D403" s="11"/>
      <c r="E403" s="9"/>
      <c r="F403" s="10"/>
      <c r="G403" s="10"/>
      <c r="H403" s="33"/>
      <c r="I403" s="33"/>
      <c r="J403" s="33"/>
      <c r="K403" s="33"/>
      <c r="L403" s="33"/>
      <c r="M403" s="33"/>
      <c r="N403" s="33"/>
      <c r="O403" s="9"/>
      <c r="P403" s="9"/>
      <c r="Q403" s="8"/>
      <c r="R403" s="8"/>
      <c r="S403" s="12"/>
      <c r="T403" s="32"/>
      <c r="U403" s="32"/>
      <c r="V403" s="32"/>
      <c r="W403" s="32"/>
      <c r="X403" s="8"/>
      <c r="Y403" s="32"/>
      <c r="Z403" s="8"/>
      <c r="AA403" s="8"/>
    </row>
    <row r="404" spans="1:27" s="52" customFormat="1" x14ac:dyDescent="0.25">
      <c r="A404" s="8"/>
      <c r="B404" s="9"/>
      <c r="C404" s="2"/>
      <c r="D404" s="11"/>
      <c r="E404" s="9"/>
      <c r="F404" s="10"/>
      <c r="G404" s="10"/>
      <c r="H404" s="33"/>
      <c r="I404" s="33"/>
      <c r="J404" s="33"/>
      <c r="K404" s="33"/>
      <c r="L404" s="33"/>
      <c r="M404" s="33"/>
      <c r="N404" s="33"/>
      <c r="O404" s="9"/>
      <c r="P404" s="9"/>
      <c r="Q404" s="8"/>
      <c r="R404" s="8"/>
      <c r="S404" s="12"/>
      <c r="T404" s="32"/>
      <c r="U404" s="32"/>
      <c r="V404" s="32"/>
      <c r="W404" s="32"/>
      <c r="X404" s="8"/>
      <c r="Y404" s="32"/>
      <c r="Z404" s="8"/>
      <c r="AA404" s="8"/>
    </row>
    <row r="405" spans="1:27" s="52" customFormat="1" x14ac:dyDescent="0.25">
      <c r="A405" s="8"/>
      <c r="B405" s="9"/>
      <c r="C405" s="2"/>
      <c r="D405" s="11"/>
      <c r="E405" s="9"/>
      <c r="F405" s="10"/>
      <c r="G405" s="10"/>
      <c r="H405" s="33"/>
      <c r="I405" s="33"/>
      <c r="J405" s="33"/>
      <c r="K405" s="33"/>
      <c r="L405" s="33"/>
      <c r="M405" s="33"/>
      <c r="N405" s="33"/>
      <c r="O405" s="9"/>
      <c r="P405" s="9"/>
      <c r="Q405" s="8"/>
      <c r="R405" s="8"/>
      <c r="S405" s="12"/>
      <c r="T405" s="32"/>
      <c r="U405" s="32"/>
      <c r="V405" s="32"/>
      <c r="W405" s="32"/>
      <c r="X405" s="8"/>
      <c r="Y405" s="32"/>
      <c r="Z405" s="8"/>
      <c r="AA405" s="8"/>
    </row>
    <row r="406" spans="1:27" s="52" customFormat="1" x14ac:dyDescent="0.25">
      <c r="A406" s="8"/>
      <c r="B406" s="9"/>
      <c r="C406" s="2"/>
      <c r="D406" s="11"/>
      <c r="E406" s="9"/>
      <c r="F406" s="10"/>
      <c r="G406" s="10"/>
      <c r="H406" s="33"/>
      <c r="I406" s="33"/>
      <c r="J406" s="33"/>
      <c r="K406" s="33"/>
      <c r="L406" s="33"/>
      <c r="M406" s="33"/>
      <c r="N406" s="33"/>
      <c r="O406" s="9"/>
      <c r="P406" s="9"/>
      <c r="Q406" s="8"/>
      <c r="R406" s="8"/>
      <c r="S406" s="12"/>
      <c r="T406" s="32"/>
      <c r="U406" s="32"/>
      <c r="V406" s="32"/>
      <c r="W406" s="32"/>
      <c r="X406" s="8"/>
      <c r="Y406" s="32"/>
      <c r="Z406" s="8"/>
      <c r="AA406" s="8"/>
    </row>
    <row r="407" spans="1:27" s="52" customFormat="1" x14ac:dyDescent="0.25">
      <c r="A407" s="8"/>
      <c r="B407" s="9"/>
      <c r="C407" s="2"/>
      <c r="D407" s="11"/>
      <c r="E407" s="9"/>
      <c r="F407" s="10"/>
      <c r="G407" s="10"/>
      <c r="H407" s="33"/>
      <c r="I407" s="33"/>
      <c r="J407" s="33"/>
      <c r="K407" s="33"/>
      <c r="L407" s="33"/>
      <c r="M407" s="33"/>
      <c r="N407" s="33"/>
      <c r="O407" s="9"/>
      <c r="P407" s="9"/>
      <c r="Q407" s="8"/>
      <c r="R407" s="8"/>
      <c r="S407" s="12"/>
      <c r="T407" s="32"/>
      <c r="U407" s="32"/>
      <c r="V407" s="32"/>
      <c r="W407" s="32"/>
      <c r="X407" s="8"/>
      <c r="Y407" s="32"/>
      <c r="Z407" s="8"/>
      <c r="AA407" s="8"/>
    </row>
    <row r="408" spans="1:27" s="52" customFormat="1" x14ac:dyDescent="0.25">
      <c r="A408" s="8"/>
      <c r="B408" s="9"/>
      <c r="C408" s="2"/>
      <c r="D408" s="11"/>
      <c r="E408" s="9"/>
      <c r="F408" s="10"/>
      <c r="G408" s="10"/>
      <c r="H408" s="33"/>
      <c r="I408" s="33"/>
      <c r="J408" s="33"/>
      <c r="K408" s="33"/>
      <c r="L408" s="33"/>
      <c r="M408" s="33"/>
      <c r="N408" s="33"/>
      <c r="O408" s="9"/>
      <c r="P408" s="9"/>
      <c r="Q408" s="8"/>
      <c r="R408" s="8"/>
      <c r="S408" s="12"/>
      <c r="T408" s="32"/>
      <c r="U408" s="32"/>
      <c r="V408" s="32"/>
      <c r="W408" s="32"/>
      <c r="X408" s="8"/>
      <c r="Y408" s="32"/>
      <c r="Z408" s="8"/>
      <c r="AA408" s="8"/>
    </row>
    <row r="409" spans="1:27" s="52" customFormat="1" x14ac:dyDescent="0.25">
      <c r="A409" s="8"/>
      <c r="B409" s="9"/>
      <c r="C409" s="2"/>
      <c r="D409" s="11"/>
      <c r="E409" s="9"/>
      <c r="F409" s="10"/>
      <c r="G409" s="10"/>
      <c r="H409" s="33"/>
      <c r="I409" s="33"/>
      <c r="J409" s="33"/>
      <c r="K409" s="33"/>
      <c r="L409" s="33"/>
      <c r="M409" s="33"/>
      <c r="N409" s="33"/>
      <c r="O409" s="9"/>
      <c r="P409" s="9"/>
      <c r="Q409" s="8"/>
      <c r="R409" s="8"/>
      <c r="S409" s="12"/>
      <c r="T409" s="32"/>
      <c r="U409" s="32"/>
      <c r="V409" s="32"/>
      <c r="W409" s="32"/>
      <c r="X409" s="8"/>
      <c r="Y409" s="32"/>
      <c r="Z409" s="8"/>
      <c r="AA409" s="8"/>
    </row>
    <row r="410" spans="1:27" s="52" customFormat="1" x14ac:dyDescent="0.25">
      <c r="A410" s="8"/>
      <c r="B410" s="9"/>
      <c r="C410" s="2"/>
      <c r="D410" s="11"/>
      <c r="E410" s="9"/>
      <c r="F410" s="10"/>
      <c r="G410" s="10"/>
      <c r="H410" s="33"/>
      <c r="I410" s="33"/>
      <c r="J410" s="33"/>
      <c r="K410" s="33"/>
      <c r="L410" s="33"/>
      <c r="M410" s="33"/>
      <c r="N410" s="33"/>
      <c r="O410" s="9"/>
      <c r="P410" s="9"/>
      <c r="Q410" s="8"/>
      <c r="R410" s="8"/>
      <c r="S410" s="12"/>
      <c r="T410" s="32"/>
      <c r="U410" s="32"/>
      <c r="V410" s="32"/>
      <c r="W410" s="32"/>
      <c r="X410" s="8"/>
      <c r="Y410" s="32"/>
      <c r="Z410" s="8"/>
      <c r="AA410" s="8"/>
    </row>
    <row r="411" spans="1:27" s="52" customFormat="1" x14ac:dyDescent="0.25">
      <c r="A411" s="8"/>
      <c r="B411" s="9"/>
      <c r="C411" s="2"/>
      <c r="D411" s="11"/>
      <c r="E411" s="9"/>
      <c r="F411" s="10"/>
      <c r="G411" s="10"/>
      <c r="H411" s="33"/>
      <c r="I411" s="33"/>
      <c r="J411" s="33"/>
      <c r="K411" s="33"/>
      <c r="L411" s="33"/>
      <c r="M411" s="33"/>
      <c r="N411" s="33"/>
      <c r="O411" s="9"/>
      <c r="P411" s="9"/>
      <c r="Q411" s="8"/>
      <c r="R411" s="8"/>
      <c r="S411" s="12"/>
      <c r="T411" s="32"/>
      <c r="U411" s="32"/>
      <c r="V411" s="32"/>
      <c r="W411" s="32"/>
      <c r="X411" s="8"/>
      <c r="Y411" s="32"/>
      <c r="Z411" s="8"/>
      <c r="AA411" s="8"/>
    </row>
    <row r="412" spans="1:27" s="52" customFormat="1" x14ac:dyDescent="0.25">
      <c r="A412" s="8"/>
      <c r="B412" s="9"/>
      <c r="C412" s="2"/>
      <c r="D412" s="11"/>
      <c r="E412" s="9"/>
      <c r="F412" s="10"/>
      <c r="G412" s="10"/>
      <c r="H412" s="33"/>
      <c r="I412" s="33"/>
      <c r="J412" s="33"/>
      <c r="K412" s="33"/>
      <c r="L412" s="33"/>
      <c r="M412" s="33"/>
      <c r="N412" s="33"/>
      <c r="O412" s="9"/>
      <c r="P412" s="9"/>
      <c r="Q412" s="8"/>
      <c r="R412" s="8"/>
      <c r="S412" s="12"/>
      <c r="T412" s="32"/>
      <c r="U412" s="32"/>
      <c r="V412" s="32"/>
      <c r="W412" s="32"/>
      <c r="X412" s="8"/>
      <c r="Y412" s="32"/>
      <c r="Z412" s="8"/>
      <c r="AA412" s="8"/>
    </row>
    <row r="413" spans="1:27" s="52" customFormat="1" x14ac:dyDescent="0.25">
      <c r="A413" s="8"/>
      <c r="B413" s="9"/>
      <c r="C413" s="2"/>
      <c r="D413" s="11"/>
      <c r="E413" s="9"/>
      <c r="F413" s="10"/>
      <c r="G413" s="10"/>
      <c r="H413" s="33"/>
      <c r="I413" s="33"/>
      <c r="J413" s="33"/>
      <c r="K413" s="33"/>
      <c r="L413" s="33"/>
      <c r="M413" s="33"/>
      <c r="N413" s="33"/>
      <c r="O413" s="9"/>
      <c r="P413" s="9"/>
      <c r="Q413" s="8"/>
      <c r="R413" s="8"/>
      <c r="S413" s="12"/>
      <c r="T413" s="32"/>
      <c r="U413" s="32"/>
      <c r="V413" s="32"/>
      <c r="W413" s="32"/>
      <c r="X413" s="8"/>
      <c r="Y413" s="32"/>
      <c r="Z413" s="8"/>
      <c r="AA413" s="8"/>
    </row>
    <row r="414" spans="1:27" s="52" customFormat="1" x14ac:dyDescent="0.25">
      <c r="A414" s="8"/>
      <c r="B414" s="9"/>
      <c r="C414" s="2"/>
      <c r="D414" s="11"/>
      <c r="E414" s="9"/>
      <c r="F414" s="10"/>
      <c r="G414" s="10"/>
      <c r="H414" s="33"/>
      <c r="I414" s="33"/>
      <c r="J414" s="33"/>
      <c r="K414" s="33"/>
      <c r="L414" s="33"/>
      <c r="M414" s="33"/>
      <c r="N414" s="33"/>
      <c r="O414" s="9"/>
      <c r="P414" s="9"/>
      <c r="Q414" s="8"/>
      <c r="R414" s="8"/>
      <c r="S414" s="12"/>
      <c r="T414" s="32"/>
      <c r="U414" s="32"/>
      <c r="V414" s="32"/>
      <c r="W414" s="32"/>
      <c r="X414" s="8"/>
      <c r="Y414" s="32"/>
      <c r="Z414" s="8"/>
      <c r="AA414" s="8"/>
    </row>
    <row r="415" spans="1:27" s="52" customFormat="1" x14ac:dyDescent="0.25">
      <c r="A415" s="8"/>
      <c r="B415" s="9"/>
      <c r="C415" s="2"/>
      <c r="D415" s="11"/>
      <c r="E415" s="9"/>
      <c r="F415" s="10"/>
      <c r="G415" s="10"/>
      <c r="H415" s="33"/>
      <c r="I415" s="33"/>
      <c r="J415" s="33"/>
      <c r="K415" s="33"/>
      <c r="L415" s="33"/>
      <c r="M415" s="33"/>
      <c r="N415" s="33"/>
      <c r="O415" s="9"/>
      <c r="P415" s="9"/>
      <c r="Q415" s="8"/>
      <c r="R415" s="8"/>
      <c r="S415" s="12"/>
      <c r="T415" s="32"/>
      <c r="U415" s="32"/>
      <c r="V415" s="32"/>
      <c r="W415" s="32"/>
      <c r="X415" s="8"/>
      <c r="Y415" s="32"/>
      <c r="Z415" s="8"/>
      <c r="AA415" s="8"/>
    </row>
    <row r="416" spans="1:27" s="52" customFormat="1" x14ac:dyDescent="0.25">
      <c r="A416" s="8"/>
      <c r="B416" s="9"/>
      <c r="C416" s="2"/>
      <c r="D416" s="11"/>
      <c r="E416" s="9"/>
      <c r="F416" s="10"/>
      <c r="G416" s="10"/>
      <c r="H416" s="33"/>
      <c r="I416" s="33"/>
      <c r="J416" s="33"/>
      <c r="K416" s="33"/>
      <c r="L416" s="33"/>
      <c r="M416" s="33"/>
      <c r="N416" s="33"/>
      <c r="O416" s="9"/>
      <c r="P416" s="9"/>
      <c r="Q416" s="8"/>
      <c r="R416" s="8"/>
      <c r="S416" s="12"/>
      <c r="T416" s="32"/>
      <c r="U416" s="32"/>
      <c r="V416" s="32"/>
      <c r="W416" s="32"/>
      <c r="X416" s="8"/>
      <c r="Y416" s="32"/>
      <c r="Z416" s="8"/>
      <c r="AA416" s="8"/>
    </row>
    <row r="417" spans="1:27" s="52" customFormat="1" x14ac:dyDescent="0.25">
      <c r="A417" s="8"/>
      <c r="B417" s="9"/>
      <c r="C417" s="2"/>
      <c r="D417" s="11"/>
      <c r="E417" s="9"/>
      <c r="F417" s="10"/>
      <c r="G417" s="10"/>
      <c r="H417" s="33"/>
      <c r="I417" s="33"/>
      <c r="J417" s="33"/>
      <c r="K417" s="33"/>
      <c r="L417" s="33"/>
      <c r="M417" s="33"/>
      <c r="N417" s="33"/>
      <c r="O417" s="9"/>
      <c r="P417" s="9"/>
      <c r="Q417" s="8"/>
      <c r="R417" s="8"/>
      <c r="S417" s="12"/>
      <c r="T417" s="32"/>
      <c r="U417" s="32"/>
      <c r="V417" s="32"/>
      <c r="W417" s="32"/>
      <c r="X417" s="8"/>
      <c r="Y417" s="32"/>
      <c r="Z417" s="8"/>
      <c r="AA417" s="8"/>
    </row>
    <row r="418" spans="1:27" s="52" customFormat="1" x14ac:dyDescent="0.25">
      <c r="A418" s="8"/>
      <c r="B418" s="9"/>
      <c r="C418" s="2"/>
      <c r="D418" s="11"/>
      <c r="E418" s="9"/>
      <c r="F418" s="10"/>
      <c r="G418" s="10"/>
      <c r="H418" s="33"/>
      <c r="I418" s="33"/>
      <c r="J418" s="33"/>
      <c r="K418" s="33"/>
      <c r="L418" s="33"/>
      <c r="M418" s="33"/>
      <c r="N418" s="33"/>
      <c r="O418" s="9"/>
      <c r="P418" s="9"/>
      <c r="Q418" s="8"/>
      <c r="R418" s="8"/>
      <c r="S418" s="12"/>
      <c r="T418" s="32"/>
      <c r="U418" s="32"/>
      <c r="V418" s="32"/>
      <c r="W418" s="32"/>
      <c r="X418" s="8"/>
      <c r="Y418" s="32"/>
      <c r="Z418" s="8"/>
      <c r="AA418" s="8"/>
    </row>
    <row r="419" spans="1:27" s="52" customFormat="1" x14ac:dyDescent="0.25">
      <c r="A419" s="8"/>
      <c r="B419" s="9"/>
      <c r="C419" s="2"/>
      <c r="D419" s="11"/>
      <c r="E419" s="9"/>
      <c r="F419" s="10"/>
      <c r="G419" s="10"/>
      <c r="H419" s="33"/>
      <c r="I419" s="33"/>
      <c r="J419" s="33"/>
      <c r="K419" s="33"/>
      <c r="L419" s="33"/>
      <c r="M419" s="33"/>
      <c r="N419" s="33"/>
      <c r="O419" s="9"/>
      <c r="P419" s="9"/>
      <c r="Q419" s="8"/>
      <c r="R419" s="8"/>
      <c r="S419" s="12"/>
      <c r="T419" s="32"/>
      <c r="U419" s="32"/>
      <c r="V419" s="32"/>
      <c r="W419" s="32"/>
      <c r="X419" s="8"/>
      <c r="Y419" s="32"/>
      <c r="Z419" s="8"/>
      <c r="AA419" s="8"/>
    </row>
    <row r="420" spans="1:27" s="52" customFormat="1" x14ac:dyDescent="0.25">
      <c r="A420" s="8"/>
      <c r="B420" s="9"/>
      <c r="C420" s="2"/>
      <c r="D420" s="11"/>
      <c r="E420" s="9"/>
      <c r="F420" s="10"/>
      <c r="G420" s="10"/>
      <c r="H420" s="33"/>
      <c r="I420" s="33"/>
      <c r="J420" s="33"/>
      <c r="K420" s="33"/>
      <c r="L420" s="33"/>
      <c r="M420" s="33"/>
      <c r="N420" s="33"/>
      <c r="O420" s="9"/>
      <c r="P420" s="9"/>
      <c r="Q420" s="8"/>
      <c r="R420" s="8"/>
      <c r="S420" s="12"/>
      <c r="T420" s="32"/>
      <c r="U420" s="32"/>
      <c r="V420" s="32"/>
      <c r="W420" s="32"/>
      <c r="X420" s="8"/>
      <c r="Y420" s="32"/>
      <c r="Z420" s="8"/>
      <c r="AA420" s="8"/>
    </row>
    <row r="421" spans="1:27" s="52" customFormat="1" x14ac:dyDescent="0.25">
      <c r="A421" s="8"/>
      <c r="B421" s="9"/>
      <c r="C421" s="2"/>
      <c r="D421" s="11"/>
      <c r="E421" s="9"/>
      <c r="F421" s="10"/>
      <c r="G421" s="10"/>
      <c r="H421" s="33"/>
      <c r="I421" s="33"/>
      <c r="J421" s="33"/>
      <c r="K421" s="33"/>
      <c r="L421" s="33"/>
      <c r="M421" s="33"/>
      <c r="N421" s="33"/>
      <c r="O421" s="9"/>
      <c r="P421" s="9"/>
      <c r="Q421" s="8"/>
      <c r="R421" s="8"/>
      <c r="S421" s="12"/>
      <c r="T421" s="32"/>
      <c r="U421" s="32"/>
      <c r="V421" s="32"/>
      <c r="W421" s="32"/>
      <c r="X421" s="8"/>
      <c r="Y421" s="32"/>
      <c r="Z421" s="8"/>
      <c r="AA421" s="8"/>
    </row>
    <row r="422" spans="1:27" s="52" customFormat="1" x14ac:dyDescent="0.25">
      <c r="A422" s="8"/>
      <c r="B422" s="9"/>
      <c r="C422" s="2"/>
      <c r="D422" s="11"/>
      <c r="E422" s="9"/>
      <c r="F422" s="10"/>
      <c r="G422" s="10"/>
      <c r="H422" s="33"/>
      <c r="I422" s="33"/>
      <c r="J422" s="33"/>
      <c r="K422" s="33"/>
      <c r="L422" s="33"/>
      <c r="M422" s="33"/>
      <c r="N422" s="33"/>
      <c r="O422" s="9"/>
      <c r="P422" s="9"/>
      <c r="Q422" s="8"/>
      <c r="R422" s="8"/>
      <c r="S422" s="12"/>
      <c r="T422" s="32"/>
      <c r="U422" s="32"/>
      <c r="V422" s="32"/>
      <c r="W422" s="32"/>
      <c r="X422" s="8"/>
      <c r="Y422" s="32"/>
      <c r="Z422" s="8"/>
      <c r="AA422" s="8"/>
    </row>
    <row r="423" spans="1:27" s="52" customFormat="1" x14ac:dyDescent="0.25">
      <c r="A423" s="8"/>
      <c r="B423" s="9"/>
      <c r="C423" s="2"/>
      <c r="D423" s="11"/>
      <c r="E423" s="9"/>
      <c r="F423" s="10"/>
      <c r="G423" s="10"/>
      <c r="H423" s="33"/>
      <c r="I423" s="33"/>
      <c r="J423" s="33"/>
      <c r="K423" s="33"/>
      <c r="L423" s="33"/>
      <c r="M423" s="33"/>
      <c r="N423" s="33"/>
      <c r="O423" s="9"/>
      <c r="P423" s="9"/>
      <c r="Q423" s="8"/>
      <c r="R423" s="8"/>
      <c r="S423" s="12"/>
      <c r="T423" s="32"/>
      <c r="U423" s="32"/>
      <c r="V423" s="32"/>
      <c r="W423" s="32"/>
      <c r="X423" s="8"/>
      <c r="Y423" s="32"/>
      <c r="Z423" s="8"/>
      <c r="AA423" s="8"/>
    </row>
    <row r="424" spans="1:27" s="52" customFormat="1" x14ac:dyDescent="0.25">
      <c r="A424" s="8"/>
      <c r="B424" s="9"/>
      <c r="C424" s="2"/>
      <c r="D424" s="11"/>
      <c r="E424" s="9"/>
      <c r="F424" s="10"/>
      <c r="G424" s="10"/>
      <c r="H424" s="33"/>
      <c r="I424" s="33"/>
      <c r="J424" s="33"/>
      <c r="K424" s="33"/>
      <c r="L424" s="33"/>
      <c r="M424" s="33"/>
      <c r="N424" s="33"/>
      <c r="O424" s="9"/>
      <c r="P424" s="9"/>
      <c r="Q424" s="8"/>
      <c r="R424" s="8"/>
      <c r="S424" s="12"/>
      <c r="T424" s="32"/>
      <c r="U424" s="32"/>
      <c r="V424" s="32"/>
      <c r="W424" s="32"/>
      <c r="X424" s="8"/>
      <c r="Y424" s="32"/>
      <c r="Z424" s="8"/>
      <c r="AA424" s="8"/>
    </row>
    <row r="425" spans="1:27" s="52" customFormat="1" x14ac:dyDescent="0.25">
      <c r="A425" s="8"/>
      <c r="B425" s="9"/>
      <c r="C425" s="2"/>
      <c r="D425" s="11"/>
      <c r="E425" s="9"/>
      <c r="F425" s="10"/>
      <c r="G425" s="10"/>
      <c r="H425" s="33"/>
      <c r="I425" s="33"/>
      <c r="J425" s="33"/>
      <c r="K425" s="33"/>
      <c r="L425" s="33"/>
      <c r="M425" s="33"/>
      <c r="N425" s="33"/>
      <c r="O425" s="9"/>
      <c r="P425" s="9"/>
      <c r="Q425" s="8"/>
      <c r="R425" s="8"/>
      <c r="S425" s="12"/>
      <c r="T425" s="32"/>
      <c r="U425" s="32"/>
      <c r="V425" s="32"/>
      <c r="W425" s="32"/>
      <c r="X425" s="8"/>
      <c r="Y425" s="32"/>
      <c r="Z425" s="8"/>
      <c r="AA425" s="8"/>
    </row>
    <row r="426" spans="1:27" s="52" customFormat="1" x14ac:dyDescent="0.25">
      <c r="A426" s="8"/>
      <c r="B426" s="9"/>
      <c r="C426" s="2"/>
      <c r="D426" s="11"/>
      <c r="E426" s="9"/>
      <c r="F426" s="10"/>
      <c r="G426" s="10"/>
      <c r="H426" s="33"/>
      <c r="I426" s="33"/>
      <c r="J426" s="33"/>
      <c r="K426" s="33"/>
      <c r="L426" s="33"/>
      <c r="M426" s="33"/>
      <c r="N426" s="33"/>
      <c r="O426" s="9"/>
      <c r="P426" s="9"/>
      <c r="Q426" s="8"/>
      <c r="R426" s="8"/>
      <c r="S426" s="12"/>
      <c r="T426" s="32"/>
      <c r="U426" s="32"/>
      <c r="V426" s="32"/>
      <c r="W426" s="32"/>
      <c r="X426" s="8"/>
      <c r="Y426" s="32"/>
      <c r="Z426" s="8"/>
      <c r="AA426" s="8"/>
    </row>
    <row r="427" spans="1:27" s="52" customFormat="1" x14ac:dyDescent="0.25">
      <c r="A427" s="8"/>
      <c r="B427" s="9"/>
      <c r="C427" s="2"/>
      <c r="D427" s="11"/>
      <c r="E427" s="9"/>
      <c r="F427" s="10"/>
      <c r="G427" s="10"/>
      <c r="H427" s="33"/>
      <c r="I427" s="33"/>
      <c r="J427" s="33"/>
      <c r="K427" s="33"/>
      <c r="L427" s="33"/>
      <c r="M427" s="33"/>
      <c r="N427" s="33"/>
      <c r="O427" s="9"/>
      <c r="P427" s="9"/>
      <c r="Q427" s="8"/>
      <c r="R427" s="8"/>
      <c r="S427" s="12"/>
      <c r="T427" s="32"/>
      <c r="U427" s="32"/>
      <c r="V427" s="32"/>
      <c r="W427" s="32"/>
      <c r="X427" s="8"/>
      <c r="Y427" s="32"/>
      <c r="Z427" s="8"/>
      <c r="AA427" s="8"/>
    </row>
    <row r="428" spans="1:27" s="52" customFormat="1" x14ac:dyDescent="0.25">
      <c r="A428" s="8"/>
      <c r="B428" s="9"/>
      <c r="C428" s="2"/>
      <c r="D428" s="11"/>
      <c r="E428" s="9"/>
      <c r="F428" s="10"/>
      <c r="G428" s="10"/>
      <c r="H428" s="33"/>
      <c r="I428" s="33"/>
      <c r="J428" s="33"/>
      <c r="K428" s="33"/>
      <c r="L428" s="33"/>
      <c r="M428" s="33"/>
      <c r="N428" s="33"/>
      <c r="O428" s="9"/>
      <c r="P428" s="9"/>
      <c r="Q428" s="8"/>
      <c r="R428" s="8"/>
      <c r="S428" s="12"/>
      <c r="T428" s="32"/>
      <c r="U428" s="32"/>
      <c r="V428" s="32"/>
      <c r="W428" s="32"/>
      <c r="X428" s="8"/>
      <c r="Y428" s="32"/>
      <c r="Z428" s="8"/>
      <c r="AA428" s="8"/>
    </row>
    <row r="429" spans="1:27" s="52" customFormat="1" x14ac:dyDescent="0.25">
      <c r="A429" s="8"/>
      <c r="B429" s="9"/>
      <c r="C429" s="2"/>
      <c r="D429" s="11"/>
      <c r="E429" s="9"/>
      <c r="F429" s="10"/>
      <c r="G429" s="10"/>
      <c r="H429" s="33"/>
      <c r="I429" s="33"/>
      <c r="J429" s="33"/>
      <c r="K429" s="33"/>
      <c r="L429" s="33"/>
      <c r="M429" s="33"/>
      <c r="N429" s="33"/>
      <c r="O429" s="9"/>
      <c r="P429" s="9"/>
      <c r="Q429" s="8"/>
      <c r="R429" s="8"/>
      <c r="S429" s="12"/>
      <c r="T429" s="32"/>
      <c r="U429" s="32"/>
      <c r="V429" s="32"/>
      <c r="W429" s="32"/>
      <c r="X429" s="8"/>
      <c r="Y429" s="32"/>
      <c r="Z429" s="8"/>
      <c r="AA429" s="8"/>
    </row>
    <row r="430" spans="1:27" s="52" customFormat="1" x14ac:dyDescent="0.25">
      <c r="A430" s="8"/>
      <c r="B430" s="9"/>
      <c r="C430" s="2"/>
      <c r="D430" s="11"/>
      <c r="E430" s="9"/>
      <c r="F430" s="10"/>
      <c r="G430" s="10"/>
      <c r="H430" s="33"/>
      <c r="I430" s="33"/>
      <c r="J430" s="33"/>
      <c r="K430" s="33"/>
      <c r="L430" s="33"/>
      <c r="M430" s="33"/>
      <c r="N430" s="33"/>
      <c r="O430" s="9"/>
      <c r="P430" s="9"/>
      <c r="Q430" s="8"/>
      <c r="R430" s="8"/>
      <c r="S430" s="12"/>
      <c r="T430" s="32"/>
      <c r="U430" s="32"/>
      <c r="V430" s="32"/>
      <c r="W430" s="32"/>
      <c r="X430" s="8"/>
      <c r="Y430" s="32"/>
      <c r="Z430" s="8"/>
      <c r="AA430" s="8"/>
    </row>
    <row r="431" spans="1:27" s="52" customFormat="1" x14ac:dyDescent="0.25">
      <c r="A431" s="8"/>
      <c r="B431" s="9"/>
      <c r="C431" s="2"/>
      <c r="D431" s="11"/>
      <c r="E431" s="9"/>
      <c r="F431" s="10"/>
      <c r="G431" s="10"/>
      <c r="H431" s="33"/>
      <c r="I431" s="33"/>
      <c r="J431" s="33"/>
      <c r="K431" s="33"/>
      <c r="L431" s="33"/>
      <c r="M431" s="33"/>
      <c r="N431" s="33"/>
      <c r="O431" s="9"/>
      <c r="P431" s="9"/>
      <c r="Q431" s="8"/>
      <c r="R431" s="8"/>
      <c r="S431" s="12"/>
      <c r="T431" s="32"/>
      <c r="U431" s="32"/>
      <c r="V431" s="32"/>
      <c r="W431" s="32"/>
      <c r="X431" s="8"/>
      <c r="Y431" s="32"/>
      <c r="Z431" s="8"/>
      <c r="AA431" s="8"/>
    </row>
    <row r="432" spans="1:27" s="52" customFormat="1" x14ac:dyDescent="0.25">
      <c r="A432" s="8"/>
      <c r="B432" s="9"/>
      <c r="C432" s="2"/>
      <c r="D432" s="11"/>
      <c r="E432" s="9"/>
      <c r="F432" s="10"/>
      <c r="G432" s="10"/>
      <c r="H432" s="33"/>
      <c r="I432" s="33"/>
      <c r="J432" s="33"/>
      <c r="K432" s="33"/>
      <c r="L432" s="33"/>
      <c r="M432" s="33"/>
      <c r="N432" s="33"/>
      <c r="O432" s="9"/>
      <c r="P432" s="9"/>
      <c r="Q432" s="8"/>
      <c r="R432" s="8"/>
      <c r="S432" s="12"/>
      <c r="T432" s="32"/>
      <c r="U432" s="32"/>
      <c r="V432" s="32"/>
      <c r="W432" s="32"/>
      <c r="X432" s="8"/>
      <c r="Y432" s="32"/>
      <c r="Z432" s="8"/>
      <c r="AA432" s="8"/>
    </row>
    <row r="433" spans="1:27" s="52" customFormat="1" x14ac:dyDescent="0.25">
      <c r="A433" s="8"/>
      <c r="B433" s="9"/>
      <c r="C433" s="2"/>
      <c r="D433" s="11"/>
      <c r="E433" s="9"/>
      <c r="F433" s="10"/>
      <c r="G433" s="10"/>
      <c r="H433" s="33"/>
      <c r="I433" s="33"/>
      <c r="J433" s="33"/>
      <c r="K433" s="33"/>
      <c r="L433" s="33"/>
      <c r="M433" s="33"/>
      <c r="N433" s="33"/>
      <c r="O433" s="9"/>
      <c r="P433" s="9"/>
      <c r="Q433" s="8"/>
      <c r="R433" s="8"/>
      <c r="S433" s="12"/>
      <c r="T433" s="32"/>
      <c r="U433" s="32"/>
      <c r="V433" s="32"/>
      <c r="W433" s="32"/>
      <c r="X433" s="8"/>
      <c r="Y433" s="32"/>
      <c r="Z433" s="8"/>
      <c r="AA433" s="8"/>
    </row>
    <row r="434" spans="1:27" s="52" customFormat="1" x14ac:dyDescent="0.25">
      <c r="A434" s="8"/>
      <c r="B434" s="9"/>
      <c r="C434" s="2"/>
      <c r="D434" s="11"/>
      <c r="E434" s="9"/>
      <c r="F434" s="10"/>
      <c r="G434" s="10"/>
      <c r="H434" s="33"/>
      <c r="I434" s="33"/>
      <c r="J434" s="33"/>
      <c r="K434" s="33"/>
      <c r="L434" s="33"/>
      <c r="M434" s="33"/>
      <c r="N434" s="33"/>
      <c r="O434" s="9"/>
      <c r="P434" s="9"/>
      <c r="Q434" s="8"/>
      <c r="R434" s="8"/>
      <c r="S434" s="12"/>
      <c r="T434" s="32"/>
      <c r="U434" s="32"/>
      <c r="V434" s="32"/>
      <c r="W434" s="32"/>
      <c r="X434" s="8"/>
      <c r="Y434" s="32"/>
      <c r="Z434" s="8"/>
      <c r="AA434" s="8"/>
    </row>
    <row r="435" spans="1:27" s="52" customFormat="1" x14ac:dyDescent="0.25">
      <c r="A435" s="8"/>
      <c r="B435" s="9"/>
      <c r="C435" s="2"/>
      <c r="D435" s="11"/>
      <c r="E435" s="9"/>
      <c r="F435" s="10"/>
      <c r="G435" s="10"/>
      <c r="H435" s="33"/>
      <c r="I435" s="33"/>
      <c r="J435" s="33"/>
      <c r="K435" s="33"/>
      <c r="L435" s="33"/>
      <c r="M435" s="33"/>
      <c r="N435" s="33"/>
      <c r="O435" s="9"/>
      <c r="P435" s="9"/>
      <c r="Q435" s="8"/>
      <c r="R435" s="8"/>
      <c r="S435" s="12"/>
      <c r="T435" s="32"/>
      <c r="U435" s="32"/>
      <c r="V435" s="32"/>
      <c r="W435" s="32"/>
      <c r="X435" s="8"/>
      <c r="Y435" s="32"/>
      <c r="Z435" s="8"/>
      <c r="AA435" s="8"/>
    </row>
    <row r="436" spans="1:27" s="52" customFormat="1" x14ac:dyDescent="0.25">
      <c r="A436" s="8"/>
      <c r="B436" s="9"/>
      <c r="C436" s="2"/>
      <c r="D436" s="11"/>
      <c r="E436" s="9"/>
      <c r="F436" s="10"/>
      <c r="G436" s="10"/>
      <c r="H436" s="33"/>
      <c r="I436" s="33"/>
      <c r="J436" s="33"/>
      <c r="K436" s="33"/>
      <c r="L436" s="33"/>
      <c r="M436" s="33"/>
      <c r="N436" s="33"/>
      <c r="O436" s="9"/>
      <c r="P436" s="9"/>
      <c r="Q436" s="8"/>
      <c r="R436" s="8"/>
      <c r="S436" s="12"/>
      <c r="T436" s="32"/>
      <c r="U436" s="32"/>
      <c r="V436" s="32"/>
      <c r="W436" s="32"/>
      <c r="X436" s="8"/>
      <c r="Y436" s="32"/>
      <c r="Z436" s="8"/>
      <c r="AA436" s="8"/>
    </row>
    <row r="437" spans="1:27" s="52" customFormat="1" x14ac:dyDescent="0.25">
      <c r="A437" s="8"/>
      <c r="B437" s="9"/>
      <c r="C437" s="2"/>
      <c r="D437" s="11"/>
      <c r="E437" s="9"/>
      <c r="F437" s="10"/>
      <c r="G437" s="10"/>
      <c r="H437" s="33"/>
      <c r="I437" s="33"/>
      <c r="J437" s="33"/>
      <c r="K437" s="33"/>
      <c r="L437" s="33"/>
      <c r="M437" s="33"/>
      <c r="N437" s="33"/>
      <c r="O437" s="9"/>
      <c r="P437" s="9"/>
      <c r="Q437" s="8"/>
      <c r="R437" s="8"/>
      <c r="S437" s="12"/>
      <c r="T437" s="32"/>
      <c r="U437" s="32"/>
      <c r="V437" s="32"/>
      <c r="W437" s="32"/>
      <c r="X437" s="8"/>
      <c r="Y437" s="32"/>
      <c r="Z437" s="8"/>
      <c r="AA437" s="8"/>
    </row>
    <row r="438" spans="1:27" s="52" customFormat="1" x14ac:dyDescent="0.25">
      <c r="A438" s="8"/>
      <c r="B438" s="9"/>
      <c r="C438" s="2"/>
      <c r="D438" s="11"/>
      <c r="E438" s="9"/>
      <c r="F438" s="10"/>
      <c r="G438" s="10"/>
      <c r="H438" s="33"/>
      <c r="I438" s="33"/>
      <c r="J438" s="33"/>
      <c r="K438" s="33"/>
      <c r="L438" s="33"/>
      <c r="M438" s="33"/>
      <c r="N438" s="33"/>
      <c r="O438" s="9"/>
      <c r="P438" s="9"/>
      <c r="Q438" s="8"/>
      <c r="R438" s="8"/>
      <c r="S438" s="12"/>
      <c r="T438" s="32"/>
      <c r="U438" s="32"/>
      <c r="V438" s="32"/>
      <c r="W438" s="32"/>
      <c r="X438" s="8"/>
      <c r="Y438" s="32"/>
      <c r="Z438" s="8"/>
      <c r="AA438" s="8"/>
    </row>
    <row r="439" spans="1:27" s="52" customFormat="1" x14ac:dyDescent="0.25">
      <c r="A439" s="8"/>
      <c r="B439" s="9"/>
      <c r="C439" s="2"/>
      <c r="D439" s="11"/>
      <c r="E439" s="9"/>
      <c r="F439" s="10"/>
      <c r="G439" s="10"/>
      <c r="H439" s="33"/>
      <c r="I439" s="33"/>
      <c r="J439" s="33"/>
      <c r="K439" s="33"/>
      <c r="L439" s="33"/>
      <c r="M439" s="33"/>
      <c r="N439" s="33"/>
      <c r="O439" s="9"/>
      <c r="P439" s="9"/>
      <c r="Q439" s="8"/>
      <c r="R439" s="8"/>
      <c r="S439" s="12"/>
      <c r="T439" s="32"/>
      <c r="U439" s="32"/>
      <c r="V439" s="32"/>
      <c r="W439" s="32"/>
      <c r="X439" s="8"/>
      <c r="Y439" s="32"/>
      <c r="Z439" s="8"/>
      <c r="AA439" s="8"/>
    </row>
    <row r="440" spans="1:27" s="52" customFormat="1" x14ac:dyDescent="0.25">
      <c r="A440" s="8"/>
      <c r="B440" s="9"/>
      <c r="C440" s="2"/>
      <c r="D440" s="11"/>
      <c r="E440" s="9"/>
      <c r="F440" s="10"/>
      <c r="G440" s="10"/>
      <c r="H440" s="33"/>
      <c r="I440" s="33"/>
      <c r="J440" s="33"/>
      <c r="K440" s="33"/>
      <c r="L440" s="33"/>
      <c r="M440" s="33"/>
      <c r="N440" s="33"/>
      <c r="O440" s="9"/>
      <c r="P440" s="9"/>
      <c r="Q440" s="8"/>
      <c r="R440" s="8"/>
      <c r="S440" s="12"/>
      <c r="T440" s="32"/>
      <c r="U440" s="32"/>
      <c r="V440" s="32"/>
      <c r="W440" s="32"/>
      <c r="X440" s="8"/>
      <c r="Y440" s="32"/>
      <c r="Z440" s="8"/>
      <c r="AA440" s="8"/>
    </row>
    <row r="441" spans="1:27" s="52" customFormat="1" x14ac:dyDescent="0.25">
      <c r="A441" s="8"/>
      <c r="B441" s="9"/>
      <c r="C441" s="2"/>
      <c r="D441" s="11"/>
      <c r="E441" s="9"/>
      <c r="F441" s="10"/>
      <c r="G441" s="10"/>
      <c r="H441" s="33"/>
      <c r="I441" s="33"/>
      <c r="J441" s="33"/>
      <c r="K441" s="33"/>
      <c r="L441" s="33"/>
      <c r="M441" s="33"/>
      <c r="N441" s="33"/>
      <c r="O441" s="9"/>
      <c r="P441" s="9"/>
      <c r="Q441" s="8"/>
      <c r="R441" s="8"/>
      <c r="S441" s="12"/>
      <c r="T441" s="32"/>
      <c r="U441" s="32"/>
      <c r="V441" s="32"/>
      <c r="W441" s="32"/>
      <c r="X441" s="8"/>
      <c r="Y441" s="32"/>
      <c r="Z441" s="8"/>
      <c r="AA441" s="8"/>
    </row>
    <row r="442" spans="1:27" s="52" customFormat="1" x14ac:dyDescent="0.25">
      <c r="A442" s="8"/>
      <c r="B442" s="9"/>
      <c r="C442" s="2"/>
      <c r="D442" s="11"/>
      <c r="E442" s="9"/>
      <c r="F442" s="10"/>
      <c r="G442" s="10"/>
      <c r="H442" s="33"/>
      <c r="I442" s="33"/>
      <c r="J442" s="33"/>
      <c r="K442" s="33"/>
      <c r="L442" s="33"/>
      <c r="M442" s="33"/>
      <c r="N442" s="33"/>
      <c r="O442" s="9"/>
      <c r="P442" s="9"/>
      <c r="Q442" s="8"/>
      <c r="R442" s="8"/>
      <c r="S442" s="12"/>
      <c r="T442" s="32"/>
      <c r="U442" s="32"/>
      <c r="V442" s="32"/>
      <c r="W442" s="32"/>
      <c r="X442" s="8"/>
      <c r="Y442" s="32"/>
      <c r="Z442" s="8"/>
      <c r="AA442" s="8"/>
    </row>
    <row r="443" spans="1:27" s="52" customFormat="1" x14ac:dyDescent="0.25">
      <c r="A443" s="8"/>
      <c r="B443" s="9"/>
      <c r="C443" s="2"/>
      <c r="D443" s="11"/>
      <c r="E443" s="9"/>
      <c r="F443" s="10"/>
      <c r="G443" s="10"/>
      <c r="H443" s="33"/>
      <c r="I443" s="33"/>
      <c r="J443" s="33"/>
      <c r="K443" s="33"/>
      <c r="L443" s="33"/>
      <c r="M443" s="33"/>
      <c r="N443" s="33"/>
      <c r="O443" s="9"/>
      <c r="P443" s="9"/>
      <c r="Q443" s="8"/>
      <c r="R443" s="8"/>
      <c r="S443" s="12"/>
      <c r="T443" s="32"/>
      <c r="U443" s="32"/>
      <c r="V443" s="32"/>
      <c r="W443" s="32"/>
      <c r="X443" s="8"/>
      <c r="Y443" s="32"/>
      <c r="Z443" s="8"/>
      <c r="AA443" s="8"/>
    </row>
    <row r="444" spans="1:27" s="52" customFormat="1" x14ac:dyDescent="0.25">
      <c r="A444" s="8"/>
      <c r="B444" s="9"/>
      <c r="C444" s="2"/>
      <c r="D444" s="11"/>
      <c r="E444" s="9"/>
      <c r="F444" s="10"/>
      <c r="G444" s="10"/>
      <c r="H444" s="33"/>
      <c r="I444" s="33"/>
      <c r="J444" s="33"/>
      <c r="K444" s="33"/>
      <c r="L444" s="33"/>
      <c r="M444" s="33"/>
      <c r="N444" s="33"/>
      <c r="O444" s="9"/>
      <c r="P444" s="9"/>
      <c r="Q444" s="8"/>
      <c r="R444" s="8"/>
      <c r="S444" s="12"/>
      <c r="T444" s="32"/>
      <c r="U444" s="32"/>
      <c r="V444" s="32"/>
      <c r="W444" s="32"/>
      <c r="X444" s="8"/>
      <c r="Y444" s="32"/>
      <c r="Z444" s="8"/>
      <c r="AA444" s="8"/>
    </row>
    <row r="445" spans="1:27" s="52" customFormat="1" x14ac:dyDescent="0.25">
      <c r="A445" s="8"/>
      <c r="B445" s="9"/>
      <c r="C445" s="2"/>
      <c r="D445" s="11"/>
      <c r="E445" s="9"/>
      <c r="F445" s="10"/>
      <c r="G445" s="10"/>
      <c r="H445" s="33"/>
      <c r="I445" s="33"/>
      <c r="J445" s="33"/>
      <c r="K445" s="33"/>
      <c r="L445" s="33"/>
      <c r="M445" s="33"/>
      <c r="N445" s="33"/>
      <c r="O445" s="9"/>
      <c r="P445" s="9"/>
      <c r="Q445" s="8"/>
      <c r="R445" s="8"/>
      <c r="S445" s="12"/>
      <c r="T445" s="32"/>
      <c r="U445" s="32"/>
      <c r="V445" s="32"/>
      <c r="W445" s="32"/>
      <c r="X445" s="8"/>
      <c r="Y445" s="32"/>
      <c r="Z445" s="8"/>
      <c r="AA445" s="8"/>
    </row>
    <row r="446" spans="1:27" s="52" customFormat="1" x14ac:dyDescent="0.25">
      <c r="A446" s="8"/>
      <c r="B446" s="9"/>
      <c r="C446" s="2"/>
      <c r="D446" s="11"/>
      <c r="E446" s="9"/>
      <c r="F446" s="10"/>
      <c r="G446" s="10"/>
      <c r="H446" s="33"/>
      <c r="I446" s="33"/>
      <c r="J446" s="33"/>
      <c r="K446" s="33"/>
      <c r="L446" s="33"/>
      <c r="M446" s="33"/>
      <c r="N446" s="33"/>
      <c r="O446" s="9"/>
      <c r="P446" s="9"/>
      <c r="Q446" s="8"/>
      <c r="R446" s="8"/>
      <c r="S446" s="12"/>
      <c r="T446" s="32"/>
      <c r="U446" s="32"/>
      <c r="V446" s="32"/>
      <c r="W446" s="32"/>
      <c r="X446" s="8"/>
      <c r="Y446" s="32"/>
      <c r="Z446" s="8"/>
      <c r="AA446" s="8"/>
    </row>
    <row r="447" spans="1:27" s="52" customFormat="1" x14ac:dyDescent="0.25">
      <c r="A447" s="8"/>
      <c r="B447" s="9"/>
      <c r="C447" s="2"/>
      <c r="D447" s="11"/>
      <c r="E447" s="9"/>
      <c r="F447" s="10"/>
      <c r="G447" s="10"/>
      <c r="H447" s="33"/>
      <c r="I447" s="33"/>
      <c r="J447" s="33"/>
      <c r="K447" s="33"/>
      <c r="L447" s="33"/>
      <c r="M447" s="33"/>
      <c r="N447" s="33"/>
      <c r="O447" s="9"/>
      <c r="P447" s="9"/>
      <c r="Q447" s="8"/>
      <c r="R447" s="8"/>
      <c r="S447" s="12"/>
      <c r="T447" s="32"/>
      <c r="U447" s="32"/>
      <c r="V447" s="32"/>
      <c r="W447" s="32"/>
      <c r="X447" s="8"/>
      <c r="Y447" s="32"/>
      <c r="Z447" s="8"/>
      <c r="AA447" s="8"/>
    </row>
    <row r="448" spans="1:27" s="52" customFormat="1" x14ac:dyDescent="0.25">
      <c r="A448" s="8"/>
      <c r="B448" s="9"/>
      <c r="C448" s="2"/>
      <c r="D448" s="11"/>
      <c r="E448" s="9"/>
      <c r="F448" s="10"/>
      <c r="G448" s="10"/>
      <c r="H448" s="33"/>
      <c r="I448" s="33"/>
      <c r="J448" s="33"/>
      <c r="K448" s="33"/>
      <c r="L448" s="33"/>
      <c r="M448" s="33"/>
      <c r="N448" s="33"/>
      <c r="O448" s="9"/>
      <c r="P448" s="9"/>
      <c r="Q448" s="8"/>
      <c r="R448" s="8"/>
      <c r="S448" s="12"/>
      <c r="T448" s="32"/>
      <c r="U448" s="32"/>
      <c r="V448" s="32"/>
      <c r="W448" s="32"/>
      <c r="X448" s="8"/>
      <c r="Y448" s="32"/>
      <c r="Z448" s="8"/>
      <c r="AA448" s="8"/>
    </row>
    <row r="449" spans="1:27" s="52" customFormat="1" x14ac:dyDescent="0.25">
      <c r="A449" s="8"/>
      <c r="B449" s="9"/>
      <c r="C449" s="2"/>
      <c r="D449" s="11"/>
      <c r="E449" s="9"/>
      <c r="F449" s="10"/>
      <c r="G449" s="10"/>
      <c r="H449" s="33"/>
      <c r="I449" s="33"/>
      <c r="J449" s="33"/>
      <c r="K449" s="33"/>
      <c r="L449" s="33"/>
      <c r="M449" s="33"/>
      <c r="N449" s="33"/>
      <c r="O449" s="9"/>
      <c r="P449" s="9"/>
      <c r="Q449" s="8"/>
      <c r="R449" s="8"/>
      <c r="S449" s="12"/>
      <c r="T449" s="32"/>
      <c r="U449" s="32"/>
      <c r="V449" s="32"/>
      <c r="W449" s="32"/>
      <c r="X449" s="8"/>
      <c r="Y449" s="32"/>
      <c r="Z449" s="8"/>
      <c r="AA449" s="8"/>
    </row>
    <row r="450" spans="1:27" s="52" customFormat="1" x14ac:dyDescent="0.25">
      <c r="A450" s="8"/>
      <c r="B450" s="9"/>
      <c r="C450" s="2"/>
      <c r="D450" s="11"/>
      <c r="E450" s="9"/>
      <c r="F450" s="10"/>
      <c r="G450" s="10"/>
      <c r="H450" s="33"/>
      <c r="I450" s="33"/>
      <c r="J450" s="33"/>
      <c r="K450" s="33"/>
      <c r="L450" s="33"/>
      <c r="M450" s="33"/>
      <c r="N450" s="33"/>
      <c r="O450" s="9"/>
      <c r="P450" s="9"/>
      <c r="Q450" s="8"/>
      <c r="R450" s="8"/>
      <c r="S450" s="12"/>
      <c r="T450" s="32"/>
      <c r="U450" s="32"/>
      <c r="V450" s="32"/>
      <c r="W450" s="32"/>
      <c r="X450" s="8"/>
      <c r="Y450" s="32"/>
      <c r="Z450" s="8"/>
      <c r="AA450" s="8"/>
    </row>
    <row r="451" spans="1:27" s="52" customFormat="1" x14ac:dyDescent="0.25">
      <c r="A451" s="8"/>
      <c r="B451" s="9"/>
      <c r="C451" s="2"/>
      <c r="D451" s="11"/>
      <c r="E451" s="9"/>
      <c r="F451" s="10"/>
      <c r="G451" s="10"/>
      <c r="H451" s="33"/>
      <c r="I451" s="33"/>
      <c r="J451" s="33"/>
      <c r="K451" s="33"/>
      <c r="L451" s="33"/>
      <c r="M451" s="33"/>
      <c r="N451" s="33"/>
      <c r="O451" s="9"/>
      <c r="P451" s="9"/>
      <c r="Q451" s="8"/>
      <c r="R451" s="8"/>
      <c r="S451" s="12"/>
      <c r="T451" s="32"/>
      <c r="U451" s="32"/>
      <c r="V451" s="32"/>
      <c r="W451" s="32"/>
      <c r="X451" s="8"/>
      <c r="Y451" s="32"/>
      <c r="Z451" s="8"/>
      <c r="AA451" s="8"/>
    </row>
    <row r="452" spans="1:27" s="52" customFormat="1" x14ac:dyDescent="0.25">
      <c r="A452" s="8"/>
      <c r="B452" s="9"/>
      <c r="C452" s="2"/>
      <c r="D452" s="11"/>
      <c r="E452" s="9"/>
      <c r="F452" s="10"/>
      <c r="G452" s="10"/>
      <c r="H452" s="33"/>
      <c r="I452" s="33"/>
      <c r="J452" s="33"/>
      <c r="K452" s="33"/>
      <c r="L452" s="33"/>
      <c r="M452" s="33"/>
      <c r="N452" s="33"/>
      <c r="O452" s="9"/>
      <c r="P452" s="9"/>
      <c r="Q452" s="8"/>
      <c r="R452" s="8"/>
      <c r="S452" s="12"/>
      <c r="T452" s="32"/>
      <c r="U452" s="32"/>
      <c r="V452" s="32"/>
      <c r="W452" s="32"/>
      <c r="X452" s="8"/>
      <c r="Y452" s="32"/>
      <c r="Z452" s="8"/>
      <c r="AA452" s="8"/>
    </row>
    <row r="453" spans="1:27" s="52" customFormat="1" x14ac:dyDescent="0.25">
      <c r="A453" s="8"/>
      <c r="B453" s="9"/>
      <c r="C453" s="2"/>
      <c r="D453" s="11"/>
      <c r="E453" s="9"/>
      <c r="F453" s="10"/>
      <c r="G453" s="10"/>
      <c r="H453" s="33"/>
      <c r="I453" s="33"/>
      <c r="J453" s="33"/>
      <c r="K453" s="33"/>
      <c r="L453" s="33"/>
      <c r="M453" s="33"/>
      <c r="N453" s="33"/>
      <c r="O453" s="9"/>
      <c r="P453" s="9"/>
      <c r="Q453" s="8"/>
      <c r="R453" s="8"/>
      <c r="S453" s="12"/>
      <c r="T453" s="32"/>
      <c r="U453" s="32"/>
      <c r="V453" s="32"/>
      <c r="W453" s="32"/>
      <c r="X453" s="8"/>
      <c r="Y453" s="32"/>
      <c r="Z453" s="8"/>
      <c r="AA453" s="8"/>
    </row>
    <row r="454" spans="1:27" s="52" customFormat="1" x14ac:dyDescent="0.25">
      <c r="A454" s="8"/>
      <c r="B454" s="9"/>
      <c r="C454" s="2"/>
      <c r="D454" s="11"/>
      <c r="E454" s="9"/>
      <c r="F454" s="10"/>
      <c r="G454" s="10"/>
      <c r="H454" s="33"/>
      <c r="I454" s="33"/>
      <c r="J454" s="33"/>
      <c r="K454" s="33"/>
      <c r="L454" s="33"/>
      <c r="M454" s="33"/>
      <c r="N454" s="33"/>
      <c r="O454" s="9"/>
      <c r="P454" s="9"/>
      <c r="Q454" s="8"/>
      <c r="R454" s="8"/>
      <c r="S454" s="12"/>
      <c r="T454" s="32"/>
      <c r="U454" s="32"/>
      <c r="V454" s="32"/>
      <c r="W454" s="32"/>
      <c r="X454" s="8"/>
      <c r="Y454" s="32"/>
      <c r="Z454" s="8"/>
      <c r="AA454" s="8"/>
    </row>
    <row r="455" spans="1:27" s="52" customFormat="1" x14ac:dyDescent="0.25">
      <c r="A455" s="8"/>
      <c r="B455" s="9"/>
      <c r="C455" s="2"/>
      <c r="D455" s="11"/>
      <c r="E455" s="9"/>
      <c r="F455" s="10"/>
      <c r="G455" s="10"/>
      <c r="H455" s="33"/>
      <c r="I455" s="33"/>
      <c r="J455" s="33"/>
      <c r="K455" s="33"/>
      <c r="L455" s="33"/>
      <c r="M455" s="33"/>
      <c r="N455" s="33"/>
      <c r="O455" s="9"/>
      <c r="P455" s="9"/>
      <c r="Q455" s="8"/>
      <c r="R455" s="8"/>
      <c r="S455" s="12"/>
      <c r="T455" s="32"/>
      <c r="U455" s="32"/>
      <c r="V455" s="32"/>
      <c r="W455" s="32"/>
      <c r="X455" s="8"/>
      <c r="Y455" s="32"/>
      <c r="Z455" s="8"/>
      <c r="AA455" s="8"/>
    </row>
    <row r="456" spans="1:27" s="52" customFormat="1" x14ac:dyDescent="0.25">
      <c r="A456" s="8"/>
      <c r="B456" s="9"/>
      <c r="C456" s="2"/>
      <c r="D456" s="11"/>
      <c r="E456" s="9"/>
      <c r="F456" s="10"/>
      <c r="G456" s="10"/>
      <c r="H456" s="33"/>
      <c r="I456" s="33"/>
      <c r="J456" s="33"/>
      <c r="K456" s="33"/>
      <c r="L456" s="33"/>
      <c r="M456" s="33"/>
      <c r="N456" s="33"/>
      <c r="O456" s="9"/>
      <c r="P456" s="9"/>
      <c r="Q456" s="8"/>
      <c r="R456" s="8"/>
      <c r="S456" s="12"/>
      <c r="T456" s="32"/>
      <c r="U456" s="32"/>
      <c r="V456" s="32"/>
      <c r="W456" s="32"/>
      <c r="X456" s="8"/>
      <c r="Y456" s="32"/>
      <c r="Z456" s="8"/>
      <c r="AA456" s="8"/>
    </row>
    <row r="457" spans="1:27" s="52" customFormat="1" x14ac:dyDescent="0.25">
      <c r="A457" s="8"/>
      <c r="B457" s="9"/>
      <c r="C457" s="2"/>
      <c r="D457" s="11"/>
      <c r="E457" s="9"/>
      <c r="F457" s="10"/>
      <c r="G457" s="10"/>
      <c r="H457" s="33"/>
      <c r="I457" s="33"/>
      <c r="J457" s="33"/>
      <c r="K457" s="33"/>
      <c r="L457" s="33"/>
      <c r="M457" s="33"/>
      <c r="N457" s="33"/>
      <c r="O457" s="9"/>
      <c r="P457" s="9"/>
      <c r="Q457" s="8"/>
      <c r="R457" s="8"/>
      <c r="S457" s="12"/>
      <c r="T457" s="32"/>
      <c r="U457" s="32"/>
      <c r="V457" s="32"/>
      <c r="W457" s="32"/>
      <c r="X457" s="8"/>
      <c r="Y457" s="32"/>
      <c r="Z457" s="8"/>
      <c r="AA457" s="8"/>
    </row>
    <row r="458" spans="1:27" s="52" customFormat="1" x14ac:dyDescent="0.25">
      <c r="A458" s="8"/>
      <c r="B458" s="9"/>
      <c r="C458" s="2"/>
      <c r="D458" s="11"/>
      <c r="E458" s="9"/>
      <c r="F458" s="10"/>
      <c r="G458" s="10"/>
      <c r="H458" s="33"/>
      <c r="I458" s="33"/>
      <c r="J458" s="33"/>
      <c r="K458" s="33"/>
      <c r="L458" s="33"/>
      <c r="M458" s="33"/>
      <c r="N458" s="33"/>
      <c r="O458" s="9"/>
      <c r="P458" s="9"/>
      <c r="Q458" s="8"/>
      <c r="R458" s="8"/>
      <c r="S458" s="12"/>
      <c r="T458" s="32"/>
      <c r="U458" s="32"/>
      <c r="V458" s="32"/>
      <c r="W458" s="32"/>
      <c r="X458" s="8"/>
      <c r="Y458" s="32"/>
      <c r="Z458" s="8"/>
      <c r="AA458" s="8"/>
    </row>
    <row r="459" spans="1:27" s="52" customFormat="1" x14ac:dyDescent="0.25">
      <c r="A459" s="8"/>
      <c r="B459" s="9"/>
      <c r="C459" s="2"/>
      <c r="D459" s="11"/>
      <c r="E459" s="9"/>
      <c r="F459" s="10"/>
      <c r="G459" s="10"/>
      <c r="H459" s="33"/>
      <c r="I459" s="33"/>
      <c r="J459" s="33"/>
      <c r="K459" s="33"/>
      <c r="L459" s="33"/>
      <c r="M459" s="33"/>
      <c r="N459" s="33"/>
      <c r="O459" s="9"/>
      <c r="P459" s="9"/>
      <c r="Q459" s="8"/>
      <c r="R459" s="8"/>
      <c r="S459" s="12"/>
      <c r="T459" s="32"/>
      <c r="U459" s="32"/>
      <c r="V459" s="32"/>
      <c r="W459" s="32"/>
      <c r="X459" s="8"/>
      <c r="Y459" s="32"/>
      <c r="Z459" s="8"/>
      <c r="AA459" s="8"/>
    </row>
    <row r="460" spans="1:27" s="52" customFormat="1" x14ac:dyDescent="0.25">
      <c r="A460" s="8"/>
      <c r="B460" s="9"/>
      <c r="C460" s="2"/>
      <c r="D460" s="11"/>
      <c r="E460" s="9"/>
      <c r="F460" s="10"/>
      <c r="G460" s="10"/>
      <c r="H460" s="33"/>
      <c r="I460" s="33"/>
      <c r="J460" s="33"/>
      <c r="K460" s="33"/>
      <c r="L460" s="33"/>
      <c r="M460" s="33"/>
      <c r="N460" s="33"/>
      <c r="O460" s="9"/>
      <c r="P460" s="9"/>
      <c r="Q460" s="8"/>
      <c r="R460" s="8"/>
      <c r="S460" s="12"/>
      <c r="T460" s="32"/>
      <c r="U460" s="32"/>
      <c r="V460" s="32"/>
      <c r="W460" s="32"/>
      <c r="X460" s="8"/>
      <c r="Y460" s="32"/>
      <c r="Z460" s="8"/>
      <c r="AA460" s="8"/>
    </row>
    <row r="461" spans="1:27" s="52" customFormat="1" x14ac:dyDescent="0.25">
      <c r="A461" s="8"/>
      <c r="B461" s="9"/>
      <c r="C461" s="2"/>
      <c r="D461" s="11"/>
      <c r="E461" s="9"/>
      <c r="F461" s="10"/>
      <c r="G461" s="10"/>
      <c r="H461" s="33"/>
      <c r="I461" s="33"/>
      <c r="J461" s="33"/>
      <c r="K461" s="33"/>
      <c r="L461" s="33"/>
      <c r="M461" s="33"/>
      <c r="N461" s="33"/>
      <c r="O461" s="9"/>
      <c r="P461" s="9"/>
      <c r="Q461" s="8"/>
      <c r="R461" s="8"/>
      <c r="S461" s="12"/>
      <c r="T461" s="32"/>
      <c r="U461" s="32"/>
      <c r="V461" s="32"/>
      <c r="W461" s="32"/>
      <c r="X461" s="8"/>
      <c r="Y461" s="32"/>
      <c r="Z461" s="8"/>
      <c r="AA461" s="8"/>
    </row>
    <row r="462" spans="1:27" s="52" customFormat="1" x14ac:dyDescent="0.25">
      <c r="A462" s="8"/>
      <c r="B462" s="9"/>
      <c r="C462" s="2"/>
      <c r="D462" s="11"/>
      <c r="E462" s="9"/>
      <c r="F462" s="10"/>
      <c r="G462" s="10"/>
      <c r="H462" s="33"/>
      <c r="I462" s="33"/>
      <c r="J462" s="33"/>
      <c r="K462" s="33"/>
      <c r="L462" s="33"/>
      <c r="M462" s="33"/>
      <c r="N462" s="33"/>
      <c r="O462" s="9"/>
      <c r="P462" s="9"/>
      <c r="Q462" s="8"/>
      <c r="R462" s="8"/>
      <c r="S462" s="12"/>
      <c r="T462" s="32"/>
      <c r="U462" s="32"/>
      <c r="V462" s="32"/>
      <c r="W462" s="32"/>
      <c r="X462" s="8"/>
      <c r="Y462" s="32"/>
      <c r="Z462" s="8"/>
      <c r="AA462" s="8"/>
    </row>
    <row r="463" spans="1:27" s="52" customFormat="1" x14ac:dyDescent="0.25">
      <c r="A463" s="8"/>
      <c r="B463" s="9"/>
      <c r="C463" s="2"/>
      <c r="D463" s="11"/>
      <c r="E463" s="9"/>
      <c r="F463" s="10"/>
      <c r="G463" s="10"/>
      <c r="H463" s="33"/>
      <c r="I463" s="33"/>
      <c r="J463" s="33"/>
      <c r="K463" s="33"/>
      <c r="L463" s="33"/>
      <c r="M463" s="33"/>
      <c r="N463" s="33"/>
      <c r="O463" s="9"/>
      <c r="P463" s="9"/>
      <c r="Q463" s="8"/>
      <c r="R463" s="8"/>
      <c r="S463" s="12"/>
      <c r="T463" s="32"/>
      <c r="U463" s="32"/>
      <c r="V463" s="32"/>
      <c r="W463" s="32"/>
      <c r="X463" s="8"/>
      <c r="Y463" s="32"/>
      <c r="Z463" s="8"/>
      <c r="AA463" s="8"/>
    </row>
    <row r="464" spans="1:27" s="52" customFormat="1" x14ac:dyDescent="0.25">
      <c r="A464" s="8"/>
      <c r="B464" s="9"/>
      <c r="C464" s="2"/>
      <c r="D464" s="11"/>
      <c r="E464" s="9"/>
      <c r="F464" s="10"/>
      <c r="G464" s="10"/>
      <c r="H464" s="33"/>
      <c r="I464" s="33"/>
      <c r="J464" s="33"/>
      <c r="K464" s="33"/>
      <c r="L464" s="33"/>
      <c r="M464" s="33"/>
      <c r="N464" s="33"/>
      <c r="O464" s="9"/>
      <c r="P464" s="9"/>
      <c r="Q464" s="8"/>
      <c r="R464" s="8"/>
      <c r="S464" s="12"/>
      <c r="T464" s="32"/>
      <c r="U464" s="32"/>
      <c r="V464" s="32"/>
      <c r="W464" s="32"/>
      <c r="X464" s="8"/>
      <c r="Y464" s="32"/>
      <c r="Z464" s="8"/>
      <c r="AA464" s="8"/>
    </row>
    <row r="465" spans="1:27" s="52" customFormat="1" x14ac:dyDescent="0.25">
      <c r="A465" s="8"/>
      <c r="B465" s="9"/>
      <c r="C465" s="2"/>
      <c r="D465" s="11"/>
      <c r="E465" s="9"/>
      <c r="F465" s="10"/>
      <c r="G465" s="10"/>
      <c r="H465" s="33"/>
      <c r="I465" s="33"/>
      <c r="J465" s="33"/>
      <c r="K465" s="33"/>
      <c r="L465" s="33"/>
      <c r="M465" s="33"/>
      <c r="N465" s="33"/>
      <c r="O465" s="9"/>
      <c r="P465" s="9"/>
      <c r="Q465" s="8"/>
      <c r="R465" s="8"/>
      <c r="S465" s="12"/>
      <c r="T465" s="32"/>
      <c r="U465" s="32"/>
      <c r="V465" s="32"/>
      <c r="W465" s="32"/>
      <c r="X465" s="8"/>
      <c r="Y465" s="32"/>
      <c r="Z465" s="8"/>
      <c r="AA465" s="8"/>
    </row>
    <row r="466" spans="1:27" s="52" customFormat="1" x14ac:dyDescent="0.25">
      <c r="A466" s="8"/>
      <c r="B466" s="9"/>
      <c r="C466" s="2"/>
      <c r="D466" s="11"/>
      <c r="E466" s="9"/>
      <c r="F466" s="10"/>
      <c r="G466" s="10"/>
      <c r="H466" s="33"/>
      <c r="I466" s="33"/>
      <c r="J466" s="33"/>
      <c r="K466" s="33"/>
      <c r="L466" s="33"/>
      <c r="M466" s="33"/>
      <c r="N466" s="33"/>
      <c r="O466" s="9"/>
      <c r="P466" s="9"/>
      <c r="Q466" s="8"/>
      <c r="R466" s="8"/>
      <c r="S466" s="12"/>
      <c r="T466" s="32"/>
      <c r="U466" s="32"/>
      <c r="V466" s="32"/>
      <c r="W466" s="32"/>
      <c r="X466" s="8"/>
      <c r="Y466" s="32"/>
      <c r="Z466" s="8"/>
      <c r="AA466" s="8"/>
    </row>
    <row r="467" spans="1:27" s="52" customFormat="1" x14ac:dyDescent="0.25">
      <c r="A467" s="8"/>
      <c r="B467" s="9"/>
      <c r="C467" s="2"/>
      <c r="D467" s="11"/>
      <c r="E467" s="9"/>
      <c r="F467" s="10"/>
      <c r="G467" s="10"/>
      <c r="H467" s="33"/>
      <c r="I467" s="33"/>
      <c r="J467" s="33"/>
      <c r="K467" s="33"/>
      <c r="L467" s="33"/>
      <c r="M467" s="33"/>
      <c r="N467" s="33"/>
      <c r="O467" s="9"/>
      <c r="P467" s="9"/>
      <c r="Q467" s="8"/>
      <c r="R467" s="8"/>
      <c r="S467" s="12"/>
      <c r="T467" s="32"/>
      <c r="U467" s="32"/>
      <c r="V467" s="32"/>
      <c r="W467" s="32"/>
      <c r="X467" s="8"/>
      <c r="Y467" s="32"/>
      <c r="Z467" s="8"/>
      <c r="AA467" s="8"/>
    </row>
    <row r="468" spans="1:27" s="52" customFormat="1" x14ac:dyDescent="0.25">
      <c r="A468" s="8"/>
      <c r="B468" s="9"/>
      <c r="C468" s="2"/>
      <c r="D468" s="11"/>
      <c r="E468" s="9"/>
      <c r="F468" s="10"/>
      <c r="G468" s="10"/>
      <c r="H468" s="33"/>
      <c r="I468" s="33"/>
      <c r="J468" s="33"/>
      <c r="K468" s="33"/>
      <c r="L468" s="33"/>
      <c r="M468" s="33"/>
      <c r="N468" s="33"/>
      <c r="O468" s="9"/>
      <c r="P468" s="9"/>
      <c r="Q468" s="8"/>
      <c r="R468" s="8"/>
      <c r="S468" s="12"/>
      <c r="T468" s="32"/>
      <c r="U468" s="32"/>
      <c r="V468" s="32"/>
      <c r="W468" s="32"/>
      <c r="X468" s="8"/>
      <c r="Y468" s="32"/>
      <c r="Z468" s="8"/>
      <c r="AA468" s="8"/>
    </row>
    <row r="469" spans="1:27" s="52" customFormat="1" x14ac:dyDescent="0.25">
      <c r="A469" s="8"/>
      <c r="B469" s="9"/>
      <c r="C469" s="2"/>
      <c r="D469" s="11"/>
      <c r="E469" s="9"/>
      <c r="F469" s="10"/>
      <c r="G469" s="10"/>
      <c r="H469" s="33"/>
      <c r="I469" s="33"/>
      <c r="J469" s="33"/>
      <c r="K469" s="33"/>
      <c r="L469" s="33"/>
      <c r="M469" s="33"/>
      <c r="N469" s="33"/>
      <c r="O469" s="9"/>
      <c r="P469" s="9"/>
      <c r="Q469" s="8"/>
      <c r="R469" s="8"/>
      <c r="S469" s="12"/>
      <c r="T469" s="32"/>
      <c r="U469" s="32"/>
      <c r="V469" s="32"/>
      <c r="W469" s="32"/>
      <c r="X469" s="8"/>
      <c r="Y469" s="32"/>
      <c r="Z469" s="8"/>
      <c r="AA469" s="8"/>
    </row>
    <row r="470" spans="1:27" s="52" customFormat="1" x14ac:dyDescent="0.25">
      <c r="A470" s="8"/>
      <c r="B470" s="9"/>
      <c r="C470" s="2"/>
      <c r="D470" s="11"/>
      <c r="E470" s="9"/>
      <c r="F470" s="10"/>
      <c r="G470" s="10"/>
      <c r="H470" s="33"/>
      <c r="I470" s="33"/>
      <c r="J470" s="33"/>
      <c r="K470" s="33"/>
      <c r="L470" s="33"/>
      <c r="M470" s="33"/>
      <c r="N470" s="33"/>
      <c r="O470" s="9"/>
      <c r="P470" s="9"/>
      <c r="Q470" s="8"/>
      <c r="R470" s="8"/>
      <c r="S470" s="12"/>
      <c r="T470" s="32"/>
      <c r="U470" s="32"/>
      <c r="V470" s="32"/>
      <c r="W470" s="32"/>
      <c r="X470" s="8"/>
      <c r="Y470" s="32"/>
      <c r="Z470" s="8"/>
      <c r="AA470" s="8"/>
    </row>
    <row r="471" spans="1:27" s="52" customFormat="1" x14ac:dyDescent="0.25">
      <c r="A471" s="8"/>
      <c r="B471" s="9"/>
      <c r="C471" s="2"/>
      <c r="D471" s="11"/>
      <c r="E471" s="9"/>
      <c r="F471" s="10"/>
      <c r="G471" s="10"/>
      <c r="H471" s="33"/>
      <c r="I471" s="33"/>
      <c r="J471" s="33"/>
      <c r="K471" s="33"/>
      <c r="L471" s="33"/>
      <c r="M471" s="33"/>
      <c r="N471" s="33"/>
      <c r="O471" s="9"/>
      <c r="P471" s="9"/>
      <c r="Q471" s="8"/>
      <c r="R471" s="8"/>
      <c r="S471" s="12"/>
      <c r="T471" s="32"/>
      <c r="U471" s="32"/>
      <c r="V471" s="32"/>
      <c r="W471" s="32"/>
      <c r="X471" s="8"/>
      <c r="Y471" s="32"/>
      <c r="Z471" s="8"/>
      <c r="AA471" s="8"/>
    </row>
    <row r="472" spans="1:27" s="52" customFormat="1" x14ac:dyDescent="0.25">
      <c r="A472" s="8"/>
      <c r="B472" s="9"/>
      <c r="C472" s="2"/>
      <c r="D472" s="11"/>
      <c r="E472" s="9"/>
      <c r="F472" s="10"/>
      <c r="G472" s="10"/>
      <c r="H472" s="33"/>
      <c r="I472" s="33"/>
      <c r="J472" s="33"/>
      <c r="K472" s="33"/>
      <c r="L472" s="33"/>
      <c r="M472" s="33"/>
      <c r="N472" s="33"/>
      <c r="O472" s="9"/>
      <c r="P472" s="9"/>
      <c r="Q472" s="8"/>
      <c r="R472" s="8"/>
      <c r="S472" s="12"/>
      <c r="T472" s="32"/>
      <c r="U472" s="32"/>
      <c r="V472" s="32"/>
      <c r="W472" s="32"/>
      <c r="X472" s="8"/>
      <c r="Y472" s="32"/>
      <c r="Z472" s="8"/>
      <c r="AA472" s="8"/>
    </row>
    <row r="473" spans="1:27" s="52" customFormat="1" x14ac:dyDescent="0.25">
      <c r="A473" s="8"/>
      <c r="B473" s="9"/>
      <c r="C473" s="2"/>
      <c r="D473" s="11"/>
      <c r="E473" s="9"/>
      <c r="F473" s="10"/>
      <c r="G473" s="10"/>
      <c r="H473" s="33"/>
      <c r="I473" s="33"/>
      <c r="J473" s="33"/>
      <c r="K473" s="33"/>
      <c r="L473" s="33"/>
      <c r="M473" s="33"/>
      <c r="N473" s="33"/>
      <c r="O473" s="9"/>
      <c r="P473" s="9"/>
      <c r="Q473" s="8"/>
      <c r="R473" s="8"/>
      <c r="S473" s="12"/>
      <c r="T473" s="32"/>
      <c r="U473" s="32"/>
      <c r="V473" s="32"/>
      <c r="W473" s="32"/>
      <c r="X473" s="8"/>
      <c r="Y473" s="32"/>
      <c r="Z473" s="8"/>
      <c r="AA473" s="8"/>
    </row>
    <row r="474" spans="1:27" s="52" customFormat="1" x14ac:dyDescent="0.25">
      <c r="A474" s="8"/>
      <c r="B474" s="9"/>
      <c r="C474" s="2"/>
      <c r="D474" s="11"/>
      <c r="E474" s="9"/>
      <c r="F474" s="10"/>
      <c r="G474" s="10"/>
      <c r="H474" s="33"/>
      <c r="I474" s="33"/>
      <c r="J474" s="33"/>
      <c r="K474" s="33"/>
      <c r="L474" s="33"/>
      <c r="M474" s="33"/>
      <c r="N474" s="33"/>
      <c r="O474" s="9"/>
      <c r="P474" s="9"/>
      <c r="Q474" s="8"/>
      <c r="R474" s="8"/>
      <c r="S474" s="12"/>
      <c r="T474" s="32"/>
      <c r="U474" s="32"/>
      <c r="V474" s="32"/>
      <c r="W474" s="32"/>
      <c r="X474" s="8"/>
      <c r="Y474" s="32"/>
      <c r="Z474" s="8"/>
      <c r="AA474" s="8"/>
    </row>
    <row r="475" spans="1:27" s="52" customFormat="1" x14ac:dyDescent="0.25">
      <c r="A475" s="8"/>
      <c r="B475" s="9"/>
      <c r="C475" s="2"/>
      <c r="D475" s="11"/>
      <c r="E475" s="9"/>
      <c r="F475" s="10"/>
      <c r="G475" s="10"/>
      <c r="H475" s="33"/>
      <c r="I475" s="33"/>
      <c r="J475" s="33"/>
      <c r="K475" s="33"/>
      <c r="L475" s="33"/>
      <c r="M475" s="33"/>
      <c r="N475" s="33"/>
      <c r="O475" s="9"/>
      <c r="P475" s="9"/>
      <c r="Q475" s="8"/>
      <c r="R475" s="8"/>
      <c r="S475" s="12"/>
      <c r="T475" s="32"/>
      <c r="U475" s="32"/>
      <c r="V475" s="32"/>
      <c r="W475" s="32"/>
      <c r="X475" s="8"/>
      <c r="Y475" s="32"/>
      <c r="Z475" s="8"/>
      <c r="AA475" s="8"/>
    </row>
    <row r="476" spans="1:27" s="52" customFormat="1" x14ac:dyDescent="0.25">
      <c r="A476" s="8"/>
      <c r="B476" s="9"/>
      <c r="C476" s="2"/>
      <c r="D476" s="11"/>
      <c r="E476" s="9"/>
      <c r="F476" s="10"/>
      <c r="G476" s="10"/>
      <c r="H476" s="33"/>
      <c r="I476" s="33"/>
      <c r="J476" s="33"/>
      <c r="K476" s="33"/>
      <c r="L476" s="33"/>
      <c r="M476" s="33"/>
      <c r="N476" s="33"/>
      <c r="O476" s="9"/>
      <c r="P476" s="9"/>
      <c r="Q476" s="8"/>
      <c r="R476" s="8"/>
      <c r="S476" s="12"/>
      <c r="T476" s="32"/>
      <c r="U476" s="32"/>
      <c r="V476" s="32"/>
      <c r="W476" s="32"/>
      <c r="X476" s="8"/>
      <c r="Y476" s="32"/>
      <c r="Z476" s="8"/>
      <c r="AA476" s="8"/>
    </row>
    <row r="477" spans="1:27" s="52" customFormat="1" x14ac:dyDescent="0.25">
      <c r="A477" s="8"/>
      <c r="B477" s="9"/>
      <c r="C477" s="2"/>
      <c r="D477" s="11"/>
      <c r="E477" s="9"/>
      <c r="F477" s="10"/>
      <c r="G477" s="10"/>
      <c r="H477" s="33"/>
      <c r="I477" s="33"/>
      <c r="J477" s="33"/>
      <c r="K477" s="33"/>
      <c r="L477" s="33"/>
      <c r="M477" s="33"/>
      <c r="N477" s="33"/>
      <c r="O477" s="9"/>
      <c r="P477" s="9"/>
      <c r="Q477" s="8"/>
      <c r="R477" s="8"/>
      <c r="S477" s="12"/>
      <c r="T477" s="32"/>
      <c r="U477" s="32"/>
      <c r="V477" s="32"/>
      <c r="W477" s="32"/>
      <c r="X477" s="8"/>
      <c r="Y477" s="32"/>
      <c r="Z477" s="8"/>
      <c r="AA477" s="8"/>
    </row>
    <row r="478" spans="1:27" s="52" customFormat="1" x14ac:dyDescent="0.25">
      <c r="A478" s="8"/>
      <c r="B478" s="9"/>
      <c r="C478" s="2"/>
      <c r="D478" s="11"/>
      <c r="E478" s="9"/>
      <c r="F478" s="10"/>
      <c r="G478" s="10"/>
      <c r="H478" s="33"/>
      <c r="I478" s="33"/>
      <c r="J478" s="33"/>
      <c r="K478" s="33"/>
      <c r="L478" s="33"/>
      <c r="M478" s="33"/>
      <c r="N478" s="33"/>
      <c r="O478" s="9"/>
      <c r="P478" s="9"/>
      <c r="Q478" s="8"/>
      <c r="R478" s="8"/>
      <c r="S478" s="12"/>
      <c r="T478" s="32"/>
      <c r="U478" s="32"/>
      <c r="V478" s="32"/>
      <c r="W478" s="32"/>
      <c r="X478" s="8"/>
      <c r="Y478" s="32"/>
      <c r="Z478" s="8"/>
      <c r="AA478" s="8"/>
    </row>
    <row r="479" spans="1:27" s="52" customFormat="1" x14ac:dyDescent="0.25">
      <c r="A479" s="8"/>
      <c r="B479" s="9"/>
      <c r="C479" s="2"/>
      <c r="D479" s="11"/>
      <c r="E479" s="9"/>
      <c r="F479" s="10"/>
      <c r="G479" s="10"/>
      <c r="H479" s="33"/>
      <c r="I479" s="33"/>
      <c r="J479" s="33"/>
      <c r="K479" s="33"/>
      <c r="L479" s="33"/>
      <c r="M479" s="33"/>
      <c r="N479" s="33"/>
      <c r="O479" s="9"/>
      <c r="P479" s="9"/>
      <c r="Q479" s="8"/>
      <c r="R479" s="8"/>
      <c r="S479" s="12"/>
      <c r="T479" s="32"/>
      <c r="U479" s="32"/>
      <c r="V479" s="32"/>
      <c r="W479" s="32"/>
      <c r="X479" s="8"/>
      <c r="Y479" s="32"/>
      <c r="Z479" s="8"/>
      <c r="AA479" s="8"/>
    </row>
  </sheetData>
  <protectedRanges>
    <protectedRange algorithmName="SHA-512" hashValue="n6K25g9uzAcpntxjqTQaPVdKX1eij75CLB1gBuUNBybVL5B3VaxVW/Tcen54TXijIel0fCN9KO3xZiLZCJMSZw==" saltValue="89UdTK4UUElaUoKBccfOYw==" spinCount="100000" sqref="C3:D6" name="CIN CDP"/>
    <protectedRange algorithmName="SHA-512" hashValue="n6K25g9uzAcpntxjqTQaPVdKX1eij75CLB1gBuUNBybVL5B3VaxVW/Tcen54TXijIel0fCN9KO3xZiLZCJMSZw==" saltValue="89UdTK4UUElaUoKBccfOYw==" spinCount="100000" sqref="C7:D97" name="CIN CDP_1"/>
  </protectedRanges>
  <conditionalFormatting sqref="A45:A56">
    <cfRule type="expression" dxfId="1626" priority="1">
      <formula>$T45="Benzick, Sue"</formula>
    </cfRule>
    <cfRule type="expression" dxfId="1625" priority="2">
      <formula>$T45="Jenne, Richard"</formula>
    </cfRule>
    <cfRule type="expression" dxfId="1624" priority="3">
      <formula>$T45="McQueen, Jennifer"</formula>
    </cfRule>
  </conditionalFormatting>
  <conditionalFormatting sqref="A8:B25 A26:A27 A29:B33 A35:B37">
    <cfRule type="expression" dxfId="1623" priority="7">
      <formula>$T8="Benzick, Sue"</formula>
    </cfRule>
    <cfRule type="expression" dxfId="1622" priority="8">
      <formula>$T8="Jenne, Richard"</formula>
    </cfRule>
    <cfRule type="expression" dxfId="1621" priority="9">
      <formula>$T8="McQueen, Jennifer"</formula>
    </cfRule>
  </conditionalFormatting>
  <conditionalFormatting sqref="G7:I7 H8:I33 H34:N34 H35:I37 H38:N44 H45:I58 H59:N68 H69:I97">
    <cfRule type="expression" dxfId="1620" priority="4">
      <formula>#REF!="Benzick, Sue"</formula>
    </cfRule>
    <cfRule type="expression" dxfId="1619" priority="5">
      <formula>#REF!="Jenne, Richard"</formula>
    </cfRule>
    <cfRule type="expression" dxfId="1618" priority="6">
      <formula>#REF!="McQueen, Jennifer"</formula>
    </cfRule>
  </conditionalFormatting>
  <conditionalFormatting sqref="J7:N33 T7:T97 J35:N37 J45:N58 J69:N97">
    <cfRule type="expression" dxfId="1617" priority="10">
      <formula>$S7="Benzick, Sue"</formula>
    </cfRule>
    <cfRule type="expression" dxfId="1616" priority="11">
      <formula>$S7="Jenne, Richard"</formula>
    </cfRule>
    <cfRule type="expression" dxfId="1615" priority="12">
      <formula>$S7="McQueen, Jennifer"</formula>
    </cfRule>
  </conditionalFormatting>
  <conditionalFormatting sqref="Y7:Y97 W57:W97">
    <cfRule type="expression" dxfId="1614" priority="13">
      <formula>$X7="Benzick, Sue"</formula>
    </cfRule>
    <cfRule type="expression" dxfId="1613" priority="14">
      <formula>$X7="Jenne, Richard"</formula>
    </cfRule>
    <cfRule type="expression" dxfId="1612" priority="15">
      <formula>$X7="McQueen, Jennifer"</formula>
    </cfRule>
  </conditionalFormatting>
  <dataValidations count="3">
    <dataValidation allowBlank="1" showInputMessage="1" showErrorMessage="1" sqref="S7:S97" xr:uid="{AA1F1B04-2B72-48BE-9F70-B5D4DE815519}"/>
    <dataValidation type="list" allowBlank="1" showInputMessage="1" showErrorMessage="1" sqref="B99:B105 B107:B377 B4:B97" xr:uid="{359F152B-43BF-4681-94C7-0882BE25B1CB}">
      <formula1>Class</formula1>
    </dataValidation>
    <dataValidation type="list" allowBlank="1" showInputMessage="1" showErrorMessage="1" sqref="O99:O321" xr:uid="{4F9173FD-9C9A-4C7E-BDE1-700B1F43FCBE}">
      <formula1>Instructor</formula1>
    </dataValidation>
  </dataValidations>
  <printOptions horizontalCentered="1" verticalCentered="1"/>
  <pageMargins left="0.7" right="0.7" top="0.75" bottom="0.75" header="0.3" footer="0.3"/>
  <pageSetup paperSize="5" scale="35" fitToHeight="0" orientation="landscape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BF3D5-DAA7-4486-84FD-CDCF9E55DC77}">
  <sheetPr>
    <pageSetUpPr fitToPage="1"/>
  </sheetPr>
  <dimension ref="A1:AA459"/>
  <sheetViews>
    <sheetView zoomScale="90" zoomScaleNormal="90" workbookViewId="0">
      <selection activeCell="P39" sqref="P39"/>
    </sheetView>
  </sheetViews>
  <sheetFormatPr defaultColWidth="8.7109375" defaultRowHeight="15" x14ac:dyDescent="0.25"/>
  <cols>
    <col min="1" max="1" width="30.42578125" style="8" customWidth="1"/>
    <col min="2" max="2" width="46.7109375" style="9" customWidth="1"/>
    <col min="3" max="3" width="14.28515625" style="2" customWidth="1"/>
    <col min="4" max="4" width="16.28515625" style="11" customWidth="1"/>
    <col min="5" max="5" width="21.7109375" style="9" customWidth="1"/>
    <col min="6" max="6" width="17" style="10" bestFit="1" customWidth="1"/>
    <col min="7" max="7" width="15.7109375" style="10" bestFit="1" customWidth="1"/>
    <col min="8" max="9" width="9.7109375" style="33" customWidth="1"/>
    <col min="10" max="14" width="9.7109375" style="33" hidden="1" customWidth="1"/>
    <col min="15" max="15" width="20" style="9" hidden="1" customWidth="1"/>
    <col min="16" max="16" width="18.42578125" style="9" bestFit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2" hidden="1" customWidth="1"/>
    <col min="21" max="21" width="12.28515625" style="32" hidden="1" customWidth="1"/>
    <col min="22" max="22" width="16.42578125" style="32" hidden="1" customWidth="1"/>
    <col min="23" max="23" width="15.7109375" style="32" hidden="1" customWidth="1"/>
    <col min="24" max="24" width="16.5703125" style="8" hidden="1" customWidth="1"/>
    <col min="25" max="25" width="16" style="32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222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30" customFormat="1" ht="72" customHeight="1" thickBot="1" x14ac:dyDescent="0.3">
      <c r="A3" s="26" t="s">
        <v>223</v>
      </c>
      <c r="B3" s="26" t="s">
        <v>130</v>
      </c>
      <c r="C3" s="26" t="s">
        <v>11</v>
      </c>
      <c r="D3" s="93" t="s">
        <v>131</v>
      </c>
      <c r="E3" s="26" t="s">
        <v>132</v>
      </c>
      <c r="F3" s="27" t="s">
        <v>133</v>
      </c>
      <c r="G3" s="27" t="s">
        <v>134</v>
      </c>
      <c r="H3" s="62" t="s">
        <v>135</v>
      </c>
      <c r="I3" s="62" t="s">
        <v>136</v>
      </c>
      <c r="J3" s="62" t="s">
        <v>137</v>
      </c>
      <c r="K3" s="62" t="s">
        <v>138</v>
      </c>
      <c r="L3" s="62" t="s">
        <v>139</v>
      </c>
      <c r="M3" s="62" t="s">
        <v>140</v>
      </c>
      <c r="N3" s="62" t="s">
        <v>141</v>
      </c>
      <c r="O3" s="26" t="s">
        <v>142</v>
      </c>
      <c r="P3" s="26" t="s">
        <v>143</v>
      </c>
      <c r="Q3" s="29" t="s">
        <v>144</v>
      </c>
      <c r="R3" s="29" t="s">
        <v>146</v>
      </c>
      <c r="S3" s="28" t="s">
        <v>150</v>
      </c>
      <c r="T3" s="28" t="s">
        <v>151</v>
      </c>
      <c r="U3" s="28" t="s">
        <v>152</v>
      </c>
      <c r="V3" s="28" t="s">
        <v>153</v>
      </c>
      <c r="W3" s="28" t="s">
        <v>154</v>
      </c>
      <c r="X3" s="28" t="s">
        <v>155</v>
      </c>
      <c r="Y3" s="28" t="s">
        <v>156</v>
      </c>
      <c r="Z3" s="28" t="s">
        <v>157</v>
      </c>
      <c r="AA3" s="28" t="s">
        <v>158</v>
      </c>
    </row>
    <row r="4" spans="1:27" s="76" customFormat="1" x14ac:dyDescent="0.25">
      <c r="A4" s="52"/>
      <c r="B4" s="69" t="s">
        <v>116</v>
      </c>
      <c r="C4" s="70" t="s">
        <v>117</v>
      </c>
      <c r="D4" s="70" t="s">
        <v>118</v>
      </c>
      <c r="E4" s="69" t="s">
        <v>211</v>
      </c>
      <c r="F4" s="72">
        <v>45789</v>
      </c>
      <c r="G4" s="72">
        <v>45793</v>
      </c>
      <c r="H4" s="75">
        <v>0.33333333333333331</v>
      </c>
      <c r="I4" s="71"/>
      <c r="J4" s="75"/>
      <c r="K4" s="75"/>
      <c r="L4" s="75"/>
      <c r="M4" s="75"/>
      <c r="N4" s="75"/>
      <c r="O4" s="69"/>
      <c r="P4" s="69"/>
      <c r="Q4" s="14">
        <v>30</v>
      </c>
      <c r="R4" s="14">
        <v>5</v>
      </c>
      <c r="S4" s="14"/>
      <c r="T4" s="73"/>
      <c r="U4" s="14"/>
      <c r="V4" s="14"/>
      <c r="W4" s="14"/>
      <c r="X4" s="69"/>
      <c r="Y4" s="60">
        <f ca="1">Table25[[#This Row],[End Date]]+2-TODAY()</f>
        <v>-212</v>
      </c>
      <c r="Z4" s="14">
        <f>IF(ISBLANK(Table25[[#This Row],[Roster Received By]]),1,0)</f>
        <v>1</v>
      </c>
      <c r="AA4" s="14">
        <f ca="1">IF(Table25[[#This Row],[Start Date]]&gt;TODAY(),1,)</f>
        <v>0</v>
      </c>
    </row>
    <row r="5" spans="1:27" s="76" customFormat="1" x14ac:dyDescent="0.25">
      <c r="A5" s="52"/>
      <c r="B5" s="69" t="s">
        <v>116</v>
      </c>
      <c r="C5" s="70" t="s">
        <v>117</v>
      </c>
      <c r="D5" s="70" t="s">
        <v>118</v>
      </c>
      <c r="E5" s="69" t="s">
        <v>254</v>
      </c>
      <c r="F5" s="72">
        <v>45670</v>
      </c>
      <c r="G5" s="72">
        <v>45674</v>
      </c>
      <c r="H5" s="75">
        <v>0.33333333333333331</v>
      </c>
      <c r="I5" s="71"/>
      <c r="J5" s="75"/>
      <c r="K5" s="75"/>
      <c r="L5" s="75"/>
      <c r="M5" s="75"/>
      <c r="N5" s="75"/>
      <c r="O5" s="69"/>
      <c r="P5" s="69"/>
      <c r="Q5" s="14">
        <v>30</v>
      </c>
      <c r="R5" s="14">
        <v>5</v>
      </c>
      <c r="S5" s="14"/>
      <c r="T5" s="73"/>
      <c r="U5" s="14"/>
      <c r="V5" s="14"/>
      <c r="W5" s="14"/>
      <c r="X5" s="69"/>
      <c r="Y5" s="60">
        <f ca="1">Table25[[#This Row],[End Date]]+2-TODAY()</f>
        <v>-331</v>
      </c>
      <c r="Z5" s="14">
        <f>IF(ISBLANK(Table25[[#This Row],[Roster Received By]]),1,0)</f>
        <v>1</v>
      </c>
      <c r="AA5" s="14">
        <f ca="1">IF(Table25[[#This Row],[Start Date]]&gt;TODAY(),1,)</f>
        <v>0</v>
      </c>
    </row>
    <row r="6" spans="1:27" s="76" customFormat="1" x14ac:dyDescent="0.25">
      <c r="A6" s="52"/>
      <c r="B6" s="69" t="s">
        <v>116</v>
      </c>
      <c r="C6" s="70" t="s">
        <v>117</v>
      </c>
      <c r="D6" s="70" t="s">
        <v>118</v>
      </c>
      <c r="E6" s="69" t="s">
        <v>255</v>
      </c>
      <c r="F6" s="72">
        <v>45894</v>
      </c>
      <c r="G6" s="72">
        <v>45898</v>
      </c>
      <c r="H6" s="75">
        <v>0.33333333333333331</v>
      </c>
      <c r="I6" s="75"/>
      <c r="J6" s="72"/>
      <c r="K6" s="72"/>
      <c r="L6" s="72"/>
      <c r="M6" s="72"/>
      <c r="N6" s="72"/>
      <c r="O6" s="69"/>
      <c r="P6" s="69"/>
      <c r="Q6" s="14">
        <v>30</v>
      </c>
      <c r="R6" s="14">
        <v>5</v>
      </c>
      <c r="S6" s="73"/>
      <c r="T6" s="73"/>
      <c r="U6" s="14"/>
      <c r="V6" s="14"/>
      <c r="W6" s="14"/>
      <c r="X6" s="69"/>
      <c r="Y6" s="60">
        <f ca="1">Table25[[#This Row],[End Date]]+2-TODAY()</f>
        <v>-107</v>
      </c>
      <c r="Z6" s="14">
        <f>IF(ISBLANK(Table25[[#This Row],[Roster Received By]]),1,0)</f>
        <v>1</v>
      </c>
      <c r="AA6" s="14">
        <f ca="1">IF(Table25[[#This Row],[Start Date]]&gt;TODAY(),1,)</f>
        <v>0</v>
      </c>
    </row>
    <row r="7" spans="1:27" s="76" customFormat="1" hidden="1" x14ac:dyDescent="0.25">
      <c r="A7" s="52"/>
      <c r="B7" s="69" t="s">
        <v>32</v>
      </c>
      <c r="C7" s="70" t="s">
        <v>33</v>
      </c>
      <c r="D7" s="70">
        <v>3879</v>
      </c>
      <c r="E7" s="69" t="s">
        <v>25</v>
      </c>
      <c r="F7" s="72">
        <v>45700</v>
      </c>
      <c r="G7" s="72">
        <v>45700</v>
      </c>
      <c r="H7" s="75"/>
      <c r="I7" s="71">
        <v>0.75</v>
      </c>
      <c r="J7" s="72"/>
      <c r="K7" s="72"/>
      <c r="L7" s="72"/>
      <c r="M7" s="72"/>
      <c r="N7" s="72"/>
      <c r="O7" s="69"/>
      <c r="P7" s="69"/>
      <c r="Q7" s="73">
        <v>30</v>
      </c>
      <c r="R7" s="74">
        <v>1</v>
      </c>
      <c r="S7" s="73"/>
      <c r="T7" s="73"/>
      <c r="U7" s="14"/>
      <c r="V7" s="14"/>
      <c r="W7" s="70"/>
      <c r="X7" s="69"/>
      <c r="Y7" s="60">
        <f ca="1">Table25[[#This Row],[End Date]]+2-TODAY()</f>
        <v>-305</v>
      </c>
      <c r="Z7" s="14">
        <f>IF(ISBLANK(Table25[[#This Row],[Roster Received By]]),1,0)</f>
        <v>1</v>
      </c>
      <c r="AA7" s="14">
        <f ca="1">IF(Table25[[#This Row],[Start Date]]&gt;TODAY(),1,)</f>
        <v>0</v>
      </c>
    </row>
    <row r="8" spans="1:27" s="76" customFormat="1" hidden="1" x14ac:dyDescent="0.25">
      <c r="A8" s="52"/>
      <c r="B8" s="69" t="s">
        <v>32</v>
      </c>
      <c r="C8" s="70" t="s">
        <v>33</v>
      </c>
      <c r="D8" s="70">
        <v>3879</v>
      </c>
      <c r="E8" s="69" t="s">
        <v>25</v>
      </c>
      <c r="F8" s="72">
        <v>45882</v>
      </c>
      <c r="G8" s="72">
        <v>45882</v>
      </c>
      <c r="H8" s="75"/>
      <c r="I8" s="71">
        <v>0.75</v>
      </c>
      <c r="J8" s="72"/>
      <c r="K8" s="72"/>
      <c r="L8" s="72"/>
      <c r="M8" s="72"/>
      <c r="N8" s="72"/>
      <c r="O8" s="69"/>
      <c r="P8" s="69"/>
      <c r="Q8" s="73">
        <v>30</v>
      </c>
      <c r="R8" s="74">
        <v>1</v>
      </c>
      <c r="S8" s="73"/>
      <c r="T8" s="73"/>
      <c r="U8" s="14"/>
      <c r="V8" s="14"/>
      <c r="W8" s="70"/>
      <c r="X8" s="69"/>
      <c r="Y8" s="60">
        <f ca="1">Table25[[#This Row],[End Date]]+2-TODAY()</f>
        <v>-123</v>
      </c>
      <c r="Z8" s="14">
        <f>IF(ISBLANK(Table25[[#This Row],[Roster Received By]]),1,0)</f>
        <v>1</v>
      </c>
      <c r="AA8" s="14">
        <f ca="1">IF(Table25[[#This Row],[Start Date]]&gt;TODAY(),1,)</f>
        <v>0</v>
      </c>
    </row>
    <row r="9" spans="1:27" s="76" customFormat="1" hidden="1" x14ac:dyDescent="0.25">
      <c r="A9" s="52"/>
      <c r="B9" s="69" t="s">
        <v>36</v>
      </c>
      <c r="C9" s="70" t="s">
        <v>37</v>
      </c>
      <c r="D9" s="70">
        <v>3888</v>
      </c>
      <c r="E9" s="69" t="s">
        <v>25</v>
      </c>
      <c r="F9" s="72">
        <v>45701</v>
      </c>
      <c r="G9" s="72">
        <v>45701</v>
      </c>
      <c r="H9" s="75"/>
      <c r="I9" s="71">
        <v>0.75</v>
      </c>
      <c r="J9" s="72"/>
      <c r="K9" s="72"/>
      <c r="L9" s="72"/>
      <c r="M9" s="72"/>
      <c r="N9" s="72"/>
      <c r="O9" s="69"/>
      <c r="P9" s="69"/>
      <c r="Q9" s="73">
        <v>30</v>
      </c>
      <c r="R9" s="74">
        <v>1</v>
      </c>
      <c r="S9" s="73"/>
      <c r="T9" s="73"/>
      <c r="U9" s="14"/>
      <c r="V9" s="14"/>
      <c r="W9" s="70"/>
      <c r="X9" s="69"/>
      <c r="Y9" s="60">
        <f ca="1">Table25[[#This Row],[End Date]]+2-TODAY()</f>
        <v>-304</v>
      </c>
      <c r="Z9" s="14">
        <f>IF(ISBLANK(Table25[[#This Row],[Roster Received By]]),1,0)</f>
        <v>1</v>
      </c>
      <c r="AA9" s="14">
        <f ca="1">IF(Table25[[#This Row],[Start Date]]&gt;TODAY(),1,)</f>
        <v>0</v>
      </c>
    </row>
    <row r="10" spans="1:27" s="76" customFormat="1" hidden="1" x14ac:dyDescent="0.25">
      <c r="A10" s="52"/>
      <c r="B10" s="69" t="s">
        <v>36</v>
      </c>
      <c r="C10" s="70" t="s">
        <v>37</v>
      </c>
      <c r="D10" s="70">
        <v>3888</v>
      </c>
      <c r="E10" s="69" t="s">
        <v>25</v>
      </c>
      <c r="F10" s="72">
        <v>45883</v>
      </c>
      <c r="G10" s="72">
        <v>45883</v>
      </c>
      <c r="H10" s="75"/>
      <c r="I10" s="71">
        <v>0.75</v>
      </c>
      <c r="J10" s="72"/>
      <c r="K10" s="72"/>
      <c r="L10" s="72"/>
      <c r="M10" s="72"/>
      <c r="N10" s="72"/>
      <c r="O10" s="69"/>
      <c r="P10" s="69"/>
      <c r="Q10" s="73">
        <v>30</v>
      </c>
      <c r="R10" s="74">
        <v>1</v>
      </c>
      <c r="S10" s="73"/>
      <c r="T10" s="73"/>
      <c r="U10" s="14"/>
      <c r="V10" s="14"/>
      <c r="W10" s="70"/>
      <c r="X10" s="69"/>
      <c r="Y10" s="60">
        <f ca="1">Table25[[#This Row],[End Date]]+2-TODAY()</f>
        <v>-122</v>
      </c>
      <c r="Z10" s="14">
        <f>IF(ISBLANK(Table25[[#This Row],[Roster Received By]]),1,0)</f>
        <v>1</v>
      </c>
      <c r="AA10" s="14">
        <f ca="1">IF(Table25[[#This Row],[Start Date]]&gt;TODAY(),1,)</f>
        <v>0</v>
      </c>
    </row>
    <row r="11" spans="1:27" s="76" customFormat="1" hidden="1" x14ac:dyDescent="0.25">
      <c r="A11" s="52"/>
      <c r="B11" s="69" t="s">
        <v>41</v>
      </c>
      <c r="C11" s="70" t="s">
        <v>42</v>
      </c>
      <c r="D11" s="70" t="s">
        <v>43</v>
      </c>
      <c r="E11" s="69" t="s">
        <v>25</v>
      </c>
      <c r="F11" s="72">
        <v>45698</v>
      </c>
      <c r="G11" s="72">
        <v>45699</v>
      </c>
      <c r="H11" s="71"/>
      <c r="I11" s="71">
        <v>0.75</v>
      </c>
      <c r="J11" s="71"/>
      <c r="K11" s="71"/>
      <c r="L11" s="71"/>
      <c r="M11" s="71"/>
      <c r="N11" s="71"/>
      <c r="O11" s="69"/>
      <c r="P11" s="69"/>
      <c r="Q11" s="14">
        <v>30</v>
      </c>
      <c r="R11" s="14">
        <v>1</v>
      </c>
      <c r="S11" s="14"/>
      <c r="T11" s="73"/>
      <c r="U11" s="14"/>
      <c r="V11" s="14"/>
      <c r="W11" s="70"/>
      <c r="X11" s="69"/>
      <c r="Y11" s="60">
        <f ca="1">Table25[[#This Row],[End Date]]+2-TODAY()</f>
        <v>-306</v>
      </c>
      <c r="Z11" s="14">
        <f>IF(ISBLANK(Table25[[#This Row],[Roster Received By]]),1,0)</f>
        <v>1</v>
      </c>
      <c r="AA11" s="14">
        <f ca="1">IF(Table25[[#This Row],[Start Date]]&gt;TODAY(),1,)</f>
        <v>0</v>
      </c>
    </row>
    <row r="12" spans="1:27" s="76" customFormat="1" hidden="1" x14ac:dyDescent="0.25">
      <c r="A12" s="52"/>
      <c r="B12" s="69" t="s">
        <v>41</v>
      </c>
      <c r="C12" s="70" t="s">
        <v>42</v>
      </c>
      <c r="D12" s="70" t="s">
        <v>43</v>
      </c>
      <c r="E12" s="69" t="s">
        <v>25</v>
      </c>
      <c r="F12" s="72">
        <v>45880</v>
      </c>
      <c r="G12" s="72">
        <v>45881</v>
      </c>
      <c r="H12" s="71"/>
      <c r="I12" s="71">
        <v>0.75</v>
      </c>
      <c r="J12" s="72"/>
      <c r="K12" s="72"/>
      <c r="L12" s="72"/>
      <c r="M12" s="72"/>
      <c r="N12" s="72"/>
      <c r="O12" s="69"/>
      <c r="P12" s="69"/>
      <c r="Q12" s="73">
        <v>30</v>
      </c>
      <c r="R12" s="74">
        <v>1</v>
      </c>
      <c r="S12" s="73"/>
      <c r="T12" s="73"/>
      <c r="U12" s="14"/>
      <c r="V12" s="14"/>
      <c r="W12" s="70"/>
      <c r="X12" s="69"/>
      <c r="Y12" s="60">
        <f ca="1">Table25[[#This Row],[End Date]]+2-TODAY()</f>
        <v>-124</v>
      </c>
      <c r="Z12" s="14">
        <f>IF(ISBLANK(Table25[[#This Row],[Roster Received By]]),1,0)</f>
        <v>1</v>
      </c>
      <c r="AA12" s="14">
        <f ca="1">IF(Table25[[#This Row],[Start Date]]&gt;TODAY(),1,)</f>
        <v>0</v>
      </c>
    </row>
    <row r="13" spans="1:27" s="76" customFormat="1" hidden="1" x14ac:dyDescent="0.25">
      <c r="A13" s="52"/>
      <c r="B13" s="69" t="s">
        <v>94</v>
      </c>
      <c r="C13" s="70" t="s">
        <v>95</v>
      </c>
      <c r="D13" s="70" t="s">
        <v>96</v>
      </c>
      <c r="E13" s="69" t="s">
        <v>25</v>
      </c>
      <c r="F13" s="72">
        <v>45580</v>
      </c>
      <c r="G13" s="72">
        <v>45582</v>
      </c>
      <c r="H13" s="72"/>
      <c r="I13" s="71">
        <v>0.5</v>
      </c>
      <c r="J13" s="71"/>
      <c r="K13" s="71"/>
      <c r="L13" s="71"/>
      <c r="M13" s="71"/>
      <c r="N13" s="71"/>
      <c r="O13" s="69"/>
      <c r="P13" s="69"/>
      <c r="Q13" s="187">
        <v>45</v>
      </c>
      <c r="R13" s="14">
        <v>3</v>
      </c>
      <c r="S13" s="14"/>
      <c r="T13" s="73"/>
      <c r="U13" s="14"/>
      <c r="V13" s="14"/>
      <c r="W13" s="14"/>
      <c r="X13" s="69"/>
      <c r="Y13" s="60">
        <f ca="1">Table25[[#This Row],[End Date]]+2-TODAY()</f>
        <v>-423</v>
      </c>
      <c r="Z13" s="14">
        <f>IF(ISBLANK(Table25[[#This Row],[Roster Received By]]),1,0)</f>
        <v>1</v>
      </c>
      <c r="AA13" s="14">
        <f ca="1">IF(Table25[[#This Row],[Start Date]]&gt;TODAY(),1,)</f>
        <v>0</v>
      </c>
    </row>
    <row r="14" spans="1:27" s="76" customFormat="1" hidden="1" x14ac:dyDescent="0.25">
      <c r="A14" s="52"/>
      <c r="B14" s="69" t="s">
        <v>94</v>
      </c>
      <c r="C14" s="70" t="s">
        <v>95</v>
      </c>
      <c r="D14" s="70" t="s">
        <v>96</v>
      </c>
      <c r="E14" s="69" t="s">
        <v>25</v>
      </c>
      <c r="F14" s="72">
        <v>45594</v>
      </c>
      <c r="G14" s="72">
        <v>45596</v>
      </c>
      <c r="H14" s="72"/>
      <c r="I14" s="71">
        <v>0.5</v>
      </c>
      <c r="J14" s="71"/>
      <c r="K14" s="71"/>
      <c r="L14" s="71"/>
      <c r="M14" s="71"/>
      <c r="N14" s="71"/>
      <c r="O14" s="69"/>
      <c r="P14" s="69"/>
      <c r="Q14" s="187">
        <v>45</v>
      </c>
      <c r="R14" s="14">
        <v>3</v>
      </c>
      <c r="S14" s="14"/>
      <c r="T14" s="73"/>
      <c r="U14" s="14"/>
      <c r="V14" s="14"/>
      <c r="W14" s="73"/>
      <c r="X14" s="69"/>
      <c r="Y14" s="60">
        <f ca="1">Table25[[#This Row],[End Date]]+2-TODAY()</f>
        <v>-409</v>
      </c>
      <c r="Z14" s="14">
        <f>IF(ISBLANK(Table25[[#This Row],[Roster Received By]]),1,0)</f>
        <v>1</v>
      </c>
      <c r="AA14" s="14">
        <f ca="1">IF(Table25[[#This Row],[Start Date]]&gt;TODAY(),1,)</f>
        <v>0</v>
      </c>
    </row>
    <row r="15" spans="1:27" s="105" customFormat="1" hidden="1" x14ac:dyDescent="0.25">
      <c r="A15" s="52"/>
      <c r="B15" s="86" t="s">
        <v>94</v>
      </c>
      <c r="C15" s="70" t="s">
        <v>95</v>
      </c>
      <c r="D15" s="70" t="s">
        <v>96</v>
      </c>
      <c r="E15" s="54" t="s">
        <v>25</v>
      </c>
      <c r="F15" s="72">
        <v>45608</v>
      </c>
      <c r="G15" s="72">
        <v>45610</v>
      </c>
      <c r="H15" s="78"/>
      <c r="I15" s="71">
        <v>0.5</v>
      </c>
      <c r="J15" s="72"/>
      <c r="K15" s="72"/>
      <c r="L15" s="72"/>
      <c r="M15" s="72"/>
      <c r="N15" s="72"/>
      <c r="O15" s="69"/>
      <c r="P15" s="69"/>
      <c r="Q15" s="187">
        <v>45</v>
      </c>
      <c r="R15" s="14">
        <v>3</v>
      </c>
      <c r="S15" s="14"/>
      <c r="T15" s="73"/>
      <c r="U15" s="14"/>
      <c r="V15" s="14"/>
      <c r="W15" s="73"/>
      <c r="X15" s="69"/>
      <c r="Y15" s="60">
        <f ca="1">Table25[[#This Row],[End Date]]+2-TODAY()</f>
        <v>-395</v>
      </c>
      <c r="Z15" s="14">
        <f>IF(ISBLANK(Table25[[#This Row],[Roster Received By]]),1,0)</f>
        <v>1</v>
      </c>
      <c r="AA15" s="14">
        <f ca="1">IF(Table25[[#This Row],[Start Date]]&gt;TODAY(),1,)</f>
        <v>0</v>
      </c>
    </row>
    <row r="16" spans="1:27" s="105" customFormat="1" hidden="1" x14ac:dyDescent="0.25">
      <c r="A16" s="52"/>
      <c r="B16" s="86" t="s">
        <v>94</v>
      </c>
      <c r="C16" s="70" t="s">
        <v>95</v>
      </c>
      <c r="D16" s="70" t="s">
        <v>96</v>
      </c>
      <c r="E16" s="69" t="s">
        <v>25</v>
      </c>
      <c r="F16" s="72">
        <v>45636</v>
      </c>
      <c r="G16" s="72">
        <v>45638</v>
      </c>
      <c r="H16" s="72"/>
      <c r="I16" s="71">
        <v>0.5</v>
      </c>
      <c r="J16" s="71"/>
      <c r="K16" s="71"/>
      <c r="L16" s="71"/>
      <c r="M16" s="71"/>
      <c r="N16" s="71"/>
      <c r="O16" s="69"/>
      <c r="P16" s="69"/>
      <c r="Q16" s="187">
        <v>45</v>
      </c>
      <c r="R16" s="14">
        <v>3</v>
      </c>
      <c r="S16" s="14"/>
      <c r="T16" s="73"/>
      <c r="U16" s="14"/>
      <c r="V16" s="14"/>
      <c r="W16" s="14"/>
      <c r="X16" s="69"/>
      <c r="Y16" s="60">
        <f ca="1">Table25[[#This Row],[End Date]]+2-TODAY()</f>
        <v>-367</v>
      </c>
      <c r="Z16" s="14">
        <f>IF(ISBLANK(Table25[[#This Row],[Roster Received By]]),1,0)</f>
        <v>1</v>
      </c>
      <c r="AA16" s="14">
        <f ca="1">IF(Table25[[#This Row],[Start Date]]&gt;TODAY(),1,)</f>
        <v>0</v>
      </c>
    </row>
    <row r="17" spans="1:27" s="106" customFormat="1" ht="13.5" hidden="1" customHeight="1" x14ac:dyDescent="0.25">
      <c r="A17" s="52"/>
      <c r="B17" s="87" t="s">
        <v>94</v>
      </c>
      <c r="C17" s="70" t="s">
        <v>95</v>
      </c>
      <c r="D17" s="70" t="s">
        <v>96</v>
      </c>
      <c r="E17" s="69" t="s">
        <v>25</v>
      </c>
      <c r="F17" s="72">
        <v>45664</v>
      </c>
      <c r="G17" s="72">
        <v>45666</v>
      </c>
      <c r="H17" s="72"/>
      <c r="I17" s="71">
        <v>0.5</v>
      </c>
      <c r="J17" s="71"/>
      <c r="K17" s="71"/>
      <c r="L17" s="71"/>
      <c r="M17" s="71"/>
      <c r="N17" s="71"/>
      <c r="O17" s="69"/>
      <c r="P17" s="69"/>
      <c r="Q17" s="187">
        <v>45</v>
      </c>
      <c r="R17" s="14">
        <v>3</v>
      </c>
      <c r="S17" s="14"/>
      <c r="T17" s="73"/>
      <c r="U17" s="14"/>
      <c r="V17" s="14"/>
      <c r="W17" s="14"/>
      <c r="X17" s="69"/>
      <c r="Y17" s="60">
        <f ca="1">Table25[[#This Row],[End Date]]+2-TODAY()</f>
        <v>-339</v>
      </c>
      <c r="Z17" s="14">
        <f>IF(ISBLANK(Table25[[#This Row],[Roster Received By]]),1,0)</f>
        <v>1</v>
      </c>
      <c r="AA17" s="14">
        <f ca="1">IF(Table25[[#This Row],[Start Date]]&gt;TODAY(),1,)</f>
        <v>0</v>
      </c>
    </row>
    <row r="18" spans="1:27" s="76" customFormat="1" hidden="1" x14ac:dyDescent="0.25">
      <c r="A18" s="52"/>
      <c r="B18" s="87" t="s">
        <v>94</v>
      </c>
      <c r="C18" s="70" t="s">
        <v>95</v>
      </c>
      <c r="D18" s="70" t="s">
        <v>96</v>
      </c>
      <c r="E18" s="69" t="s">
        <v>25</v>
      </c>
      <c r="F18" s="72">
        <v>45679</v>
      </c>
      <c r="G18" s="72">
        <v>45681</v>
      </c>
      <c r="H18" s="72"/>
      <c r="I18" s="71">
        <v>0.5</v>
      </c>
      <c r="J18" s="71"/>
      <c r="K18" s="71"/>
      <c r="L18" s="71"/>
      <c r="M18" s="71"/>
      <c r="N18" s="71"/>
      <c r="O18" s="69"/>
      <c r="P18" s="69"/>
      <c r="Q18" s="187">
        <v>45</v>
      </c>
      <c r="R18" s="14">
        <v>3</v>
      </c>
      <c r="S18" s="14"/>
      <c r="T18" s="73"/>
      <c r="U18" s="14"/>
      <c r="V18" s="14"/>
      <c r="W18" s="14"/>
      <c r="X18" s="69"/>
      <c r="Y18" s="60">
        <f ca="1">Table25[[#This Row],[End Date]]+2-TODAY()</f>
        <v>-324</v>
      </c>
      <c r="Z18" s="14">
        <f>IF(ISBLANK(Table25[[#This Row],[Roster Received By]]),1,0)</f>
        <v>1</v>
      </c>
      <c r="AA18" s="14">
        <f ca="1">IF(Table25[[#This Row],[Start Date]]&gt;TODAY(),1,)</f>
        <v>0</v>
      </c>
    </row>
    <row r="19" spans="1:27" s="76" customFormat="1" hidden="1" x14ac:dyDescent="0.25">
      <c r="A19" s="52"/>
      <c r="B19" s="69" t="s">
        <v>94</v>
      </c>
      <c r="C19" s="70" t="s">
        <v>95</v>
      </c>
      <c r="D19" s="70" t="s">
        <v>96</v>
      </c>
      <c r="E19" s="69" t="s">
        <v>25</v>
      </c>
      <c r="F19" s="72">
        <v>45706</v>
      </c>
      <c r="G19" s="72">
        <v>45708</v>
      </c>
      <c r="H19" s="78"/>
      <c r="I19" s="71">
        <v>0.5</v>
      </c>
      <c r="J19" s="72"/>
      <c r="K19" s="72"/>
      <c r="L19" s="72"/>
      <c r="M19" s="72"/>
      <c r="N19" s="72"/>
      <c r="O19" s="69"/>
      <c r="P19" s="69"/>
      <c r="Q19" s="187">
        <v>45</v>
      </c>
      <c r="R19" s="14">
        <v>3</v>
      </c>
      <c r="S19" s="14"/>
      <c r="T19" s="73"/>
      <c r="U19" s="14"/>
      <c r="V19" s="14"/>
      <c r="W19" s="14"/>
      <c r="X19" s="69"/>
      <c r="Y19" s="60">
        <f ca="1">Table25[[#This Row],[End Date]]+2-TODAY()</f>
        <v>-297</v>
      </c>
      <c r="Z19" s="14">
        <f>IF(ISBLANK(Table25[[#This Row],[Roster Received By]]),1,0)</f>
        <v>1</v>
      </c>
      <c r="AA19" s="14">
        <f ca="1">IF(Table25[[#This Row],[Start Date]]&gt;TODAY(),1,)</f>
        <v>0</v>
      </c>
    </row>
    <row r="20" spans="1:27" s="105" customFormat="1" hidden="1" x14ac:dyDescent="0.25">
      <c r="A20" s="69"/>
      <c r="B20" s="69" t="s">
        <v>94</v>
      </c>
      <c r="C20" s="70" t="s">
        <v>95</v>
      </c>
      <c r="D20" s="70" t="s">
        <v>96</v>
      </c>
      <c r="E20" s="69" t="s">
        <v>25</v>
      </c>
      <c r="F20" s="72">
        <v>45720</v>
      </c>
      <c r="G20" s="72">
        <v>45722</v>
      </c>
      <c r="H20" s="72"/>
      <c r="I20" s="71">
        <v>0.5</v>
      </c>
      <c r="J20" s="71"/>
      <c r="K20" s="71"/>
      <c r="L20" s="71"/>
      <c r="M20" s="71"/>
      <c r="N20" s="71"/>
      <c r="O20" s="69"/>
      <c r="P20" s="69"/>
      <c r="Q20" s="187">
        <v>45</v>
      </c>
      <c r="R20" s="14">
        <v>3</v>
      </c>
      <c r="S20" s="14"/>
      <c r="T20" s="73"/>
      <c r="U20" s="14"/>
      <c r="V20" s="14"/>
      <c r="W20" s="14"/>
      <c r="X20" s="69"/>
      <c r="Y20" s="60">
        <f ca="1">Table25[[#This Row],[End Date]]+2-TODAY()</f>
        <v>-283</v>
      </c>
      <c r="Z20" s="14">
        <f>IF(ISBLANK(Table25[[#This Row],[Roster Received By]]),1,0)</f>
        <v>1</v>
      </c>
      <c r="AA20" s="14">
        <f ca="1">IF(Table25[[#This Row],[Start Date]]&gt;TODAY(),1,)</f>
        <v>0</v>
      </c>
    </row>
    <row r="21" spans="1:27" s="76" customFormat="1" ht="14.25" hidden="1" customHeight="1" x14ac:dyDescent="0.25">
      <c r="A21" s="54"/>
      <c r="B21" s="69" t="s">
        <v>94</v>
      </c>
      <c r="C21" s="70" t="s">
        <v>95</v>
      </c>
      <c r="D21" s="70" t="s">
        <v>96</v>
      </c>
      <c r="E21" s="69" t="s">
        <v>25</v>
      </c>
      <c r="F21" s="72">
        <v>45734</v>
      </c>
      <c r="G21" s="72">
        <v>45736</v>
      </c>
      <c r="H21" s="75"/>
      <c r="I21" s="71">
        <v>0.5</v>
      </c>
      <c r="J21" s="75"/>
      <c r="K21" s="75"/>
      <c r="L21" s="75"/>
      <c r="M21" s="75"/>
      <c r="N21" s="75"/>
      <c r="O21" s="69"/>
      <c r="P21" s="69"/>
      <c r="Q21" s="187">
        <v>45</v>
      </c>
      <c r="R21" s="14">
        <v>3</v>
      </c>
      <c r="S21" s="73"/>
      <c r="T21" s="73"/>
      <c r="U21" s="14"/>
      <c r="V21" s="14"/>
      <c r="W21" s="14"/>
      <c r="X21" s="69"/>
      <c r="Y21" s="60">
        <f ca="1">Table25[[#This Row],[End Date]]+2-TODAY()</f>
        <v>-269</v>
      </c>
      <c r="Z21" s="14">
        <f>IF(ISBLANK(Table25[[#This Row],[Roster Received By]]),1,0)</f>
        <v>1</v>
      </c>
      <c r="AA21" s="14">
        <f ca="1">IF(Table25[[#This Row],[Start Date]]&gt;TODAY(),1,)</f>
        <v>0</v>
      </c>
    </row>
    <row r="22" spans="1:27" s="76" customFormat="1" ht="14.25" hidden="1" customHeight="1" x14ac:dyDescent="0.25">
      <c r="A22" s="52"/>
      <c r="B22" s="69" t="s">
        <v>94</v>
      </c>
      <c r="C22" s="70" t="s">
        <v>95</v>
      </c>
      <c r="D22" s="70" t="s">
        <v>96</v>
      </c>
      <c r="E22" s="69" t="s">
        <v>25</v>
      </c>
      <c r="F22" s="72">
        <v>45776</v>
      </c>
      <c r="G22" s="72">
        <v>45778</v>
      </c>
      <c r="H22" s="72"/>
      <c r="I22" s="71">
        <v>0.5</v>
      </c>
      <c r="J22" s="71"/>
      <c r="K22" s="71"/>
      <c r="L22" s="71"/>
      <c r="M22" s="71"/>
      <c r="N22" s="71"/>
      <c r="O22" s="69"/>
      <c r="P22" s="69"/>
      <c r="Q22" s="187">
        <v>45</v>
      </c>
      <c r="R22" s="14">
        <v>3</v>
      </c>
      <c r="S22" s="14"/>
      <c r="T22" s="73"/>
      <c r="U22" s="14"/>
      <c r="V22" s="14"/>
      <c r="W22" s="14"/>
      <c r="X22" s="69"/>
      <c r="Y22" s="60">
        <f ca="1">Table25[[#This Row],[End Date]]+2-TODAY()</f>
        <v>-227</v>
      </c>
      <c r="Z22" s="14">
        <f>IF(ISBLANK(Table25[[#This Row],[Roster Received By]]),1,0)</f>
        <v>1</v>
      </c>
      <c r="AA22" s="14">
        <f ca="1">IF(Table25[[#This Row],[Start Date]]&gt;TODAY(),1,)</f>
        <v>0</v>
      </c>
    </row>
    <row r="23" spans="1:27" s="76" customFormat="1" ht="14.25" hidden="1" customHeight="1" x14ac:dyDescent="0.25">
      <c r="A23" s="69"/>
      <c r="B23" s="69" t="s">
        <v>94</v>
      </c>
      <c r="C23" s="70" t="s">
        <v>95</v>
      </c>
      <c r="D23" s="70" t="s">
        <v>96</v>
      </c>
      <c r="E23" s="69" t="s">
        <v>25</v>
      </c>
      <c r="F23" s="72">
        <v>45790</v>
      </c>
      <c r="G23" s="72">
        <v>45792</v>
      </c>
      <c r="H23" s="72"/>
      <c r="I23" s="71">
        <v>0.5</v>
      </c>
      <c r="J23" s="71"/>
      <c r="K23" s="71"/>
      <c r="L23" s="71"/>
      <c r="M23" s="71"/>
      <c r="N23" s="71"/>
      <c r="O23" s="69"/>
      <c r="P23" s="69"/>
      <c r="Q23" s="187">
        <v>45</v>
      </c>
      <c r="R23" s="14">
        <v>3</v>
      </c>
      <c r="S23" s="14"/>
      <c r="T23" s="73"/>
      <c r="U23" s="14"/>
      <c r="V23" s="14"/>
      <c r="W23" s="14"/>
      <c r="X23" s="69"/>
      <c r="Y23" s="60">
        <f ca="1">Table25[[#This Row],[End Date]]+2-TODAY()</f>
        <v>-213</v>
      </c>
      <c r="Z23" s="14">
        <f>IF(ISBLANK(Table25[[#This Row],[Roster Received By]]),1,0)</f>
        <v>1</v>
      </c>
      <c r="AA23" s="14">
        <f ca="1">IF(Table25[[#This Row],[Start Date]]&gt;TODAY(),1,)</f>
        <v>0</v>
      </c>
    </row>
    <row r="24" spans="1:27" s="106" customFormat="1" ht="14.25" hidden="1" customHeight="1" x14ac:dyDescent="0.25">
      <c r="A24" s="52"/>
      <c r="B24" s="69" t="s">
        <v>94</v>
      </c>
      <c r="C24" s="70" t="s">
        <v>95</v>
      </c>
      <c r="D24" s="70" t="s">
        <v>96</v>
      </c>
      <c r="E24" s="69" t="s">
        <v>25</v>
      </c>
      <c r="F24" s="72">
        <v>45804</v>
      </c>
      <c r="G24" s="72">
        <v>45806</v>
      </c>
      <c r="H24" s="72"/>
      <c r="I24" s="71">
        <v>0.5</v>
      </c>
      <c r="J24" s="71"/>
      <c r="K24" s="71"/>
      <c r="L24" s="71"/>
      <c r="M24" s="71"/>
      <c r="N24" s="71"/>
      <c r="O24" s="69"/>
      <c r="P24" s="69"/>
      <c r="Q24" s="187">
        <v>45</v>
      </c>
      <c r="R24" s="14">
        <v>3</v>
      </c>
      <c r="S24" s="14"/>
      <c r="T24" s="73"/>
      <c r="U24" s="14"/>
      <c r="V24" s="14"/>
      <c r="W24" s="70"/>
      <c r="X24" s="69"/>
      <c r="Y24" s="60">
        <f ca="1">Table25[[#This Row],[End Date]]+2-TODAY()</f>
        <v>-199</v>
      </c>
      <c r="Z24" s="14">
        <f>IF(ISBLANK(Table25[[#This Row],[Roster Received By]]),1,0)</f>
        <v>1</v>
      </c>
      <c r="AA24" s="14">
        <f ca="1">IF(Table25[[#This Row],[Start Date]]&gt;TODAY(),1,)</f>
        <v>0</v>
      </c>
    </row>
    <row r="25" spans="1:27" s="76" customFormat="1" ht="14.25" hidden="1" customHeight="1" x14ac:dyDescent="0.25">
      <c r="A25" s="69"/>
      <c r="B25" s="69" t="s">
        <v>94</v>
      </c>
      <c r="C25" s="70" t="s">
        <v>95</v>
      </c>
      <c r="D25" s="70" t="s">
        <v>96</v>
      </c>
      <c r="E25" s="69" t="s">
        <v>25</v>
      </c>
      <c r="F25" s="72">
        <v>45818</v>
      </c>
      <c r="G25" s="72">
        <v>45820</v>
      </c>
      <c r="H25" s="75"/>
      <c r="I25" s="71">
        <v>0.5</v>
      </c>
      <c r="J25" s="71"/>
      <c r="K25" s="71"/>
      <c r="L25" s="71"/>
      <c r="M25" s="71"/>
      <c r="N25" s="71"/>
      <c r="O25" s="69"/>
      <c r="P25" s="69"/>
      <c r="Q25" s="187">
        <v>45</v>
      </c>
      <c r="R25" s="14">
        <v>3</v>
      </c>
      <c r="S25" s="73"/>
      <c r="T25" s="73"/>
      <c r="U25" s="14"/>
      <c r="V25" s="14"/>
      <c r="W25" s="14"/>
      <c r="X25" s="69"/>
      <c r="Y25" s="60">
        <f ca="1">Table25[[#This Row],[End Date]]+2-TODAY()</f>
        <v>-185</v>
      </c>
      <c r="Z25" s="14">
        <f>IF(ISBLANK(Table25[[#This Row],[Roster Received By]]),1,0)</f>
        <v>1</v>
      </c>
      <c r="AA25" s="14">
        <f ca="1">IF(Table25[[#This Row],[Start Date]]&gt;TODAY(),1,)</f>
        <v>0</v>
      </c>
    </row>
    <row r="26" spans="1:27" s="76" customFormat="1" ht="14.25" hidden="1" customHeight="1" x14ac:dyDescent="0.25">
      <c r="A26" s="52"/>
      <c r="B26" s="69" t="s">
        <v>94</v>
      </c>
      <c r="C26" s="70" t="s">
        <v>95</v>
      </c>
      <c r="D26" s="70" t="s">
        <v>96</v>
      </c>
      <c r="E26" s="69" t="s">
        <v>25</v>
      </c>
      <c r="F26" s="72">
        <v>45838</v>
      </c>
      <c r="G26" s="72">
        <v>45840</v>
      </c>
      <c r="H26" s="72"/>
      <c r="I26" s="71">
        <v>0.5</v>
      </c>
      <c r="J26" s="71"/>
      <c r="K26" s="71"/>
      <c r="L26" s="71"/>
      <c r="M26" s="71"/>
      <c r="N26" s="71"/>
      <c r="O26" s="69"/>
      <c r="P26" s="69"/>
      <c r="Q26" s="187">
        <v>45</v>
      </c>
      <c r="R26" s="14">
        <v>3</v>
      </c>
      <c r="S26" s="14"/>
      <c r="T26" s="73"/>
      <c r="U26" s="14"/>
      <c r="V26" s="14"/>
      <c r="W26" s="14"/>
      <c r="X26" s="69"/>
      <c r="Y26" s="60">
        <f ca="1">Table25[[#This Row],[End Date]]+2-TODAY()</f>
        <v>-165</v>
      </c>
      <c r="Z26" s="14">
        <f>IF(ISBLANK(Table25[[#This Row],[Roster Received By]]),1,0)</f>
        <v>1</v>
      </c>
      <c r="AA26" s="14">
        <f ca="1">IF(Table25[[#This Row],[Start Date]]&gt;TODAY(),1,)</f>
        <v>0</v>
      </c>
    </row>
    <row r="27" spans="1:27" s="76" customFormat="1" ht="14.25" hidden="1" customHeight="1" x14ac:dyDescent="0.25">
      <c r="A27" s="52"/>
      <c r="B27" s="69" t="s">
        <v>94</v>
      </c>
      <c r="C27" s="70" t="s">
        <v>95</v>
      </c>
      <c r="D27" s="70" t="s">
        <v>96</v>
      </c>
      <c r="E27" s="69" t="s">
        <v>25</v>
      </c>
      <c r="F27" s="72">
        <v>45853</v>
      </c>
      <c r="G27" s="72">
        <v>45855</v>
      </c>
      <c r="H27" s="72"/>
      <c r="I27" s="71">
        <v>0.5</v>
      </c>
      <c r="J27" s="71"/>
      <c r="K27" s="71"/>
      <c r="L27" s="71"/>
      <c r="M27" s="71"/>
      <c r="N27" s="71"/>
      <c r="O27" s="69"/>
      <c r="P27" s="69"/>
      <c r="Q27" s="187">
        <v>45</v>
      </c>
      <c r="R27" s="14">
        <v>3</v>
      </c>
      <c r="S27" s="14"/>
      <c r="T27" s="73"/>
      <c r="U27" s="14"/>
      <c r="V27" s="14"/>
      <c r="W27" s="14"/>
      <c r="X27" s="69"/>
      <c r="Y27" s="60">
        <f ca="1">Table25[[#This Row],[End Date]]+2-TODAY()</f>
        <v>-150</v>
      </c>
      <c r="Z27" s="14">
        <f>IF(ISBLANK(Table25[[#This Row],[Roster Received By]]),1,0)</f>
        <v>1</v>
      </c>
      <c r="AA27" s="14">
        <f ca="1">IF(Table25[[#This Row],[Start Date]]&gt;TODAY(),1,)</f>
        <v>0</v>
      </c>
    </row>
    <row r="28" spans="1:27" s="76" customFormat="1" ht="14.25" hidden="1" customHeight="1" x14ac:dyDescent="0.25">
      <c r="A28" s="52"/>
      <c r="B28" s="69" t="s">
        <v>94</v>
      </c>
      <c r="C28" s="70" t="s">
        <v>95</v>
      </c>
      <c r="D28" s="70" t="s">
        <v>96</v>
      </c>
      <c r="E28" s="69" t="s">
        <v>25</v>
      </c>
      <c r="F28" s="72">
        <v>45874</v>
      </c>
      <c r="G28" s="72">
        <v>45876</v>
      </c>
      <c r="H28" s="75"/>
      <c r="I28" s="71">
        <v>0.5</v>
      </c>
      <c r="J28" s="72"/>
      <c r="K28" s="72"/>
      <c r="L28" s="72"/>
      <c r="M28" s="72"/>
      <c r="N28" s="72"/>
      <c r="O28" s="69"/>
      <c r="P28" s="69"/>
      <c r="Q28" s="187">
        <v>45</v>
      </c>
      <c r="R28" s="14">
        <v>3</v>
      </c>
      <c r="S28" s="14"/>
      <c r="T28" s="73"/>
      <c r="U28" s="14"/>
      <c r="V28" s="14"/>
      <c r="W28" s="14"/>
      <c r="X28" s="69"/>
      <c r="Y28" s="60">
        <f ca="1">Table25[[#This Row],[End Date]]+2-TODAY()</f>
        <v>-129</v>
      </c>
      <c r="Z28" s="14">
        <f>IF(ISBLANK(Table25[[#This Row],[Roster Received By]]),1,0)</f>
        <v>1</v>
      </c>
      <c r="AA28" s="14">
        <f ca="1">IF(Table25[[#This Row],[Start Date]]&gt;TODAY(),1,)</f>
        <v>0</v>
      </c>
    </row>
    <row r="29" spans="1:27" s="76" customFormat="1" ht="14.25" hidden="1" customHeight="1" x14ac:dyDescent="0.25">
      <c r="A29" s="52"/>
      <c r="B29" s="69" t="s">
        <v>94</v>
      </c>
      <c r="C29" s="70" t="s">
        <v>95</v>
      </c>
      <c r="D29" s="70" t="s">
        <v>96</v>
      </c>
      <c r="E29" s="69" t="s">
        <v>25</v>
      </c>
      <c r="F29" s="72">
        <v>45888</v>
      </c>
      <c r="G29" s="72">
        <v>45890</v>
      </c>
      <c r="H29" s="75"/>
      <c r="I29" s="71">
        <v>0.5</v>
      </c>
      <c r="J29" s="75"/>
      <c r="K29" s="75"/>
      <c r="L29" s="75"/>
      <c r="M29" s="75"/>
      <c r="N29" s="75"/>
      <c r="O29" s="69"/>
      <c r="P29" s="69"/>
      <c r="Q29" s="187">
        <v>45</v>
      </c>
      <c r="R29" s="14">
        <v>3</v>
      </c>
      <c r="S29" s="14"/>
      <c r="T29" s="73"/>
      <c r="U29" s="14"/>
      <c r="V29" s="14"/>
      <c r="W29" s="14"/>
      <c r="X29" s="69"/>
      <c r="Y29" s="60">
        <f ca="1">Table25[[#This Row],[End Date]]+2-TODAY()</f>
        <v>-115</v>
      </c>
      <c r="Z29" s="14">
        <f>IF(ISBLANK(Table25[[#This Row],[Roster Received By]]),1,0)</f>
        <v>1</v>
      </c>
      <c r="AA29" s="14">
        <f ca="1">IF(Table25[[#This Row],[Start Date]]&gt;TODAY(),1,)</f>
        <v>0</v>
      </c>
    </row>
    <row r="30" spans="1:27" s="76" customFormat="1" ht="14.25" hidden="1" customHeight="1" x14ac:dyDescent="0.25">
      <c r="A30" s="69"/>
      <c r="B30" s="69" t="s">
        <v>94</v>
      </c>
      <c r="C30" s="70" t="s">
        <v>95</v>
      </c>
      <c r="D30" s="70" t="s">
        <v>96</v>
      </c>
      <c r="E30" s="69" t="s">
        <v>25</v>
      </c>
      <c r="F30" s="72">
        <v>45902</v>
      </c>
      <c r="G30" s="72">
        <v>45904</v>
      </c>
      <c r="H30" s="75"/>
      <c r="I30" s="71">
        <v>0.5</v>
      </c>
      <c r="J30" s="75"/>
      <c r="K30" s="75"/>
      <c r="L30" s="75"/>
      <c r="M30" s="75"/>
      <c r="N30" s="75"/>
      <c r="O30" s="69"/>
      <c r="P30" s="69"/>
      <c r="Q30" s="187">
        <v>45</v>
      </c>
      <c r="R30" s="14">
        <v>3</v>
      </c>
      <c r="S30" s="14"/>
      <c r="T30" s="73"/>
      <c r="U30" s="14"/>
      <c r="V30" s="14"/>
      <c r="W30" s="14"/>
      <c r="X30" s="69"/>
      <c r="Y30" s="60">
        <f ca="1">Table25[[#This Row],[End Date]]+2-TODAY()</f>
        <v>-101</v>
      </c>
      <c r="Z30" s="14">
        <f>IF(ISBLANK(Table25[[#This Row],[Roster Received By]]),1,0)</f>
        <v>1</v>
      </c>
      <c r="AA30" s="14">
        <f ca="1">IF(Table25[[#This Row],[Start Date]]&gt;TODAY(),1,)</f>
        <v>0</v>
      </c>
    </row>
    <row r="31" spans="1:27" s="76" customFormat="1" ht="14.25" hidden="1" customHeight="1" x14ac:dyDescent="0.25">
      <c r="A31" s="69"/>
      <c r="B31" s="69" t="s">
        <v>94</v>
      </c>
      <c r="C31" s="70" t="s">
        <v>95</v>
      </c>
      <c r="D31" s="70" t="s">
        <v>96</v>
      </c>
      <c r="E31" s="69" t="s">
        <v>25</v>
      </c>
      <c r="F31" s="72">
        <v>45916</v>
      </c>
      <c r="G31" s="72">
        <v>45918</v>
      </c>
      <c r="H31" s="78"/>
      <c r="I31" s="71">
        <v>0.5</v>
      </c>
      <c r="J31" s="72"/>
      <c r="K31" s="72"/>
      <c r="L31" s="72"/>
      <c r="M31" s="72"/>
      <c r="N31" s="72"/>
      <c r="O31" s="69"/>
      <c r="P31" s="69"/>
      <c r="Q31" s="187">
        <v>45</v>
      </c>
      <c r="R31" s="14">
        <v>3</v>
      </c>
      <c r="S31" s="14"/>
      <c r="T31" s="73"/>
      <c r="U31" s="14"/>
      <c r="V31" s="14"/>
      <c r="W31" s="14"/>
      <c r="X31" s="69"/>
      <c r="Y31" s="60">
        <f ca="1">Table25[[#This Row],[End Date]]+2-TODAY()</f>
        <v>-87</v>
      </c>
      <c r="Z31" s="14">
        <f>IF(ISBLANK(Table25[[#This Row],[Roster Received By]]),1,0)</f>
        <v>1</v>
      </c>
      <c r="AA31" s="14">
        <f ca="1">IF(Table25[[#This Row],[Start Date]]&gt;TODAY(),1,)</f>
        <v>0</v>
      </c>
    </row>
    <row r="32" spans="1:27" s="76" customFormat="1" ht="14.25" hidden="1" customHeight="1" x14ac:dyDescent="0.25">
      <c r="A32" s="52"/>
      <c r="B32" s="69" t="s">
        <v>97</v>
      </c>
      <c r="C32" s="70" t="s">
        <v>98</v>
      </c>
      <c r="D32" s="70" t="s">
        <v>99</v>
      </c>
      <c r="E32" s="54" t="s">
        <v>25</v>
      </c>
      <c r="F32" s="56">
        <v>45580</v>
      </c>
      <c r="G32" s="72">
        <v>45583</v>
      </c>
      <c r="H32" s="75"/>
      <c r="I32" s="71">
        <v>0.5</v>
      </c>
      <c r="J32" s="72"/>
      <c r="K32" s="72"/>
      <c r="L32" s="72"/>
      <c r="M32" s="72"/>
      <c r="N32" s="72"/>
      <c r="O32" s="69"/>
      <c r="P32" s="69"/>
      <c r="Q32" s="187">
        <v>45</v>
      </c>
      <c r="R32" s="14">
        <v>4</v>
      </c>
      <c r="S32" s="14"/>
      <c r="T32" s="73"/>
      <c r="U32" s="14"/>
      <c r="V32" s="14"/>
      <c r="W32" s="14"/>
      <c r="X32" s="69"/>
      <c r="Y32" s="60">
        <f ca="1">Table25[[#This Row],[End Date]]+2-TODAY()</f>
        <v>-422</v>
      </c>
      <c r="Z32" s="14">
        <f>IF(ISBLANK(Table25[[#This Row],[Roster Received By]]),1,0)</f>
        <v>1</v>
      </c>
      <c r="AA32" s="14">
        <f ca="1">IF(Table25[[#This Row],[Start Date]]&gt;TODAY(),1,)</f>
        <v>0</v>
      </c>
    </row>
    <row r="33" spans="1:27" s="76" customFormat="1" ht="16.5" hidden="1" customHeight="1" x14ac:dyDescent="0.25">
      <c r="A33" s="52"/>
      <c r="B33" s="69" t="s">
        <v>97</v>
      </c>
      <c r="C33" s="70" t="s">
        <v>98</v>
      </c>
      <c r="D33" s="70" t="s">
        <v>99</v>
      </c>
      <c r="E33" s="69" t="s">
        <v>25</v>
      </c>
      <c r="F33" s="72">
        <v>45600</v>
      </c>
      <c r="G33" s="72">
        <v>45603</v>
      </c>
      <c r="H33" s="72"/>
      <c r="I33" s="71">
        <v>0.5</v>
      </c>
      <c r="J33" s="71"/>
      <c r="K33" s="71"/>
      <c r="L33" s="71"/>
      <c r="M33" s="71"/>
      <c r="N33" s="71"/>
      <c r="O33" s="69"/>
      <c r="P33" s="69"/>
      <c r="Q33" s="187">
        <v>45</v>
      </c>
      <c r="R33" s="14">
        <v>4</v>
      </c>
      <c r="S33" s="14"/>
      <c r="T33" s="73"/>
      <c r="U33" s="14"/>
      <c r="V33" s="14"/>
      <c r="W33" s="14"/>
      <c r="X33" s="69"/>
      <c r="Y33" s="60">
        <f ca="1">Table25[[#This Row],[End Date]]+2-TODAY()</f>
        <v>-402</v>
      </c>
      <c r="Z33" s="14">
        <f>IF(ISBLANK(Table25[[#This Row],[Roster Received By]]),1,0)</f>
        <v>1</v>
      </c>
      <c r="AA33" s="14">
        <f ca="1">IF(Table25[[#This Row],[Start Date]]&gt;TODAY(),1,)</f>
        <v>0</v>
      </c>
    </row>
    <row r="34" spans="1:27" s="76" customFormat="1" ht="16.5" hidden="1" customHeight="1" x14ac:dyDescent="0.25">
      <c r="A34" s="52"/>
      <c r="B34" s="69" t="s">
        <v>97</v>
      </c>
      <c r="C34" s="70" t="s">
        <v>98</v>
      </c>
      <c r="D34" s="70" t="s">
        <v>99</v>
      </c>
      <c r="E34" s="69" t="s">
        <v>25</v>
      </c>
      <c r="F34" s="72">
        <v>45614</v>
      </c>
      <c r="G34" s="72">
        <v>45617</v>
      </c>
      <c r="H34" s="72"/>
      <c r="I34" s="71">
        <v>0.5</v>
      </c>
      <c r="J34" s="71"/>
      <c r="K34" s="71"/>
      <c r="L34" s="71"/>
      <c r="M34" s="71"/>
      <c r="N34" s="71"/>
      <c r="O34" s="69"/>
      <c r="P34" s="69"/>
      <c r="Q34" s="187">
        <v>45</v>
      </c>
      <c r="R34" s="14">
        <v>4</v>
      </c>
      <c r="S34" s="14"/>
      <c r="T34" s="73"/>
      <c r="U34" s="14"/>
      <c r="V34" s="14"/>
      <c r="W34" s="14"/>
      <c r="X34" s="69"/>
      <c r="Y34" s="60">
        <f ca="1">Table25[[#This Row],[End Date]]+2-TODAY()</f>
        <v>-388</v>
      </c>
      <c r="Z34" s="14">
        <f>IF(ISBLANK(Table25[[#This Row],[Roster Received By]]),1,0)</f>
        <v>1</v>
      </c>
      <c r="AA34" s="14">
        <f ca="1">IF(Table25[[#This Row],[Start Date]]&gt;TODAY(),1,)</f>
        <v>0</v>
      </c>
    </row>
    <row r="35" spans="1:27" s="76" customFormat="1" ht="14.25" hidden="1" customHeight="1" x14ac:dyDescent="0.25">
      <c r="A35" s="52"/>
      <c r="B35" s="69" t="s">
        <v>97</v>
      </c>
      <c r="C35" s="70" t="s">
        <v>98</v>
      </c>
      <c r="D35" s="70" t="s">
        <v>99</v>
      </c>
      <c r="E35" s="69" t="s">
        <v>25</v>
      </c>
      <c r="F35" s="72">
        <v>45663</v>
      </c>
      <c r="G35" s="72">
        <v>45666</v>
      </c>
      <c r="H35" s="72"/>
      <c r="I35" s="71">
        <v>0.5</v>
      </c>
      <c r="J35" s="71"/>
      <c r="K35" s="71"/>
      <c r="L35" s="71"/>
      <c r="M35" s="71"/>
      <c r="N35" s="71"/>
      <c r="O35" s="69"/>
      <c r="P35" s="69"/>
      <c r="Q35" s="187">
        <v>45</v>
      </c>
      <c r="R35" s="14">
        <v>4</v>
      </c>
      <c r="S35" s="14"/>
      <c r="T35" s="73"/>
      <c r="U35" s="14"/>
      <c r="V35" s="14"/>
      <c r="W35" s="14"/>
      <c r="X35" s="69"/>
      <c r="Y35" s="60">
        <f ca="1">Table25[[#This Row],[End Date]]+2-TODAY()</f>
        <v>-339</v>
      </c>
      <c r="Z35" s="14">
        <f>IF(ISBLANK(Table25[[#This Row],[Roster Received By]]),1,0)</f>
        <v>1</v>
      </c>
      <c r="AA35" s="14">
        <f ca="1">IF(Table25[[#This Row],[Start Date]]&gt;TODAY(),1,)</f>
        <v>0</v>
      </c>
    </row>
    <row r="36" spans="1:27" s="76" customFormat="1" ht="14.25" hidden="1" customHeight="1" x14ac:dyDescent="0.25">
      <c r="A36" s="52"/>
      <c r="B36" s="69" t="s">
        <v>97</v>
      </c>
      <c r="C36" s="70" t="s">
        <v>98</v>
      </c>
      <c r="D36" s="70" t="s">
        <v>99</v>
      </c>
      <c r="E36" s="69" t="s">
        <v>25</v>
      </c>
      <c r="F36" s="72">
        <v>45678</v>
      </c>
      <c r="G36" s="72">
        <v>45681</v>
      </c>
      <c r="H36" s="72"/>
      <c r="I36" s="71">
        <v>0.5</v>
      </c>
      <c r="J36" s="71"/>
      <c r="K36" s="71"/>
      <c r="L36" s="71"/>
      <c r="M36" s="71"/>
      <c r="N36" s="71"/>
      <c r="O36" s="69"/>
      <c r="P36" s="69"/>
      <c r="Q36" s="187">
        <v>45</v>
      </c>
      <c r="R36" s="14">
        <v>4</v>
      </c>
      <c r="S36" s="14"/>
      <c r="T36" s="73"/>
      <c r="U36" s="14"/>
      <c r="V36" s="14"/>
      <c r="W36" s="14"/>
      <c r="X36" s="69"/>
      <c r="Y36" s="60">
        <f ca="1">Table25[[#This Row],[End Date]]+2-TODAY()</f>
        <v>-324</v>
      </c>
      <c r="Z36" s="14">
        <f>IF(ISBLANK(Table25[[#This Row],[Roster Received By]]),1,0)</f>
        <v>1</v>
      </c>
      <c r="AA36" s="14">
        <f ca="1">IF(Table25[[#This Row],[Start Date]]&gt;TODAY(),1,)</f>
        <v>0</v>
      </c>
    </row>
    <row r="37" spans="1:27" s="76" customFormat="1" ht="14.25" hidden="1" customHeight="1" x14ac:dyDescent="0.25">
      <c r="A37" s="52"/>
      <c r="B37" s="69" t="s">
        <v>97</v>
      </c>
      <c r="C37" s="70" t="s">
        <v>98</v>
      </c>
      <c r="D37" s="70" t="s">
        <v>99</v>
      </c>
      <c r="E37" s="69" t="s">
        <v>25</v>
      </c>
      <c r="F37" s="72">
        <v>45712</v>
      </c>
      <c r="G37" s="72">
        <v>45715</v>
      </c>
      <c r="H37" s="78"/>
      <c r="I37" s="71">
        <v>0.5</v>
      </c>
      <c r="J37" s="72"/>
      <c r="K37" s="72"/>
      <c r="L37" s="72"/>
      <c r="M37" s="72"/>
      <c r="N37" s="72"/>
      <c r="O37" s="69"/>
      <c r="P37" s="69"/>
      <c r="Q37" s="187">
        <v>45</v>
      </c>
      <c r="R37" s="14">
        <v>4</v>
      </c>
      <c r="S37" s="14"/>
      <c r="T37" s="73"/>
      <c r="U37" s="14"/>
      <c r="V37" s="14"/>
      <c r="W37" s="77"/>
      <c r="X37" s="69"/>
      <c r="Y37" s="60">
        <f ca="1">Table25[[#This Row],[End Date]]+2-TODAY()</f>
        <v>-290</v>
      </c>
      <c r="Z37" s="14">
        <f>IF(ISBLANK(Table25[[#This Row],[Roster Received By]]),1,0)</f>
        <v>1</v>
      </c>
      <c r="AA37" s="14">
        <f ca="1">IF(Table25[[#This Row],[Start Date]]&gt;TODAY(),1,)</f>
        <v>0</v>
      </c>
    </row>
    <row r="38" spans="1:27" s="76" customFormat="1" ht="14.25" hidden="1" customHeight="1" x14ac:dyDescent="0.25">
      <c r="A38" s="52"/>
      <c r="B38" s="69" t="s">
        <v>97</v>
      </c>
      <c r="C38" s="70" t="s">
        <v>98</v>
      </c>
      <c r="D38" s="70" t="s">
        <v>99</v>
      </c>
      <c r="E38" s="69" t="s">
        <v>25</v>
      </c>
      <c r="F38" s="72">
        <v>45740</v>
      </c>
      <c r="G38" s="72">
        <v>45743</v>
      </c>
      <c r="H38" s="72"/>
      <c r="I38" s="71">
        <v>0.5</v>
      </c>
      <c r="J38" s="71"/>
      <c r="K38" s="71"/>
      <c r="L38" s="71"/>
      <c r="M38" s="71"/>
      <c r="N38" s="71"/>
      <c r="O38" s="69"/>
      <c r="P38" s="69"/>
      <c r="Q38" s="187">
        <v>45</v>
      </c>
      <c r="R38" s="14">
        <v>4</v>
      </c>
      <c r="S38" s="14"/>
      <c r="T38" s="73"/>
      <c r="U38" s="14"/>
      <c r="V38" s="14"/>
      <c r="W38" s="14"/>
      <c r="X38" s="69"/>
      <c r="Y38" s="60">
        <f ca="1">Table25[[#This Row],[End Date]]+2-TODAY()</f>
        <v>-262</v>
      </c>
      <c r="Z38" s="14">
        <f>IF(ISBLANK(Table25[[#This Row],[Roster Received By]]),1,0)</f>
        <v>1</v>
      </c>
      <c r="AA38" s="14">
        <f ca="1">IF(Table25[[#This Row],[Start Date]]&gt;TODAY(),1,)</f>
        <v>0</v>
      </c>
    </row>
    <row r="39" spans="1:27" s="108" customFormat="1" ht="14.25" hidden="1" customHeight="1" x14ac:dyDescent="0.25">
      <c r="A39" s="52"/>
      <c r="B39" s="69" t="s">
        <v>97</v>
      </c>
      <c r="C39" s="70" t="s">
        <v>98</v>
      </c>
      <c r="D39" s="70" t="s">
        <v>99</v>
      </c>
      <c r="E39" s="69" t="s">
        <v>25</v>
      </c>
      <c r="F39" s="72">
        <v>45775</v>
      </c>
      <c r="G39" s="72">
        <v>45778</v>
      </c>
      <c r="H39" s="72"/>
      <c r="I39" s="71">
        <v>0.5</v>
      </c>
      <c r="J39" s="71"/>
      <c r="K39" s="71"/>
      <c r="L39" s="71"/>
      <c r="M39" s="71"/>
      <c r="N39" s="71"/>
      <c r="O39" s="69"/>
      <c r="P39" s="69"/>
      <c r="Q39" s="187">
        <v>45</v>
      </c>
      <c r="R39" s="14">
        <v>4</v>
      </c>
      <c r="S39" s="14"/>
      <c r="T39" s="73"/>
      <c r="U39" s="14"/>
      <c r="V39" s="14"/>
      <c r="W39" s="14"/>
      <c r="X39" s="69"/>
      <c r="Y39" s="60">
        <f ca="1">Table25[[#This Row],[End Date]]+2-TODAY()</f>
        <v>-227</v>
      </c>
      <c r="Z39" s="14">
        <f>IF(ISBLANK(Table25[[#This Row],[Roster Received By]]),1,0)</f>
        <v>1</v>
      </c>
      <c r="AA39" s="14">
        <f ca="1">IF(Table25[[#This Row],[Start Date]]&gt;TODAY(),1,)</f>
        <v>0</v>
      </c>
    </row>
    <row r="40" spans="1:27" s="76" customFormat="1" ht="16.5" hidden="1" customHeight="1" x14ac:dyDescent="0.25">
      <c r="A40" s="52"/>
      <c r="B40" s="69" t="s">
        <v>97</v>
      </c>
      <c r="C40" s="70" t="s">
        <v>98</v>
      </c>
      <c r="D40" s="70" t="s">
        <v>99</v>
      </c>
      <c r="E40" s="110" t="s">
        <v>25</v>
      </c>
      <c r="F40" s="72">
        <v>45796</v>
      </c>
      <c r="G40" s="72">
        <v>45799</v>
      </c>
      <c r="H40" s="72"/>
      <c r="I40" s="71">
        <v>0.5</v>
      </c>
      <c r="J40" s="71"/>
      <c r="K40" s="71"/>
      <c r="L40" s="71"/>
      <c r="M40" s="71"/>
      <c r="N40" s="71"/>
      <c r="O40" s="69"/>
      <c r="P40" s="69"/>
      <c r="Q40" s="187">
        <v>45</v>
      </c>
      <c r="R40" s="14">
        <v>4</v>
      </c>
      <c r="S40" s="14"/>
      <c r="T40" s="73"/>
      <c r="U40" s="14"/>
      <c r="V40" s="14"/>
      <c r="W40" s="14"/>
      <c r="X40" s="69"/>
      <c r="Y40" s="60">
        <f ca="1">Table25[[#This Row],[End Date]]+2-TODAY()</f>
        <v>-206</v>
      </c>
      <c r="Z40" s="14">
        <f>IF(ISBLANK(Table25[[#This Row],[Roster Received By]]),1,0)</f>
        <v>1</v>
      </c>
      <c r="AA40" s="14">
        <f ca="1">IF(Table25[[#This Row],[Start Date]]&gt;TODAY(),1,)</f>
        <v>0</v>
      </c>
    </row>
    <row r="41" spans="1:27" s="76" customFormat="1" ht="16.5" hidden="1" customHeight="1" x14ac:dyDescent="0.25">
      <c r="A41" s="52"/>
      <c r="B41" s="69" t="s">
        <v>97</v>
      </c>
      <c r="C41" s="70" t="s">
        <v>98</v>
      </c>
      <c r="D41" s="70" t="s">
        <v>99</v>
      </c>
      <c r="E41" s="54" t="s">
        <v>25</v>
      </c>
      <c r="F41" s="72">
        <v>45810</v>
      </c>
      <c r="G41" s="72">
        <v>45813</v>
      </c>
      <c r="H41" s="75"/>
      <c r="I41" s="71">
        <v>0.5</v>
      </c>
      <c r="J41" s="72"/>
      <c r="K41" s="72"/>
      <c r="L41" s="72"/>
      <c r="M41" s="72"/>
      <c r="N41" s="72"/>
      <c r="O41" s="69"/>
      <c r="P41" s="69"/>
      <c r="Q41" s="187">
        <v>45</v>
      </c>
      <c r="R41" s="14">
        <v>4</v>
      </c>
      <c r="S41" s="14"/>
      <c r="T41" s="73"/>
      <c r="U41" s="14"/>
      <c r="V41" s="14"/>
      <c r="W41" s="14"/>
      <c r="X41" s="69"/>
      <c r="Y41" s="60">
        <f ca="1">Table25[[#This Row],[End Date]]+2-TODAY()</f>
        <v>-192</v>
      </c>
      <c r="Z41" s="14">
        <f>IF(ISBLANK(Table25[[#This Row],[Roster Received By]]),1,0)</f>
        <v>1</v>
      </c>
      <c r="AA41" s="14">
        <f ca="1">IF(Table25[[#This Row],[Start Date]]&gt;TODAY(),1,)</f>
        <v>0</v>
      </c>
    </row>
    <row r="42" spans="1:27" s="76" customFormat="1" ht="14.25" hidden="1" customHeight="1" x14ac:dyDescent="0.25">
      <c r="A42" s="52"/>
      <c r="B42" s="69" t="s">
        <v>97</v>
      </c>
      <c r="C42" s="70" t="s">
        <v>98</v>
      </c>
      <c r="D42" s="70" t="s">
        <v>99</v>
      </c>
      <c r="E42" s="54" t="s">
        <v>25</v>
      </c>
      <c r="F42" s="72">
        <v>45831</v>
      </c>
      <c r="G42" s="72">
        <v>45834</v>
      </c>
      <c r="H42" s="75"/>
      <c r="I42" s="71">
        <v>0.5</v>
      </c>
      <c r="J42" s="72"/>
      <c r="K42" s="72"/>
      <c r="L42" s="72"/>
      <c r="M42" s="72"/>
      <c r="N42" s="72"/>
      <c r="O42" s="69"/>
      <c r="P42" s="69"/>
      <c r="Q42" s="187">
        <v>45</v>
      </c>
      <c r="R42" s="14">
        <v>4</v>
      </c>
      <c r="S42" s="14"/>
      <c r="T42" s="73"/>
      <c r="U42" s="14"/>
      <c r="V42" s="14"/>
      <c r="W42" s="14"/>
      <c r="X42" s="69"/>
      <c r="Y42" s="60">
        <f ca="1">Table25[[#This Row],[End Date]]+2-TODAY()</f>
        <v>-171</v>
      </c>
      <c r="Z42" s="14">
        <f>IF(ISBLANK(Table25[[#This Row],[Roster Received By]]),1,0)</f>
        <v>1</v>
      </c>
      <c r="AA42" s="14">
        <f ca="1">IF(Table25[[#This Row],[Start Date]]&gt;TODAY(),1,)</f>
        <v>0</v>
      </c>
    </row>
    <row r="43" spans="1:27" s="76" customFormat="1" ht="14.25" hidden="1" customHeight="1" x14ac:dyDescent="0.25">
      <c r="A43" s="52"/>
      <c r="B43" s="69" t="s">
        <v>97</v>
      </c>
      <c r="C43" s="70" t="s">
        <v>98</v>
      </c>
      <c r="D43" s="70" t="s">
        <v>99</v>
      </c>
      <c r="E43" s="54" t="s">
        <v>25</v>
      </c>
      <c r="F43" s="56">
        <v>45845</v>
      </c>
      <c r="G43" s="72">
        <v>45848</v>
      </c>
      <c r="H43" s="75"/>
      <c r="I43" s="71">
        <v>0.5</v>
      </c>
      <c r="J43" s="72"/>
      <c r="K43" s="72"/>
      <c r="L43" s="72"/>
      <c r="M43" s="72"/>
      <c r="N43" s="72"/>
      <c r="O43" s="69"/>
      <c r="P43" s="69"/>
      <c r="Q43" s="187">
        <v>45</v>
      </c>
      <c r="R43" s="14">
        <v>4</v>
      </c>
      <c r="S43" s="14"/>
      <c r="T43" s="73"/>
      <c r="U43" s="14"/>
      <c r="V43" s="14"/>
      <c r="W43" s="14"/>
      <c r="X43" s="69"/>
      <c r="Y43" s="60">
        <f ca="1">Table25[[#This Row],[End Date]]+2-TODAY()</f>
        <v>-157</v>
      </c>
      <c r="Z43" s="14">
        <f>IF(ISBLANK(Table25[[#This Row],[Roster Received By]]),1,0)</f>
        <v>1</v>
      </c>
      <c r="AA43" s="14">
        <f ca="1">IF(Table25[[#This Row],[Start Date]]&gt;TODAY(),1,)</f>
        <v>0</v>
      </c>
    </row>
    <row r="44" spans="1:27" s="76" customFormat="1" ht="14.25" hidden="1" customHeight="1" x14ac:dyDescent="0.25">
      <c r="A44" s="69"/>
      <c r="B44" s="69" t="s">
        <v>97</v>
      </c>
      <c r="C44" s="70" t="s">
        <v>98</v>
      </c>
      <c r="D44" s="70" t="s">
        <v>99</v>
      </c>
      <c r="E44" s="69" t="s">
        <v>25</v>
      </c>
      <c r="F44" s="72">
        <v>45859</v>
      </c>
      <c r="G44" s="72">
        <v>45862</v>
      </c>
      <c r="H44" s="75"/>
      <c r="I44" s="71">
        <v>0.5</v>
      </c>
      <c r="J44" s="75"/>
      <c r="K44" s="75"/>
      <c r="L44" s="75"/>
      <c r="M44" s="75"/>
      <c r="N44" s="75"/>
      <c r="O44" s="69"/>
      <c r="P44" s="69"/>
      <c r="Q44" s="187">
        <v>45</v>
      </c>
      <c r="R44" s="14">
        <v>4</v>
      </c>
      <c r="S44" s="14"/>
      <c r="T44" s="73"/>
      <c r="U44" s="14"/>
      <c r="V44" s="14"/>
      <c r="W44" s="14"/>
      <c r="X44" s="69"/>
      <c r="Y44" s="60">
        <f ca="1">Table25[[#This Row],[End Date]]+2-TODAY()</f>
        <v>-143</v>
      </c>
      <c r="Z44" s="14">
        <f>IF(ISBLANK(Table25[[#This Row],[Roster Received By]]),1,0)</f>
        <v>1</v>
      </c>
      <c r="AA44" s="14">
        <f ca="1">IF(Table25[[#This Row],[Start Date]]&gt;TODAY(),1,)</f>
        <v>0</v>
      </c>
    </row>
    <row r="45" spans="1:27" s="76" customFormat="1" ht="16.5" hidden="1" customHeight="1" x14ac:dyDescent="0.25">
      <c r="A45" s="52"/>
      <c r="B45" s="69" t="s">
        <v>97</v>
      </c>
      <c r="C45" s="70" t="s">
        <v>98</v>
      </c>
      <c r="D45" s="70" t="s">
        <v>99</v>
      </c>
      <c r="E45" s="69" t="s">
        <v>25</v>
      </c>
      <c r="F45" s="72">
        <v>45887</v>
      </c>
      <c r="G45" s="72">
        <v>45890</v>
      </c>
      <c r="H45" s="72"/>
      <c r="I45" s="71">
        <v>0.5</v>
      </c>
      <c r="J45" s="71"/>
      <c r="K45" s="71"/>
      <c r="L45" s="71"/>
      <c r="M45" s="71"/>
      <c r="N45" s="71"/>
      <c r="O45" s="69"/>
      <c r="P45" s="69"/>
      <c r="Q45" s="187">
        <v>45</v>
      </c>
      <c r="R45" s="14">
        <v>4</v>
      </c>
      <c r="S45" s="14"/>
      <c r="T45" s="73"/>
      <c r="U45" s="14"/>
      <c r="V45" s="14"/>
      <c r="W45" s="14"/>
      <c r="X45" s="69"/>
      <c r="Y45" s="60">
        <f ca="1">Table25[[#This Row],[End Date]]+2-TODAY()</f>
        <v>-115</v>
      </c>
      <c r="Z45" s="14">
        <f>IF(ISBLANK(Table25[[#This Row],[Roster Received By]]),1,0)</f>
        <v>1</v>
      </c>
      <c r="AA45" s="14">
        <f ca="1">IF(Table25[[#This Row],[Start Date]]&gt;TODAY(),1,)</f>
        <v>0</v>
      </c>
    </row>
    <row r="46" spans="1:27" s="76" customFormat="1" ht="16.5" hidden="1" customHeight="1" x14ac:dyDescent="0.25">
      <c r="A46" s="52"/>
      <c r="B46" s="69" t="s">
        <v>97</v>
      </c>
      <c r="C46" s="70" t="s">
        <v>98</v>
      </c>
      <c r="D46" s="70" t="s">
        <v>99</v>
      </c>
      <c r="E46" s="69" t="s">
        <v>25</v>
      </c>
      <c r="F46" s="72">
        <v>45902</v>
      </c>
      <c r="G46" s="72">
        <v>45905</v>
      </c>
      <c r="H46" s="72"/>
      <c r="I46" s="71">
        <v>0.5</v>
      </c>
      <c r="J46" s="71"/>
      <c r="K46" s="71"/>
      <c r="L46" s="71"/>
      <c r="M46" s="71"/>
      <c r="N46" s="71"/>
      <c r="O46" s="69"/>
      <c r="P46" s="69"/>
      <c r="Q46" s="187">
        <v>45</v>
      </c>
      <c r="R46" s="14">
        <v>4</v>
      </c>
      <c r="S46" s="14"/>
      <c r="T46" s="73"/>
      <c r="U46" s="14"/>
      <c r="V46" s="14"/>
      <c r="W46" s="14"/>
      <c r="X46" s="69"/>
      <c r="Y46" s="60">
        <f ca="1">Table25[[#This Row],[End Date]]+2-TODAY()</f>
        <v>-100</v>
      </c>
      <c r="Z46" s="14">
        <f>IF(ISBLANK(Table25[[#This Row],[Roster Received By]]),1,0)</f>
        <v>1</v>
      </c>
      <c r="AA46" s="14">
        <f ca="1">IF(Table25[[#This Row],[Start Date]]&gt;TODAY(),1,)</f>
        <v>0</v>
      </c>
    </row>
    <row r="47" spans="1:27" s="76" customFormat="1" ht="14.25" hidden="1" customHeight="1" x14ac:dyDescent="0.25">
      <c r="A47" s="52"/>
      <c r="B47" s="69" t="s">
        <v>97</v>
      </c>
      <c r="C47" s="70" t="s">
        <v>98</v>
      </c>
      <c r="D47" s="70" t="s">
        <v>99</v>
      </c>
      <c r="E47" s="69" t="s">
        <v>25</v>
      </c>
      <c r="F47" s="80">
        <v>45922</v>
      </c>
      <c r="G47" s="80">
        <v>45925</v>
      </c>
      <c r="H47" s="72"/>
      <c r="I47" s="71">
        <v>0.5</v>
      </c>
      <c r="J47" s="71"/>
      <c r="K47" s="71"/>
      <c r="L47" s="71"/>
      <c r="M47" s="71"/>
      <c r="N47" s="71"/>
      <c r="O47" s="69"/>
      <c r="P47" s="69"/>
      <c r="Q47" s="187">
        <v>45</v>
      </c>
      <c r="R47" s="14">
        <v>4</v>
      </c>
      <c r="S47" s="14"/>
      <c r="T47" s="73"/>
      <c r="U47" s="14"/>
      <c r="V47" s="14"/>
      <c r="W47" s="14"/>
      <c r="X47" s="69"/>
      <c r="Y47" s="60">
        <f ca="1">Table25[[#This Row],[End Date]]+2-TODAY()</f>
        <v>-80</v>
      </c>
      <c r="Z47" s="14">
        <f>IF(ISBLANK(Table25[[#This Row],[Roster Received By]]),1,0)</f>
        <v>1</v>
      </c>
      <c r="AA47" s="14">
        <f ca="1">IF(Table25[[#This Row],[Start Date]]&gt;TODAY(),1,)</f>
        <v>0</v>
      </c>
    </row>
    <row r="48" spans="1:27" s="76" customFormat="1" ht="14.25" hidden="1" customHeight="1" x14ac:dyDescent="0.25">
      <c r="A48" s="52"/>
      <c r="B48" s="69" t="s">
        <v>108</v>
      </c>
      <c r="C48" s="70" t="s">
        <v>109</v>
      </c>
      <c r="D48" s="70">
        <v>3555</v>
      </c>
      <c r="E48" s="69" t="s">
        <v>25</v>
      </c>
      <c r="F48" s="56">
        <v>45572</v>
      </c>
      <c r="G48" s="56">
        <v>45575</v>
      </c>
      <c r="H48" s="71"/>
      <c r="I48" s="71">
        <v>0.5</v>
      </c>
      <c r="J48" s="72"/>
      <c r="K48" s="72"/>
      <c r="L48" s="72"/>
      <c r="M48" s="72"/>
      <c r="N48" s="72"/>
      <c r="O48" s="69"/>
      <c r="P48" s="69"/>
      <c r="Q48" s="187">
        <v>45</v>
      </c>
      <c r="R48" s="14">
        <v>4</v>
      </c>
      <c r="S48" s="14"/>
      <c r="T48" s="73"/>
      <c r="U48" s="14"/>
      <c r="V48" s="14"/>
      <c r="W48" s="14"/>
      <c r="X48" s="69"/>
      <c r="Y48" s="60">
        <f ca="1">Table25[[#This Row],[End Date]]+2-TODAY()</f>
        <v>-430</v>
      </c>
      <c r="Z48" s="14">
        <f>IF(ISBLANK(Table25[[#This Row],[Roster Received By]]),1,0)</f>
        <v>1</v>
      </c>
      <c r="AA48" s="14">
        <f ca="1">IF(Table25[[#This Row],[Start Date]]&gt;TODAY(),1,)</f>
        <v>0</v>
      </c>
    </row>
    <row r="49" spans="1:27" s="76" customFormat="1" ht="14.25" hidden="1" customHeight="1" x14ac:dyDescent="0.25">
      <c r="A49" s="52"/>
      <c r="B49" s="69" t="s">
        <v>108</v>
      </c>
      <c r="C49" s="70" t="s">
        <v>109</v>
      </c>
      <c r="D49" s="70">
        <v>3555</v>
      </c>
      <c r="E49" s="54" t="s">
        <v>25</v>
      </c>
      <c r="F49" s="72">
        <v>45614</v>
      </c>
      <c r="G49" s="72">
        <v>45617</v>
      </c>
      <c r="H49" s="75"/>
      <c r="I49" s="71">
        <v>0.5</v>
      </c>
      <c r="J49" s="72"/>
      <c r="K49" s="72"/>
      <c r="L49" s="72"/>
      <c r="M49" s="72"/>
      <c r="N49" s="72"/>
      <c r="O49" s="69"/>
      <c r="P49" s="69"/>
      <c r="Q49" s="187">
        <v>45</v>
      </c>
      <c r="R49" s="14">
        <v>4</v>
      </c>
      <c r="S49" s="14"/>
      <c r="T49" s="73"/>
      <c r="U49" s="14"/>
      <c r="V49" s="14"/>
      <c r="W49" s="14"/>
      <c r="X49" s="69"/>
      <c r="Y49" s="60">
        <f ca="1">Table25[[#This Row],[End Date]]+2-TODAY()</f>
        <v>-388</v>
      </c>
      <c r="Z49" s="14">
        <f>IF(ISBLANK(Table25[[#This Row],[Roster Received By]]),1,0)</f>
        <v>1</v>
      </c>
      <c r="AA49" s="14">
        <f ca="1">IF(Table25[[#This Row],[Start Date]]&gt;TODAY(),1,)</f>
        <v>0</v>
      </c>
    </row>
    <row r="50" spans="1:27" s="76" customFormat="1" ht="14.25" hidden="1" customHeight="1" x14ac:dyDescent="0.25">
      <c r="A50" s="52"/>
      <c r="B50" s="69" t="s">
        <v>108</v>
      </c>
      <c r="C50" s="70" t="s">
        <v>109</v>
      </c>
      <c r="D50" s="70">
        <v>3555</v>
      </c>
      <c r="E50" s="69" t="s">
        <v>25</v>
      </c>
      <c r="F50" s="72">
        <v>45670</v>
      </c>
      <c r="G50" s="72">
        <v>45673</v>
      </c>
      <c r="H50" s="72"/>
      <c r="I50" s="71">
        <v>0.5</v>
      </c>
      <c r="J50" s="71"/>
      <c r="K50" s="71"/>
      <c r="L50" s="71"/>
      <c r="M50" s="71"/>
      <c r="N50" s="71"/>
      <c r="O50" s="69"/>
      <c r="P50" s="69"/>
      <c r="Q50" s="187">
        <v>45</v>
      </c>
      <c r="R50" s="14">
        <v>4</v>
      </c>
      <c r="S50" s="14"/>
      <c r="T50" s="73"/>
      <c r="U50" s="14"/>
      <c r="V50" s="14"/>
      <c r="W50" s="14"/>
      <c r="X50" s="69"/>
      <c r="Y50" s="60">
        <f ca="1">Table25[[#This Row],[End Date]]+2-TODAY()</f>
        <v>-332</v>
      </c>
      <c r="Z50" s="14">
        <f>IF(ISBLANK(Table25[[#This Row],[Roster Received By]]),1,0)</f>
        <v>1</v>
      </c>
      <c r="AA50" s="14">
        <f ca="1">IF(Table25[[#This Row],[Start Date]]&gt;TODAY(),1,)</f>
        <v>0</v>
      </c>
    </row>
    <row r="51" spans="1:27" s="109" customFormat="1" ht="14.25" hidden="1" customHeight="1" x14ac:dyDescent="0.25">
      <c r="A51" s="52"/>
      <c r="B51" s="69" t="s">
        <v>108</v>
      </c>
      <c r="C51" s="70" t="s">
        <v>109</v>
      </c>
      <c r="D51" s="70">
        <v>3555</v>
      </c>
      <c r="E51" s="69" t="s">
        <v>25</v>
      </c>
      <c r="F51" s="72">
        <v>45691</v>
      </c>
      <c r="G51" s="72">
        <v>45694</v>
      </c>
      <c r="H51" s="72"/>
      <c r="I51" s="71">
        <v>0.5</v>
      </c>
      <c r="J51" s="71"/>
      <c r="K51" s="71"/>
      <c r="L51" s="71"/>
      <c r="M51" s="71"/>
      <c r="N51" s="71"/>
      <c r="O51" s="69"/>
      <c r="P51" s="69"/>
      <c r="Q51" s="187">
        <v>45</v>
      </c>
      <c r="R51" s="14">
        <v>4</v>
      </c>
      <c r="S51" s="14"/>
      <c r="T51" s="73"/>
      <c r="U51" s="14"/>
      <c r="V51" s="14"/>
      <c r="W51" s="14"/>
      <c r="X51" s="69"/>
      <c r="Y51" s="60">
        <f ca="1">Table25[[#This Row],[End Date]]+2-TODAY()</f>
        <v>-311</v>
      </c>
      <c r="Z51" s="14">
        <f>IF(ISBLANK(Table25[[#This Row],[Roster Received By]]),1,0)</f>
        <v>1</v>
      </c>
      <c r="AA51" s="14">
        <f ca="1">IF(Table25[[#This Row],[Start Date]]&gt;TODAY(),1,)</f>
        <v>0</v>
      </c>
    </row>
    <row r="52" spans="1:27" s="105" customFormat="1" ht="14.25" hidden="1" customHeight="1" x14ac:dyDescent="0.25">
      <c r="A52" s="52"/>
      <c r="B52" s="69" t="s">
        <v>108</v>
      </c>
      <c r="C52" s="70" t="s">
        <v>109</v>
      </c>
      <c r="D52" s="70">
        <v>3555</v>
      </c>
      <c r="E52" s="69" t="s">
        <v>25</v>
      </c>
      <c r="F52" s="72">
        <v>45712</v>
      </c>
      <c r="G52" s="72">
        <v>45715</v>
      </c>
      <c r="H52" s="75"/>
      <c r="I52" s="71">
        <v>0.5</v>
      </c>
      <c r="J52" s="75"/>
      <c r="K52" s="75"/>
      <c r="L52" s="75"/>
      <c r="M52" s="75"/>
      <c r="N52" s="72"/>
      <c r="O52" s="69"/>
      <c r="P52" s="69"/>
      <c r="Q52" s="187">
        <v>45</v>
      </c>
      <c r="R52" s="14">
        <v>4</v>
      </c>
      <c r="S52" s="14"/>
      <c r="T52" s="73"/>
      <c r="U52" s="14"/>
      <c r="V52" s="14"/>
      <c r="W52" s="14"/>
      <c r="X52" s="69"/>
      <c r="Y52" s="60">
        <f ca="1">Table25[[#This Row],[End Date]]+2-TODAY()</f>
        <v>-290</v>
      </c>
      <c r="Z52" s="14">
        <f>IF(ISBLANK(Table25[[#This Row],[Roster Received By]]),1,0)</f>
        <v>1</v>
      </c>
      <c r="AA52" s="14">
        <f ca="1">IF(Table25[[#This Row],[Start Date]]&gt;TODAY(),1,)</f>
        <v>0</v>
      </c>
    </row>
    <row r="53" spans="1:27" s="105" customFormat="1" ht="14.25" hidden="1" customHeight="1" x14ac:dyDescent="0.25">
      <c r="A53" s="52"/>
      <c r="B53" s="69" t="s">
        <v>108</v>
      </c>
      <c r="C53" s="70" t="s">
        <v>109</v>
      </c>
      <c r="D53" s="70">
        <v>3555</v>
      </c>
      <c r="E53" s="69" t="s">
        <v>25</v>
      </c>
      <c r="F53" s="72">
        <v>45726</v>
      </c>
      <c r="G53" s="72">
        <v>45729</v>
      </c>
      <c r="H53" s="72"/>
      <c r="I53" s="71">
        <v>0.5</v>
      </c>
      <c r="J53" s="71"/>
      <c r="K53" s="71"/>
      <c r="L53" s="71"/>
      <c r="M53" s="71"/>
      <c r="N53" s="71"/>
      <c r="O53" s="69"/>
      <c r="P53" s="69"/>
      <c r="Q53" s="187">
        <v>45</v>
      </c>
      <c r="R53" s="14">
        <v>4</v>
      </c>
      <c r="S53" s="14"/>
      <c r="T53" s="73"/>
      <c r="U53" s="14"/>
      <c r="V53" s="14"/>
      <c r="W53" s="14"/>
      <c r="X53" s="69"/>
      <c r="Y53" s="60">
        <f ca="1">Table25[[#This Row],[End Date]]+2-TODAY()</f>
        <v>-276</v>
      </c>
      <c r="Z53" s="14">
        <f>IF(ISBLANK(Table25[[#This Row],[Roster Received By]]),1,0)</f>
        <v>1</v>
      </c>
      <c r="AA53" s="14">
        <f ca="1">IF(Table25[[#This Row],[Start Date]]&gt;TODAY(),1,)</f>
        <v>0</v>
      </c>
    </row>
    <row r="54" spans="1:27" s="76" customFormat="1" ht="14.25" hidden="1" customHeight="1" x14ac:dyDescent="0.25">
      <c r="A54" s="52"/>
      <c r="B54" s="69" t="s">
        <v>108</v>
      </c>
      <c r="C54" s="70" t="s">
        <v>109</v>
      </c>
      <c r="D54" s="70">
        <v>3555</v>
      </c>
      <c r="E54" s="69" t="s">
        <v>25</v>
      </c>
      <c r="F54" s="72">
        <v>45747</v>
      </c>
      <c r="G54" s="72">
        <v>45750</v>
      </c>
      <c r="H54" s="78"/>
      <c r="I54" s="71">
        <v>0.5</v>
      </c>
      <c r="J54" s="72"/>
      <c r="K54" s="72"/>
      <c r="L54" s="72"/>
      <c r="M54" s="72"/>
      <c r="N54" s="72"/>
      <c r="O54" s="69"/>
      <c r="P54" s="69"/>
      <c r="Q54" s="187">
        <v>45</v>
      </c>
      <c r="R54" s="14">
        <v>4</v>
      </c>
      <c r="S54" s="14"/>
      <c r="T54" s="73"/>
      <c r="U54" s="14"/>
      <c r="V54" s="14"/>
      <c r="W54" s="14"/>
      <c r="X54" s="69"/>
      <c r="Y54" s="60">
        <f ca="1">Table25[[#This Row],[End Date]]+2-TODAY()</f>
        <v>-255</v>
      </c>
      <c r="Z54" s="14">
        <f>IF(ISBLANK(Table25[[#This Row],[Roster Received By]]),1,0)</f>
        <v>1</v>
      </c>
      <c r="AA54" s="14">
        <f ca="1">IF(Table25[[#This Row],[Start Date]]&gt;TODAY(),1,)</f>
        <v>0</v>
      </c>
    </row>
    <row r="55" spans="1:27" s="76" customFormat="1" ht="14.25" hidden="1" customHeight="1" x14ac:dyDescent="0.25">
      <c r="A55" s="52"/>
      <c r="B55" s="69" t="s">
        <v>108</v>
      </c>
      <c r="C55" s="70" t="s">
        <v>109</v>
      </c>
      <c r="D55" s="70">
        <v>3555</v>
      </c>
      <c r="E55" s="54" t="s">
        <v>25</v>
      </c>
      <c r="F55" s="72">
        <v>45782</v>
      </c>
      <c r="G55" s="72">
        <v>45785</v>
      </c>
      <c r="H55" s="75"/>
      <c r="I55" s="71">
        <v>0.5</v>
      </c>
      <c r="J55" s="72"/>
      <c r="K55" s="72"/>
      <c r="L55" s="72"/>
      <c r="M55" s="72"/>
      <c r="N55" s="72"/>
      <c r="O55" s="69"/>
      <c r="P55" s="69"/>
      <c r="Q55" s="187">
        <v>45</v>
      </c>
      <c r="R55" s="14">
        <v>4</v>
      </c>
      <c r="S55" s="14"/>
      <c r="T55" s="73"/>
      <c r="U55" s="14"/>
      <c r="V55" s="14"/>
      <c r="W55" s="14"/>
      <c r="X55" s="69"/>
      <c r="Y55" s="60">
        <f ca="1">Table25[[#This Row],[End Date]]+2-TODAY()</f>
        <v>-220</v>
      </c>
      <c r="Z55" s="14">
        <f>IF(ISBLANK(Table25[[#This Row],[Roster Received By]]),1,0)</f>
        <v>1</v>
      </c>
      <c r="AA55" s="14">
        <f ca="1">IF(Table25[[#This Row],[Start Date]]&gt;TODAY(),1,)</f>
        <v>0</v>
      </c>
    </row>
    <row r="56" spans="1:27" s="76" customFormat="1" ht="14.25" hidden="1" customHeight="1" x14ac:dyDescent="0.25">
      <c r="A56" s="52"/>
      <c r="B56" s="69" t="s">
        <v>108</v>
      </c>
      <c r="C56" s="70" t="s">
        <v>109</v>
      </c>
      <c r="D56" s="70">
        <v>3555</v>
      </c>
      <c r="E56" s="54" t="s">
        <v>25</v>
      </c>
      <c r="F56" s="72">
        <v>45804</v>
      </c>
      <c r="G56" s="72">
        <v>45807</v>
      </c>
      <c r="H56" s="75"/>
      <c r="I56" s="71">
        <v>0.5</v>
      </c>
      <c r="J56" s="72"/>
      <c r="K56" s="72"/>
      <c r="L56" s="72"/>
      <c r="M56" s="72"/>
      <c r="N56" s="72"/>
      <c r="O56" s="69"/>
      <c r="P56" s="69"/>
      <c r="Q56" s="187">
        <v>45</v>
      </c>
      <c r="R56" s="14">
        <v>4</v>
      </c>
      <c r="S56" s="14"/>
      <c r="T56" s="73"/>
      <c r="U56" s="14"/>
      <c r="V56" s="14"/>
      <c r="W56" s="14"/>
      <c r="X56" s="69"/>
      <c r="Y56" s="60">
        <f ca="1">Table25[[#This Row],[End Date]]+2-TODAY()</f>
        <v>-198</v>
      </c>
      <c r="Z56" s="14">
        <f>IF(ISBLANK(Table25[[#This Row],[Roster Received By]]),1,0)</f>
        <v>1</v>
      </c>
      <c r="AA56" s="14">
        <f ca="1">IF(Table25[[#This Row],[Start Date]]&gt;TODAY(),1,)</f>
        <v>0</v>
      </c>
    </row>
    <row r="57" spans="1:27" s="76" customFormat="1" ht="14.25" hidden="1" customHeight="1" x14ac:dyDescent="0.25">
      <c r="A57" s="52"/>
      <c r="B57" s="69" t="s">
        <v>108</v>
      </c>
      <c r="C57" s="70" t="s">
        <v>109</v>
      </c>
      <c r="D57" s="70">
        <v>3555</v>
      </c>
      <c r="E57" s="69" t="s">
        <v>25</v>
      </c>
      <c r="F57" s="72">
        <v>45817</v>
      </c>
      <c r="G57" s="72">
        <v>45820</v>
      </c>
      <c r="H57" s="72"/>
      <c r="I57" s="71">
        <v>0.5</v>
      </c>
      <c r="J57" s="71"/>
      <c r="K57" s="71"/>
      <c r="L57" s="71"/>
      <c r="M57" s="71"/>
      <c r="N57" s="71"/>
      <c r="O57" s="69"/>
      <c r="P57" s="69"/>
      <c r="Q57" s="187">
        <v>45</v>
      </c>
      <c r="R57" s="14">
        <v>4</v>
      </c>
      <c r="S57" s="14"/>
      <c r="T57" s="73"/>
      <c r="U57" s="14"/>
      <c r="V57" s="14"/>
      <c r="W57" s="14"/>
      <c r="X57" s="69"/>
      <c r="Y57" s="60">
        <f ca="1">Table25[[#This Row],[End Date]]+2-TODAY()</f>
        <v>-185</v>
      </c>
      <c r="Z57" s="14">
        <f>IF(ISBLANK(Table25[[#This Row],[Roster Received By]]),1,0)</f>
        <v>1</v>
      </c>
      <c r="AA57" s="14">
        <f ca="1">IF(Table25[[#This Row],[Start Date]]&gt;TODAY(),1,)</f>
        <v>0</v>
      </c>
    </row>
    <row r="58" spans="1:27" s="76" customFormat="1" ht="14.25" hidden="1" customHeight="1" x14ac:dyDescent="0.25">
      <c r="A58" s="52"/>
      <c r="B58" s="69" t="s">
        <v>108</v>
      </c>
      <c r="C58" s="70" t="s">
        <v>109</v>
      </c>
      <c r="D58" s="70">
        <v>3555</v>
      </c>
      <c r="E58" s="69" t="s">
        <v>25</v>
      </c>
      <c r="F58" s="72">
        <v>45831</v>
      </c>
      <c r="G58" s="72">
        <v>45834</v>
      </c>
      <c r="H58" s="75"/>
      <c r="I58" s="71">
        <v>0.5</v>
      </c>
      <c r="J58" s="72"/>
      <c r="K58" s="72"/>
      <c r="L58" s="72"/>
      <c r="M58" s="72"/>
      <c r="N58" s="72"/>
      <c r="O58" s="69"/>
      <c r="P58" s="69"/>
      <c r="Q58" s="187">
        <v>45</v>
      </c>
      <c r="R58" s="14">
        <v>4</v>
      </c>
      <c r="S58" s="14"/>
      <c r="T58" s="73"/>
      <c r="U58" s="14"/>
      <c r="V58" s="14"/>
      <c r="W58" s="14"/>
      <c r="X58" s="69"/>
      <c r="Y58" s="60">
        <f ca="1">Table25[[#This Row],[End Date]]+2-TODAY()</f>
        <v>-171</v>
      </c>
      <c r="Z58" s="14">
        <f>IF(ISBLANK(Table25[[#This Row],[Roster Received By]]),1,0)</f>
        <v>1</v>
      </c>
      <c r="AA58" s="14">
        <f ca="1">IF(Table25[[#This Row],[Start Date]]&gt;TODAY(),1,)</f>
        <v>0</v>
      </c>
    </row>
    <row r="59" spans="1:27" s="76" customFormat="1" ht="16.5" hidden="1" customHeight="1" x14ac:dyDescent="0.25">
      <c r="A59" s="52"/>
      <c r="B59" s="69" t="s">
        <v>108</v>
      </c>
      <c r="C59" s="70" t="s">
        <v>109</v>
      </c>
      <c r="D59" s="70">
        <v>3555</v>
      </c>
      <c r="E59" s="69" t="s">
        <v>25</v>
      </c>
      <c r="F59" s="56">
        <v>45866</v>
      </c>
      <c r="G59" s="56">
        <v>45869</v>
      </c>
      <c r="H59" s="56"/>
      <c r="I59" s="71">
        <v>0.5</v>
      </c>
      <c r="J59" s="71"/>
      <c r="K59" s="71"/>
      <c r="L59" s="71"/>
      <c r="M59" s="71"/>
      <c r="N59" s="71"/>
      <c r="O59" s="69"/>
      <c r="P59" s="69"/>
      <c r="Q59" s="187">
        <v>45</v>
      </c>
      <c r="R59" s="14">
        <v>4</v>
      </c>
      <c r="S59" s="14"/>
      <c r="T59" s="73"/>
      <c r="U59" s="14"/>
      <c r="V59" s="14"/>
      <c r="W59" s="14"/>
      <c r="X59" s="69"/>
      <c r="Y59" s="60">
        <f ca="1">Table25[[#This Row],[End Date]]+2-TODAY()</f>
        <v>-136</v>
      </c>
      <c r="Z59" s="14">
        <f>IF(ISBLANK(Table25[[#This Row],[Roster Received By]]),1,0)</f>
        <v>1</v>
      </c>
      <c r="AA59" s="14">
        <f ca="1">IF(Table25[[#This Row],[Start Date]]&gt;TODAY(),1,)</f>
        <v>0</v>
      </c>
    </row>
    <row r="60" spans="1:27" s="76" customFormat="1" ht="14.25" hidden="1" customHeight="1" x14ac:dyDescent="0.25">
      <c r="A60" s="52"/>
      <c r="B60" s="69" t="s">
        <v>108</v>
      </c>
      <c r="C60" s="70" t="s">
        <v>109</v>
      </c>
      <c r="D60" s="70">
        <v>3555</v>
      </c>
      <c r="E60" s="69" t="s">
        <v>25</v>
      </c>
      <c r="F60" s="72">
        <v>45880</v>
      </c>
      <c r="G60" s="72">
        <v>45883</v>
      </c>
      <c r="H60" s="72"/>
      <c r="I60" s="71">
        <v>0.5</v>
      </c>
      <c r="J60" s="71"/>
      <c r="K60" s="71"/>
      <c r="L60" s="71"/>
      <c r="M60" s="71"/>
      <c r="N60" s="71"/>
      <c r="O60" s="69"/>
      <c r="P60" s="69"/>
      <c r="Q60" s="187">
        <v>45</v>
      </c>
      <c r="R60" s="14">
        <v>4</v>
      </c>
      <c r="S60" s="14"/>
      <c r="T60" s="73"/>
      <c r="U60" s="14"/>
      <c r="V60" s="14"/>
      <c r="W60" s="14"/>
      <c r="X60" s="69"/>
      <c r="Y60" s="60">
        <f ca="1">Table25[[#This Row],[End Date]]+2-TODAY()</f>
        <v>-122</v>
      </c>
      <c r="Z60" s="14">
        <f>IF(ISBLANK(Table25[[#This Row],[Roster Received By]]),1,0)</f>
        <v>1</v>
      </c>
      <c r="AA60" s="14">
        <f ca="1">IF(Table25[[#This Row],[Start Date]]&gt;TODAY(),1,)</f>
        <v>0</v>
      </c>
    </row>
    <row r="61" spans="1:27" s="76" customFormat="1" ht="16.5" hidden="1" customHeight="1" x14ac:dyDescent="0.25">
      <c r="A61" s="52"/>
      <c r="B61" s="69" t="s">
        <v>108</v>
      </c>
      <c r="C61" s="70" t="s">
        <v>109</v>
      </c>
      <c r="D61" s="70">
        <v>3555</v>
      </c>
      <c r="E61" s="69" t="s">
        <v>25</v>
      </c>
      <c r="F61" s="72">
        <v>45894</v>
      </c>
      <c r="G61" s="72">
        <v>45897</v>
      </c>
      <c r="H61" s="72"/>
      <c r="I61" s="71">
        <v>0.5</v>
      </c>
      <c r="J61" s="71"/>
      <c r="K61" s="71"/>
      <c r="L61" s="71"/>
      <c r="M61" s="71"/>
      <c r="N61" s="71"/>
      <c r="O61" s="69"/>
      <c r="P61" s="69"/>
      <c r="Q61" s="187">
        <v>45</v>
      </c>
      <c r="R61" s="14">
        <v>4</v>
      </c>
      <c r="S61" s="14"/>
      <c r="T61" s="73"/>
      <c r="U61" s="14"/>
      <c r="V61" s="14"/>
      <c r="W61" s="14"/>
      <c r="X61" s="69"/>
      <c r="Y61" s="60">
        <f ca="1">Table25[[#This Row],[End Date]]+2-TODAY()</f>
        <v>-108</v>
      </c>
      <c r="Z61" s="14">
        <f>IF(ISBLANK(Table25[[#This Row],[Roster Received By]]),1,0)</f>
        <v>1</v>
      </c>
      <c r="AA61" s="14">
        <f ca="1">IF(Table25[[#This Row],[Start Date]]&gt;TODAY(),1,)</f>
        <v>0</v>
      </c>
    </row>
    <row r="62" spans="1:27" s="105" customFormat="1" ht="14.25" hidden="1" customHeight="1" x14ac:dyDescent="0.25">
      <c r="A62" s="52"/>
      <c r="B62" s="69" t="s">
        <v>108</v>
      </c>
      <c r="C62" s="70" t="s">
        <v>109</v>
      </c>
      <c r="D62" s="70">
        <v>3555</v>
      </c>
      <c r="E62" s="69" t="s">
        <v>25</v>
      </c>
      <c r="F62" s="72">
        <v>45908</v>
      </c>
      <c r="G62" s="72">
        <v>45911</v>
      </c>
      <c r="H62" s="72"/>
      <c r="I62" s="71">
        <v>0.5</v>
      </c>
      <c r="J62" s="71"/>
      <c r="K62" s="71"/>
      <c r="L62" s="71"/>
      <c r="M62" s="71"/>
      <c r="N62" s="71"/>
      <c r="O62" s="69"/>
      <c r="P62" s="69"/>
      <c r="Q62" s="187">
        <v>45</v>
      </c>
      <c r="R62" s="14">
        <v>4</v>
      </c>
      <c r="S62" s="14"/>
      <c r="T62" s="73"/>
      <c r="U62" s="14"/>
      <c r="V62" s="14"/>
      <c r="W62" s="77"/>
      <c r="X62" s="69"/>
      <c r="Y62" s="60">
        <f ca="1">Table25[[#This Row],[End Date]]+2-TODAY()</f>
        <v>-94</v>
      </c>
      <c r="Z62" s="14">
        <f>IF(ISBLANK(Table25[[#This Row],[Roster Received By]]),1,0)</f>
        <v>1</v>
      </c>
      <c r="AA62" s="14">
        <f ca="1">IF(Table25[[#This Row],[Start Date]]&gt;TODAY(),1,)</f>
        <v>0</v>
      </c>
    </row>
    <row r="63" spans="1:27" s="76" customFormat="1" ht="14.25" hidden="1" customHeight="1" x14ac:dyDescent="0.25">
      <c r="A63" s="52"/>
      <c r="B63" s="69" t="s">
        <v>108</v>
      </c>
      <c r="C63" s="70" t="s">
        <v>109</v>
      </c>
      <c r="D63" s="70">
        <v>3555</v>
      </c>
      <c r="E63" s="69" t="s">
        <v>25</v>
      </c>
      <c r="F63" s="72">
        <v>45922</v>
      </c>
      <c r="G63" s="72">
        <v>45925</v>
      </c>
      <c r="H63" s="75"/>
      <c r="I63" s="71">
        <v>0.5</v>
      </c>
      <c r="J63" s="72"/>
      <c r="K63" s="72"/>
      <c r="L63" s="72"/>
      <c r="M63" s="72"/>
      <c r="N63" s="72"/>
      <c r="O63" s="69"/>
      <c r="P63" s="69"/>
      <c r="Q63" s="187">
        <v>45</v>
      </c>
      <c r="R63" s="14">
        <v>4</v>
      </c>
      <c r="S63" s="14"/>
      <c r="T63" s="73"/>
      <c r="U63" s="14"/>
      <c r="V63" s="14"/>
      <c r="W63" s="14"/>
      <c r="X63" s="69"/>
      <c r="Y63" s="60">
        <f ca="1">Table25[[#This Row],[End Date]]+2-TODAY()</f>
        <v>-80</v>
      </c>
      <c r="Z63" s="14">
        <f>IF(ISBLANK(Table25[[#This Row],[Roster Received By]]),1,0)</f>
        <v>1</v>
      </c>
      <c r="AA63" s="14">
        <f ca="1">IF(Table25[[#This Row],[Start Date]]&gt;TODAY(),1,)</f>
        <v>0</v>
      </c>
    </row>
    <row r="64" spans="1:27" s="76" customFormat="1" ht="14.25" hidden="1" customHeight="1" x14ac:dyDescent="0.25">
      <c r="A64" s="52"/>
      <c r="B64" s="107" t="s">
        <v>92</v>
      </c>
      <c r="C64" s="70" t="s">
        <v>93</v>
      </c>
      <c r="D64" s="70">
        <v>5891</v>
      </c>
      <c r="E64" s="69" t="s">
        <v>171</v>
      </c>
      <c r="F64" s="72">
        <v>45804</v>
      </c>
      <c r="G64" s="72">
        <v>45806</v>
      </c>
      <c r="H64" s="75">
        <v>0.33333333333333331</v>
      </c>
      <c r="I64" s="71"/>
      <c r="J64" s="71"/>
      <c r="K64" s="71"/>
      <c r="L64" s="71"/>
      <c r="M64" s="71"/>
      <c r="N64" s="71"/>
      <c r="O64" s="69"/>
      <c r="P64" s="69"/>
      <c r="Q64" s="14">
        <v>25</v>
      </c>
      <c r="R64" s="14">
        <v>3</v>
      </c>
      <c r="S64" s="14"/>
      <c r="T64" s="73"/>
      <c r="U64" s="14"/>
      <c r="V64" s="14"/>
      <c r="W64" s="74"/>
      <c r="X64" s="69"/>
      <c r="Y64" s="60">
        <f ca="1">Table25[[#This Row],[End Date]]+2-TODAY()</f>
        <v>-199</v>
      </c>
      <c r="Z64" s="14">
        <f>IF(ISBLANK(Table25[[#This Row],[Roster Received By]]),1,0)</f>
        <v>1</v>
      </c>
      <c r="AA64" s="14">
        <f ca="1">IF(Table25[[#This Row],[Start Date]]&gt;TODAY(),1,)</f>
        <v>0</v>
      </c>
    </row>
    <row r="65" spans="1:27" s="76" customFormat="1" ht="14.25" customHeight="1" x14ac:dyDescent="0.25">
      <c r="A65" s="52"/>
      <c r="B65" s="69" t="s">
        <v>116</v>
      </c>
      <c r="C65" s="70" t="s">
        <v>117</v>
      </c>
      <c r="D65" s="70" t="s">
        <v>118</v>
      </c>
      <c r="E65" s="69" t="s">
        <v>256</v>
      </c>
      <c r="F65" s="72">
        <v>45628</v>
      </c>
      <c r="G65" s="72">
        <v>45632</v>
      </c>
      <c r="H65" s="75">
        <v>0.33333333333333331</v>
      </c>
      <c r="I65" s="71"/>
      <c r="J65" s="75"/>
      <c r="K65" s="75"/>
      <c r="L65" s="75"/>
      <c r="M65" s="75"/>
      <c r="N65" s="75"/>
      <c r="O65" s="69"/>
      <c r="P65" s="69"/>
      <c r="Q65" s="14">
        <v>30</v>
      </c>
      <c r="R65" s="14">
        <v>5</v>
      </c>
      <c r="S65" s="14"/>
      <c r="T65" s="73"/>
      <c r="U65" s="14"/>
      <c r="V65" s="14"/>
      <c r="W65" s="70"/>
      <c r="X65" s="69"/>
      <c r="Y65" s="60">
        <f ca="1">Table25[[#This Row],[End Date]]+2-TODAY()</f>
        <v>-373</v>
      </c>
      <c r="Z65" s="14">
        <f>IF(ISBLANK(Table25[[#This Row],[Roster Received By]]),1,0)</f>
        <v>1</v>
      </c>
      <c r="AA65" s="14">
        <f ca="1">IF(Table25[[#This Row],[Start Date]]&gt;TODAY(),1,)</f>
        <v>0</v>
      </c>
    </row>
    <row r="66" spans="1:27" s="76" customFormat="1" ht="14.25" customHeight="1" x14ac:dyDescent="0.25">
      <c r="A66" s="52"/>
      <c r="B66" s="69" t="s">
        <v>116</v>
      </c>
      <c r="C66" s="70" t="s">
        <v>117</v>
      </c>
      <c r="D66" s="70" t="s">
        <v>118</v>
      </c>
      <c r="E66" s="69" t="s">
        <v>257</v>
      </c>
      <c r="F66" s="72">
        <v>45796</v>
      </c>
      <c r="G66" s="72">
        <v>45800</v>
      </c>
      <c r="H66" s="75">
        <v>0.33333333333333331</v>
      </c>
      <c r="I66" s="75"/>
      <c r="J66" s="72"/>
      <c r="K66" s="72"/>
      <c r="L66" s="72"/>
      <c r="M66" s="72"/>
      <c r="N66" s="72"/>
      <c r="O66" s="69"/>
      <c r="P66" s="69"/>
      <c r="Q66" s="14">
        <v>30</v>
      </c>
      <c r="R66" s="14">
        <v>5</v>
      </c>
      <c r="S66" s="14"/>
      <c r="T66" s="73"/>
      <c r="U66" s="14"/>
      <c r="V66" s="14"/>
      <c r="W66" s="14"/>
      <c r="X66" s="69"/>
      <c r="Y66" s="60">
        <f ca="1">Table25[[#This Row],[End Date]]+2-TODAY()</f>
        <v>-205</v>
      </c>
      <c r="Z66" s="14">
        <f>IF(ISBLANK(Table25[[#This Row],[Roster Received By]]),1,0)</f>
        <v>1</v>
      </c>
      <c r="AA66" s="14">
        <f ca="1">IF(Table25[[#This Row],[Start Date]]&gt;TODAY(),1,)</f>
        <v>0</v>
      </c>
    </row>
    <row r="67" spans="1:27" s="76" customFormat="1" ht="14.25" hidden="1" customHeight="1" x14ac:dyDescent="0.25">
      <c r="A67" s="52"/>
      <c r="B67" s="69" t="s">
        <v>92</v>
      </c>
      <c r="C67" s="70" t="s">
        <v>93</v>
      </c>
      <c r="D67" s="70">
        <v>5891</v>
      </c>
      <c r="E67" s="69" t="s">
        <v>258</v>
      </c>
      <c r="F67" s="72">
        <v>45839</v>
      </c>
      <c r="G67" s="72">
        <v>45841</v>
      </c>
      <c r="H67" s="75">
        <v>0.33333333333333331</v>
      </c>
      <c r="I67" s="71"/>
      <c r="J67" s="71"/>
      <c r="K67" s="71"/>
      <c r="L67" s="71"/>
      <c r="M67" s="71"/>
      <c r="N67" s="71"/>
      <c r="O67" s="69"/>
      <c r="P67" s="69"/>
      <c r="Q67" s="14">
        <v>25</v>
      </c>
      <c r="R67" s="14">
        <v>3</v>
      </c>
      <c r="S67" s="14"/>
      <c r="T67" s="73"/>
      <c r="U67" s="14"/>
      <c r="V67" s="14"/>
      <c r="W67" s="14"/>
      <c r="X67" s="69"/>
      <c r="Y67" s="60">
        <f ca="1">Table25[[#This Row],[End Date]]+2-TODAY()</f>
        <v>-164</v>
      </c>
      <c r="Z67" s="14">
        <f>IF(ISBLANK(Table25[[#This Row],[Roster Received By]]),1,0)</f>
        <v>1</v>
      </c>
      <c r="AA67" s="14">
        <f ca="1">IF(Table25[[#This Row],[Start Date]]&gt;TODAY(),1,)</f>
        <v>0</v>
      </c>
    </row>
    <row r="68" spans="1:27" s="76" customFormat="1" ht="14.25" customHeight="1" x14ac:dyDescent="0.25">
      <c r="A68" s="52"/>
      <c r="B68" s="69" t="s">
        <v>116</v>
      </c>
      <c r="C68" s="70" t="s">
        <v>117</v>
      </c>
      <c r="D68" s="70" t="s">
        <v>118</v>
      </c>
      <c r="E68" s="69" t="s">
        <v>258</v>
      </c>
      <c r="F68" s="56">
        <v>45845</v>
      </c>
      <c r="G68" s="56">
        <v>45849</v>
      </c>
      <c r="H68" s="75">
        <v>0.33333333333333331</v>
      </c>
      <c r="I68" s="71"/>
      <c r="J68" s="71"/>
      <c r="K68" s="71"/>
      <c r="L68" s="71"/>
      <c r="M68" s="71"/>
      <c r="N68" s="71"/>
      <c r="O68" s="69"/>
      <c r="P68" s="69"/>
      <c r="Q68" s="14">
        <v>30</v>
      </c>
      <c r="R68" s="14">
        <v>5</v>
      </c>
      <c r="S68" s="14"/>
      <c r="T68" s="73"/>
      <c r="U68" s="14"/>
      <c r="V68" s="14"/>
      <c r="W68" s="14"/>
      <c r="X68" s="69"/>
      <c r="Y68" s="60">
        <f ca="1">Table25[[#This Row],[End Date]]+2-TODAY()</f>
        <v>-156</v>
      </c>
      <c r="Z68" s="14">
        <f>IF(ISBLANK(Table25[[#This Row],[Roster Received By]]),1,0)</f>
        <v>1</v>
      </c>
      <c r="AA68" s="14">
        <f ca="1">IF(Table25[[#This Row],[Start Date]]&gt;TODAY(),1,)</f>
        <v>0</v>
      </c>
    </row>
    <row r="69" spans="1:27" s="76" customFormat="1" ht="14.25" customHeight="1" x14ac:dyDescent="0.25">
      <c r="A69" s="52"/>
      <c r="B69" s="69" t="s">
        <v>116</v>
      </c>
      <c r="C69" s="70" t="s">
        <v>117</v>
      </c>
      <c r="D69" s="70" t="s">
        <v>118</v>
      </c>
      <c r="E69" s="69" t="s">
        <v>259</v>
      </c>
      <c r="F69" s="72">
        <v>45684</v>
      </c>
      <c r="G69" s="72">
        <v>45688</v>
      </c>
      <c r="H69" s="75">
        <v>0.33333333333333331</v>
      </c>
      <c r="I69" s="71"/>
      <c r="J69" s="75"/>
      <c r="K69" s="75"/>
      <c r="L69" s="75"/>
      <c r="M69" s="75"/>
      <c r="N69" s="75"/>
      <c r="O69" s="69"/>
      <c r="P69" s="69"/>
      <c r="Q69" s="14">
        <v>30</v>
      </c>
      <c r="R69" s="14">
        <v>5</v>
      </c>
      <c r="S69" s="14"/>
      <c r="T69" s="73"/>
      <c r="U69" s="14"/>
      <c r="V69" s="14"/>
      <c r="W69" s="14"/>
      <c r="X69" s="69"/>
      <c r="Y69" s="60">
        <f ca="1">Table25[[#This Row],[End Date]]+2-TODAY()</f>
        <v>-317</v>
      </c>
      <c r="Z69" s="14">
        <f>IF(ISBLANK(Table25[[#This Row],[Roster Received By]]),1,0)</f>
        <v>1</v>
      </c>
      <c r="AA69" s="14">
        <f ca="1">IF(Table25[[#This Row],[Start Date]]&gt;TODAY(),1,)</f>
        <v>0</v>
      </c>
    </row>
    <row r="70" spans="1:27" s="76" customFormat="1" ht="14.25" customHeight="1" x14ac:dyDescent="0.25">
      <c r="A70" s="52"/>
      <c r="B70" s="69" t="s">
        <v>116</v>
      </c>
      <c r="C70" s="70" t="s">
        <v>117</v>
      </c>
      <c r="D70" s="70" t="s">
        <v>118</v>
      </c>
      <c r="E70" s="69" t="s">
        <v>259</v>
      </c>
      <c r="F70" s="56">
        <v>45831</v>
      </c>
      <c r="G70" s="56">
        <v>45835</v>
      </c>
      <c r="H70" s="75">
        <v>0.33333333333333331</v>
      </c>
      <c r="I70" s="71"/>
      <c r="J70" s="71"/>
      <c r="K70" s="71"/>
      <c r="L70" s="71"/>
      <c r="M70" s="71"/>
      <c r="N70" s="71"/>
      <c r="O70" s="69"/>
      <c r="P70" s="69"/>
      <c r="Q70" s="14">
        <v>30</v>
      </c>
      <c r="R70" s="14">
        <v>5</v>
      </c>
      <c r="S70" s="14"/>
      <c r="T70" s="73"/>
      <c r="U70" s="14"/>
      <c r="V70" s="14"/>
      <c r="W70" s="14"/>
      <c r="X70" s="69"/>
      <c r="Y70" s="60">
        <f ca="1">Table25[[#This Row],[End Date]]+2-TODAY()</f>
        <v>-170</v>
      </c>
      <c r="Z70" s="14">
        <f>IF(ISBLANK(Table25[[#This Row],[Roster Received By]]),1,0)</f>
        <v>1</v>
      </c>
      <c r="AA70" s="14">
        <f ca="1">IF(Table25[[#This Row],[Start Date]]&gt;TODAY(),1,)</f>
        <v>0</v>
      </c>
    </row>
    <row r="71" spans="1:27" s="76" customFormat="1" ht="14.25" customHeight="1" x14ac:dyDescent="0.25">
      <c r="A71" s="52"/>
      <c r="B71" s="69" t="s">
        <v>116</v>
      </c>
      <c r="C71" s="70" t="s">
        <v>117</v>
      </c>
      <c r="D71" s="70" t="s">
        <v>118</v>
      </c>
      <c r="E71" s="69" t="s">
        <v>162</v>
      </c>
      <c r="F71" s="72">
        <v>45852</v>
      </c>
      <c r="G71" s="72">
        <v>45856</v>
      </c>
      <c r="H71" s="75">
        <v>0.33333333333333331</v>
      </c>
      <c r="I71" s="71"/>
      <c r="J71" s="71"/>
      <c r="K71" s="71"/>
      <c r="L71" s="71"/>
      <c r="M71" s="71"/>
      <c r="N71" s="71"/>
      <c r="O71" s="69"/>
      <c r="P71" s="69"/>
      <c r="Q71" s="14">
        <v>30</v>
      </c>
      <c r="R71" s="14">
        <v>5</v>
      </c>
      <c r="S71" s="14"/>
      <c r="T71" s="73"/>
      <c r="U71" s="14"/>
      <c r="V71" s="14"/>
      <c r="W71" s="14"/>
      <c r="X71" s="69"/>
      <c r="Y71" s="60">
        <f ca="1">Table25[[#This Row],[End Date]]+2-TODAY()</f>
        <v>-149</v>
      </c>
      <c r="Z71" s="14">
        <f>IF(ISBLANK(Table25[[#This Row],[Roster Received By]]),1,0)</f>
        <v>1</v>
      </c>
      <c r="AA71" s="14">
        <f ca="1">IF(Table25[[#This Row],[Start Date]]&gt;TODAY(),1,)</f>
        <v>0</v>
      </c>
    </row>
    <row r="72" spans="1:27" s="76" customFormat="1" ht="14.25" customHeight="1" x14ac:dyDescent="0.25">
      <c r="A72" s="52"/>
      <c r="B72" s="69" t="s">
        <v>116</v>
      </c>
      <c r="C72" s="70" t="s">
        <v>117</v>
      </c>
      <c r="D72" s="70" t="s">
        <v>118</v>
      </c>
      <c r="E72" s="69" t="s">
        <v>260</v>
      </c>
      <c r="F72" s="72">
        <v>45719</v>
      </c>
      <c r="G72" s="72">
        <v>45723</v>
      </c>
      <c r="H72" s="75">
        <v>0.33333333333333331</v>
      </c>
      <c r="I72" s="71"/>
      <c r="J72" s="75"/>
      <c r="K72" s="75"/>
      <c r="L72" s="75"/>
      <c r="M72" s="75"/>
      <c r="N72" s="75"/>
      <c r="O72" s="69"/>
      <c r="P72" s="69"/>
      <c r="Q72" s="14">
        <v>30</v>
      </c>
      <c r="R72" s="14">
        <v>5</v>
      </c>
      <c r="S72" s="14"/>
      <c r="T72" s="73"/>
      <c r="U72" s="14"/>
      <c r="V72" s="14"/>
      <c r="W72" s="73"/>
      <c r="X72" s="69"/>
      <c r="Y72" s="60">
        <f ca="1">Table25[[#This Row],[End Date]]+2-TODAY()</f>
        <v>-282</v>
      </c>
      <c r="Z72" s="14">
        <f>IF(ISBLANK(Table25[[#This Row],[Roster Received By]]),1,0)</f>
        <v>1</v>
      </c>
      <c r="AA72" s="14">
        <f ca="1">IF(Table25[[#This Row],[Start Date]]&gt;TODAY(),1,)</f>
        <v>0</v>
      </c>
    </row>
    <row r="73" spans="1:27" s="76" customFormat="1" ht="14.25" hidden="1" customHeight="1" x14ac:dyDescent="0.25">
      <c r="A73" s="69"/>
      <c r="B73" s="69" t="s">
        <v>181</v>
      </c>
      <c r="C73" s="70" t="s">
        <v>31</v>
      </c>
      <c r="D73" s="70">
        <v>3878</v>
      </c>
      <c r="E73" s="54" t="s">
        <v>229</v>
      </c>
      <c r="F73" s="72">
        <v>45593</v>
      </c>
      <c r="G73" s="72">
        <v>45595</v>
      </c>
      <c r="H73" s="75">
        <v>0.33333333333333331</v>
      </c>
      <c r="I73" s="75"/>
      <c r="J73" s="72"/>
      <c r="K73" s="72"/>
      <c r="L73" s="72"/>
      <c r="M73" s="72"/>
      <c r="N73" s="72"/>
      <c r="O73" s="69"/>
      <c r="P73" s="69"/>
      <c r="Q73" s="14">
        <v>25</v>
      </c>
      <c r="R73" s="14">
        <v>3</v>
      </c>
      <c r="S73" s="14"/>
      <c r="T73" s="73"/>
      <c r="U73" s="14"/>
      <c r="V73" s="14"/>
      <c r="W73" s="14"/>
      <c r="X73" s="69"/>
      <c r="Y73" s="60">
        <f ca="1">Table25[[#This Row],[End Date]]+2-TODAY()</f>
        <v>-410</v>
      </c>
      <c r="Z73" s="14">
        <f>IF(ISBLANK(Table25[[#This Row],[Roster Received By]]),1,0)</f>
        <v>1</v>
      </c>
      <c r="AA73" s="14">
        <f ca="1">IF(Table25[[#This Row],[Start Date]]&gt;TODAY(),1,)</f>
        <v>0</v>
      </c>
    </row>
    <row r="74" spans="1:27" s="76" customFormat="1" ht="14.25" hidden="1" customHeight="1" x14ac:dyDescent="0.25">
      <c r="A74" s="52"/>
      <c r="B74" s="69" t="s">
        <v>32</v>
      </c>
      <c r="C74" s="70" t="s">
        <v>33</v>
      </c>
      <c r="D74" s="70">
        <v>3879</v>
      </c>
      <c r="E74" s="69" t="s">
        <v>229</v>
      </c>
      <c r="F74" s="72">
        <v>45581</v>
      </c>
      <c r="G74" s="72">
        <v>45581</v>
      </c>
      <c r="H74" s="75">
        <v>0.33333333333333331</v>
      </c>
      <c r="I74" s="71"/>
      <c r="J74" s="71"/>
      <c r="K74" s="71"/>
      <c r="L74" s="71"/>
      <c r="M74" s="71"/>
      <c r="N74" s="71"/>
      <c r="O74" s="69"/>
      <c r="P74" s="69"/>
      <c r="Q74" s="14">
        <v>30</v>
      </c>
      <c r="R74" s="14">
        <v>1</v>
      </c>
      <c r="S74" s="14"/>
      <c r="T74" s="73"/>
      <c r="U74" s="14"/>
      <c r="V74" s="14"/>
      <c r="W74" s="14"/>
      <c r="X74" s="69"/>
      <c r="Y74" s="60">
        <f ca="1">Table25[[#This Row],[End Date]]+2-TODAY()</f>
        <v>-424</v>
      </c>
      <c r="Z74" s="14">
        <f>IF(ISBLANK(Table25[[#This Row],[Roster Received By]]),1,0)</f>
        <v>1</v>
      </c>
      <c r="AA74" s="14">
        <f ca="1">IF(Table25[[#This Row],[Start Date]]&gt;TODAY(),1,)</f>
        <v>0</v>
      </c>
    </row>
    <row r="75" spans="1:27" s="76" customFormat="1" ht="14.25" hidden="1" customHeight="1" x14ac:dyDescent="0.25">
      <c r="A75" s="52"/>
      <c r="B75" s="69" t="s">
        <v>261</v>
      </c>
      <c r="C75" s="70" t="s">
        <v>35</v>
      </c>
      <c r="D75" s="70">
        <v>3882</v>
      </c>
      <c r="E75" s="69" t="s">
        <v>229</v>
      </c>
      <c r="F75" s="72">
        <v>45596</v>
      </c>
      <c r="G75" s="72">
        <v>45597</v>
      </c>
      <c r="H75" s="75">
        <v>0.33333333333333331</v>
      </c>
      <c r="I75" s="75"/>
      <c r="J75" s="72"/>
      <c r="K75" s="72"/>
      <c r="L75" s="72"/>
      <c r="M75" s="72"/>
      <c r="N75" s="72"/>
      <c r="O75" s="69"/>
      <c r="P75" s="69"/>
      <c r="Q75" s="14">
        <v>25</v>
      </c>
      <c r="R75" s="14">
        <v>2</v>
      </c>
      <c r="S75" s="14"/>
      <c r="T75" s="73"/>
      <c r="U75" s="14"/>
      <c r="V75" s="14"/>
      <c r="W75" s="70"/>
      <c r="X75" s="69"/>
      <c r="Y75" s="60">
        <f ca="1">Table25[[#This Row],[End Date]]+2-TODAY()</f>
        <v>-408</v>
      </c>
      <c r="Z75" s="14">
        <f>IF(ISBLANK(Table25[[#This Row],[Roster Received By]]),1,0)</f>
        <v>1</v>
      </c>
      <c r="AA75" s="14">
        <f ca="1">IF(Table25[[#This Row],[Start Date]]&gt;TODAY(),1,)</f>
        <v>0</v>
      </c>
    </row>
    <row r="76" spans="1:27" s="76" customFormat="1" hidden="1" x14ac:dyDescent="0.25">
      <c r="A76" s="52"/>
      <c r="B76" s="69" t="s">
        <v>36</v>
      </c>
      <c r="C76" s="70" t="s">
        <v>37</v>
      </c>
      <c r="D76" s="70">
        <v>3888</v>
      </c>
      <c r="E76" s="69" t="s">
        <v>229</v>
      </c>
      <c r="F76" s="72">
        <v>45581</v>
      </c>
      <c r="G76" s="72">
        <v>45581</v>
      </c>
      <c r="H76" s="71">
        <v>0.5</v>
      </c>
      <c r="I76" s="75"/>
      <c r="J76" s="72"/>
      <c r="K76" s="72"/>
      <c r="L76" s="72"/>
      <c r="M76" s="72"/>
      <c r="N76" s="72"/>
      <c r="O76" s="69"/>
      <c r="P76" s="69"/>
      <c r="Q76" s="73">
        <v>30</v>
      </c>
      <c r="R76" s="74">
        <v>1</v>
      </c>
      <c r="S76" s="73"/>
      <c r="T76" s="73"/>
      <c r="U76" s="14"/>
      <c r="V76" s="14"/>
      <c r="W76" s="14"/>
      <c r="X76" s="69"/>
      <c r="Y76" s="60">
        <f ca="1">Table25[[#This Row],[End Date]]+2-TODAY()</f>
        <v>-424</v>
      </c>
      <c r="Z76" s="14">
        <f>IF(ISBLANK(Table25[[#This Row],[Roster Received By]]),1,0)</f>
        <v>1</v>
      </c>
      <c r="AA76" s="14">
        <f ca="1">IF(Table25[[#This Row],[Start Date]]&gt;TODAY(),1,)</f>
        <v>0</v>
      </c>
    </row>
    <row r="77" spans="1:27" s="76" customFormat="1" hidden="1" x14ac:dyDescent="0.25">
      <c r="A77" s="52"/>
      <c r="B77" s="69" t="s">
        <v>38</v>
      </c>
      <c r="C77" s="70" t="s">
        <v>39</v>
      </c>
      <c r="D77" s="70" t="s">
        <v>40</v>
      </c>
      <c r="E77" s="69" t="s">
        <v>229</v>
      </c>
      <c r="F77" s="72">
        <v>45586</v>
      </c>
      <c r="G77" s="72">
        <v>45590</v>
      </c>
      <c r="H77" s="75">
        <v>0.33333333333333331</v>
      </c>
      <c r="I77" s="71"/>
      <c r="J77" s="71"/>
      <c r="K77" s="71"/>
      <c r="L77" s="71"/>
      <c r="M77" s="71"/>
      <c r="N77" s="71"/>
      <c r="O77" s="69"/>
      <c r="P77" s="69"/>
      <c r="Q77" s="14">
        <v>25</v>
      </c>
      <c r="R77" s="14">
        <v>5</v>
      </c>
      <c r="S77" s="14"/>
      <c r="T77" s="73"/>
      <c r="U77" s="14"/>
      <c r="V77" s="14"/>
      <c r="W77" s="14"/>
      <c r="X77" s="69"/>
      <c r="Y77" s="60">
        <f ca="1">Table25[[#This Row],[End Date]]+2-TODAY()</f>
        <v>-415</v>
      </c>
      <c r="Z77" s="14">
        <f>IF(ISBLANK(Table25[[#This Row],[Roster Received By]]),1,0)</f>
        <v>1</v>
      </c>
      <c r="AA77" s="14">
        <f ca="1">IF(Table25[[#This Row],[Start Date]]&gt;TODAY(),1,)</f>
        <v>0</v>
      </c>
    </row>
    <row r="78" spans="1:27" s="76" customFormat="1" ht="14.25" hidden="1" customHeight="1" x14ac:dyDescent="0.25">
      <c r="A78" s="69"/>
      <c r="B78" s="69" t="s">
        <v>41</v>
      </c>
      <c r="C78" s="70" t="s">
        <v>42</v>
      </c>
      <c r="D78" s="70" t="s">
        <v>43</v>
      </c>
      <c r="E78" s="69" t="s">
        <v>229</v>
      </c>
      <c r="F78" s="72">
        <v>45580</v>
      </c>
      <c r="G78" s="72">
        <v>45580</v>
      </c>
      <c r="H78" s="75">
        <v>0.33333333333333331</v>
      </c>
      <c r="I78" s="75"/>
      <c r="J78" s="72"/>
      <c r="K78" s="72"/>
      <c r="L78" s="72"/>
      <c r="M78" s="72"/>
      <c r="N78" s="72"/>
      <c r="O78" s="69"/>
      <c r="P78" s="69"/>
      <c r="Q78" s="14">
        <v>30</v>
      </c>
      <c r="R78" s="14">
        <v>1</v>
      </c>
      <c r="S78" s="14"/>
      <c r="T78" s="73"/>
      <c r="U78" s="14"/>
      <c r="V78" s="14"/>
      <c r="W78" s="14"/>
      <c r="X78" s="69"/>
      <c r="Y78" s="60">
        <f ca="1">Table25[[#This Row],[End Date]]+2-TODAY()</f>
        <v>-425</v>
      </c>
      <c r="Z78" s="14">
        <f>IF(ISBLANK(Table25[[#This Row],[Roster Received By]]),1,0)</f>
        <v>1</v>
      </c>
      <c r="AA78" s="14">
        <f ca="1">IF(Table25[[#This Row],[Start Date]]&gt;TODAY(),1,)</f>
        <v>0</v>
      </c>
    </row>
    <row r="79" spans="1:27" s="76" customFormat="1" ht="14.25" hidden="1" customHeight="1" x14ac:dyDescent="0.25">
      <c r="A79" s="52"/>
      <c r="B79" s="69" t="s">
        <v>92</v>
      </c>
      <c r="C79" s="70" t="s">
        <v>93</v>
      </c>
      <c r="D79" s="70">
        <v>5891</v>
      </c>
      <c r="E79" s="69" t="s">
        <v>229</v>
      </c>
      <c r="F79" s="72">
        <v>45782</v>
      </c>
      <c r="G79" s="72">
        <v>45784</v>
      </c>
      <c r="H79" s="75">
        <v>0.33333333333333331</v>
      </c>
      <c r="I79" s="71"/>
      <c r="J79" s="71"/>
      <c r="K79" s="71"/>
      <c r="L79" s="71"/>
      <c r="M79" s="71"/>
      <c r="N79" s="71"/>
      <c r="O79" s="69"/>
      <c r="P79" s="69"/>
      <c r="Q79" s="14">
        <v>25</v>
      </c>
      <c r="R79" s="14">
        <v>3</v>
      </c>
      <c r="S79" s="14"/>
      <c r="T79" s="73"/>
      <c r="U79" s="14"/>
      <c r="V79" s="14"/>
      <c r="W79" s="14"/>
      <c r="X79" s="69"/>
      <c r="Y79" s="60">
        <f ca="1">Table25[[#This Row],[End Date]]+2-TODAY()</f>
        <v>-221</v>
      </c>
      <c r="Z79" s="14">
        <f>IF(ISBLANK(Table25[[#This Row],[Roster Received By]]),1,0)</f>
        <v>1</v>
      </c>
      <c r="AA79" s="14">
        <f ca="1">IF(Table25[[#This Row],[Start Date]]&gt;TODAY(),1,)</f>
        <v>0</v>
      </c>
    </row>
    <row r="80" spans="1:27" s="76" customFormat="1" ht="14.25" hidden="1" customHeight="1" x14ac:dyDescent="0.25">
      <c r="A80" s="52"/>
      <c r="B80" s="69" t="s">
        <v>92</v>
      </c>
      <c r="C80" s="70" t="s">
        <v>93</v>
      </c>
      <c r="D80" s="70">
        <v>5891</v>
      </c>
      <c r="E80" s="69" t="s">
        <v>229</v>
      </c>
      <c r="F80" s="72">
        <v>45824</v>
      </c>
      <c r="G80" s="72">
        <v>45826</v>
      </c>
      <c r="H80" s="75">
        <v>0.33333333333333331</v>
      </c>
      <c r="I80" s="78"/>
      <c r="J80" s="72"/>
      <c r="K80" s="72"/>
      <c r="L80" s="72"/>
      <c r="M80" s="72"/>
      <c r="N80" s="72"/>
      <c r="O80" s="69"/>
      <c r="P80" s="69"/>
      <c r="Q80" s="14">
        <v>25</v>
      </c>
      <c r="R80" s="14">
        <v>3</v>
      </c>
      <c r="S80" s="14"/>
      <c r="T80" s="73"/>
      <c r="U80" s="14"/>
      <c r="V80" s="14"/>
      <c r="W80" s="14"/>
      <c r="X80" s="69"/>
      <c r="Y80" s="60">
        <f ca="1">Table25[[#This Row],[End Date]]+2-TODAY()</f>
        <v>-179</v>
      </c>
      <c r="Z80" s="14">
        <f>IF(ISBLANK(Table25[[#This Row],[Roster Received By]]),1,0)</f>
        <v>1</v>
      </c>
      <c r="AA80" s="14">
        <f ca="1">IF(Table25[[#This Row],[Start Date]]&gt;TODAY(),1,)</f>
        <v>0</v>
      </c>
    </row>
    <row r="81" spans="1:27" s="76" customFormat="1" ht="14.25" hidden="1" customHeight="1" x14ac:dyDescent="0.25">
      <c r="A81" s="52"/>
      <c r="B81" s="69" t="s">
        <v>92</v>
      </c>
      <c r="C81" s="70" t="s">
        <v>93</v>
      </c>
      <c r="D81" s="70">
        <v>5891</v>
      </c>
      <c r="E81" s="69" t="s">
        <v>229</v>
      </c>
      <c r="F81" s="72">
        <v>45908</v>
      </c>
      <c r="G81" s="72" t="s">
        <v>262</v>
      </c>
      <c r="H81" s="75">
        <v>0.33333333333333331</v>
      </c>
      <c r="I81" s="75"/>
      <c r="J81" s="75"/>
      <c r="K81" s="75"/>
      <c r="L81" s="75"/>
      <c r="M81" s="75"/>
      <c r="N81" s="72"/>
      <c r="O81" s="69"/>
      <c r="P81" s="69"/>
      <c r="Q81" s="14">
        <v>25</v>
      </c>
      <c r="R81" s="14">
        <v>3</v>
      </c>
      <c r="S81" s="14"/>
      <c r="T81" s="73"/>
      <c r="U81" s="14"/>
      <c r="V81" s="14"/>
      <c r="W81" s="14"/>
      <c r="X81" s="69"/>
      <c r="Y81" s="60" t="e">
        <f ca="1">Table25[[#This Row],[End Date]]+2-TODAY()</f>
        <v>#VALUE!</v>
      </c>
      <c r="Z81" s="14">
        <f>IF(ISBLANK(Table25[[#This Row],[Roster Received By]]),1,0)</f>
        <v>1</v>
      </c>
      <c r="AA81" s="14">
        <f ca="1">IF(Table25[[#This Row],[Start Date]]&gt;TODAY(),1,)</f>
        <v>0</v>
      </c>
    </row>
    <row r="82" spans="1:27" s="109" customFormat="1" ht="14.25" customHeight="1" x14ac:dyDescent="0.25">
      <c r="A82" s="52"/>
      <c r="B82" s="69" t="s">
        <v>116</v>
      </c>
      <c r="C82" s="70" t="s">
        <v>117</v>
      </c>
      <c r="D82" s="70" t="s">
        <v>118</v>
      </c>
      <c r="E82" s="54" t="s">
        <v>229</v>
      </c>
      <c r="F82" s="72">
        <v>45565</v>
      </c>
      <c r="G82" s="72">
        <v>45569</v>
      </c>
      <c r="H82" s="78">
        <v>0.33333333333333331</v>
      </c>
      <c r="I82" s="78"/>
      <c r="J82" s="72"/>
      <c r="K82" s="72"/>
      <c r="L82" s="72"/>
      <c r="M82" s="72"/>
      <c r="N82" s="72"/>
      <c r="O82" s="69"/>
      <c r="P82" s="69"/>
      <c r="Q82" s="14">
        <v>30</v>
      </c>
      <c r="R82" s="14">
        <v>5</v>
      </c>
      <c r="S82" s="14"/>
      <c r="T82" s="73"/>
      <c r="U82" s="14"/>
      <c r="V82" s="14"/>
      <c r="W82" s="14"/>
      <c r="X82" s="69"/>
      <c r="Y82" s="60">
        <f ca="1">Table25[[#This Row],[End Date]]+2-TODAY()</f>
        <v>-436</v>
      </c>
      <c r="Z82" s="14">
        <f>IF(ISBLANK(Table25[[#This Row],[Roster Received By]]),1,0)</f>
        <v>1</v>
      </c>
      <c r="AA82" s="14">
        <f ca="1">IF(Table25[[#This Row],[Start Date]]&gt;TODAY(),1,)</f>
        <v>0</v>
      </c>
    </row>
    <row r="83" spans="1:27" s="76" customFormat="1" ht="14.25" customHeight="1" x14ac:dyDescent="0.25">
      <c r="A83" s="52"/>
      <c r="B83" s="107" t="s">
        <v>116</v>
      </c>
      <c r="C83" s="70" t="s">
        <v>117</v>
      </c>
      <c r="D83" s="70" t="s">
        <v>118</v>
      </c>
      <c r="E83" s="69" t="s">
        <v>229</v>
      </c>
      <c r="F83" s="72">
        <v>45593</v>
      </c>
      <c r="G83" s="72">
        <v>45597</v>
      </c>
      <c r="H83" s="75">
        <v>0.33333333333333331</v>
      </c>
      <c r="I83" s="71"/>
      <c r="J83" s="75"/>
      <c r="K83" s="75"/>
      <c r="L83" s="75"/>
      <c r="M83" s="75"/>
      <c r="N83" s="75"/>
      <c r="O83" s="69"/>
      <c r="P83" s="69"/>
      <c r="Q83" s="14">
        <v>30</v>
      </c>
      <c r="R83" s="14">
        <v>5</v>
      </c>
      <c r="S83" s="14"/>
      <c r="T83" s="73"/>
      <c r="U83" s="14"/>
      <c r="V83" s="14"/>
      <c r="W83" s="14"/>
      <c r="X83" s="69"/>
      <c r="Y83" s="60">
        <f ca="1">Table25[[#This Row],[End Date]]+2-TODAY()</f>
        <v>-408</v>
      </c>
      <c r="Z83" s="14">
        <f>IF(ISBLANK(Table25[[#This Row],[Roster Received By]]),1,0)</f>
        <v>1</v>
      </c>
      <c r="AA83" s="14">
        <f ca="1">IF(Table25[[#This Row],[Start Date]]&gt;TODAY(),1,)</f>
        <v>0</v>
      </c>
    </row>
    <row r="84" spans="1:27" s="76" customFormat="1" ht="14.25" customHeight="1" x14ac:dyDescent="0.25">
      <c r="A84" s="52"/>
      <c r="B84" s="69" t="s">
        <v>116</v>
      </c>
      <c r="C84" s="70" t="s">
        <v>117</v>
      </c>
      <c r="D84" s="70" t="s">
        <v>118</v>
      </c>
      <c r="E84" s="54" t="s">
        <v>229</v>
      </c>
      <c r="F84" s="72">
        <v>45614</v>
      </c>
      <c r="G84" s="72">
        <v>45618</v>
      </c>
      <c r="H84" s="75">
        <v>0.33333333333333331</v>
      </c>
      <c r="I84" s="75"/>
      <c r="J84" s="72"/>
      <c r="K84" s="72"/>
      <c r="L84" s="72"/>
      <c r="M84" s="72"/>
      <c r="N84" s="72"/>
      <c r="O84" s="69"/>
      <c r="P84" s="69"/>
      <c r="Q84" s="14">
        <v>30</v>
      </c>
      <c r="R84" s="14">
        <v>5</v>
      </c>
      <c r="S84" s="14"/>
      <c r="T84" s="73"/>
      <c r="U84" s="14"/>
      <c r="V84" s="14"/>
      <c r="W84" s="14"/>
      <c r="X84" s="69"/>
      <c r="Y84" s="60">
        <f ca="1">Table25[[#This Row],[End Date]]+2-TODAY()</f>
        <v>-387</v>
      </c>
      <c r="Z84" s="14">
        <f>IF(ISBLANK(Table25[[#This Row],[Roster Received By]]),1,0)</f>
        <v>1</v>
      </c>
      <c r="AA84" s="14">
        <f ca="1">IF(Table25[[#This Row],[Start Date]]&gt;TODAY(),1,)</f>
        <v>0</v>
      </c>
    </row>
    <row r="85" spans="1:27" s="76" customFormat="1" ht="14.25" customHeight="1" x14ac:dyDescent="0.25">
      <c r="A85" s="54"/>
      <c r="B85" s="69" t="s">
        <v>116</v>
      </c>
      <c r="C85" s="70" t="s">
        <v>117</v>
      </c>
      <c r="D85" s="70" t="s">
        <v>118</v>
      </c>
      <c r="E85" s="69" t="s">
        <v>229</v>
      </c>
      <c r="F85" s="72">
        <v>45754</v>
      </c>
      <c r="G85" s="72">
        <v>45758</v>
      </c>
      <c r="H85" s="75">
        <v>0.33333333333333331</v>
      </c>
      <c r="I85" s="75"/>
      <c r="J85" s="75"/>
      <c r="K85" s="75"/>
      <c r="L85" s="75"/>
      <c r="M85" s="75"/>
      <c r="N85" s="75"/>
      <c r="O85" s="69"/>
      <c r="P85" s="69"/>
      <c r="Q85" s="14">
        <v>30</v>
      </c>
      <c r="R85" s="14">
        <v>5</v>
      </c>
      <c r="S85" s="73"/>
      <c r="T85" s="73"/>
      <c r="U85" s="14"/>
      <c r="V85" s="14"/>
      <c r="W85" s="70"/>
      <c r="X85" s="69"/>
      <c r="Y85" s="60">
        <f ca="1">Table25[[#This Row],[End Date]]+2-TODAY()</f>
        <v>-247</v>
      </c>
      <c r="Z85" s="14">
        <f>IF(ISBLANK(Table25[[#This Row],[Roster Received By]]),1,0)</f>
        <v>1</v>
      </c>
      <c r="AA85" s="14">
        <f ca="1">IF(Table25[[#This Row],[Start Date]]&gt;TODAY(),1,)</f>
        <v>0</v>
      </c>
    </row>
    <row r="86" spans="1:27" s="76" customFormat="1" ht="14.25" customHeight="1" x14ac:dyDescent="0.25">
      <c r="A86" s="69"/>
      <c r="B86" s="69" t="s">
        <v>116</v>
      </c>
      <c r="C86" s="70" t="s">
        <v>117</v>
      </c>
      <c r="D86" s="70" t="s">
        <v>118</v>
      </c>
      <c r="E86" s="69" t="s">
        <v>229</v>
      </c>
      <c r="F86" s="72">
        <v>45775</v>
      </c>
      <c r="G86" s="72">
        <v>45779</v>
      </c>
      <c r="H86" s="75">
        <v>0.33333333333333331</v>
      </c>
      <c r="I86" s="71"/>
      <c r="J86" s="75"/>
      <c r="K86" s="75"/>
      <c r="L86" s="75"/>
      <c r="M86" s="75"/>
      <c r="N86" s="75"/>
      <c r="O86" s="69"/>
      <c r="P86" s="69"/>
      <c r="Q86" s="14">
        <v>30</v>
      </c>
      <c r="R86" s="14">
        <v>5</v>
      </c>
      <c r="S86" s="73"/>
      <c r="T86" s="73"/>
      <c r="U86" s="14"/>
      <c r="V86" s="14"/>
      <c r="W86" s="73"/>
      <c r="X86" s="69"/>
      <c r="Y86" s="60">
        <f ca="1">Table25[[#This Row],[End Date]]+2-TODAY()</f>
        <v>-226</v>
      </c>
      <c r="Z86" s="14">
        <f>IF(ISBLANK(Table25[[#This Row],[Roster Received By]]),1,0)</f>
        <v>1</v>
      </c>
      <c r="AA86" s="14">
        <f ca="1">IF(Table25[[#This Row],[Start Date]]&gt;TODAY(),1,)</f>
        <v>0</v>
      </c>
    </row>
    <row r="87" spans="1:27" s="105" customFormat="1" ht="14.25" customHeight="1" x14ac:dyDescent="0.25">
      <c r="A87" s="52"/>
      <c r="B87" s="69" t="s">
        <v>116</v>
      </c>
      <c r="C87" s="70" t="s">
        <v>117</v>
      </c>
      <c r="D87" s="70" t="s">
        <v>118</v>
      </c>
      <c r="E87" s="69" t="s">
        <v>229</v>
      </c>
      <c r="F87" s="56">
        <v>45873</v>
      </c>
      <c r="G87" s="56">
        <v>45877</v>
      </c>
      <c r="H87" s="75">
        <v>0.33333333333333331</v>
      </c>
      <c r="I87" s="71"/>
      <c r="J87" s="71"/>
      <c r="K87" s="71"/>
      <c r="L87" s="71"/>
      <c r="M87" s="71"/>
      <c r="N87" s="71"/>
      <c r="O87" s="69"/>
      <c r="P87" s="69"/>
      <c r="Q87" s="14">
        <v>30</v>
      </c>
      <c r="R87" s="14">
        <v>5</v>
      </c>
      <c r="S87" s="14"/>
      <c r="T87" s="73"/>
      <c r="U87" s="14"/>
      <c r="V87" s="14"/>
      <c r="W87" s="14"/>
      <c r="X87" s="69"/>
      <c r="Y87" s="60">
        <f ca="1">Table25[[#This Row],[End Date]]+2-TODAY()</f>
        <v>-128</v>
      </c>
      <c r="Z87" s="14">
        <f>IF(ISBLANK(Table25[[#This Row],[Roster Received By]]),1,0)</f>
        <v>1</v>
      </c>
      <c r="AA87" s="14">
        <f ca="1">IF(Table25[[#This Row],[Start Date]]&gt;TODAY(),1,)</f>
        <v>0</v>
      </c>
    </row>
    <row r="88" spans="1:27" s="76" customFormat="1" ht="14.25" hidden="1" customHeight="1" x14ac:dyDescent="0.25">
      <c r="A88" s="52"/>
      <c r="B88" s="69" t="s">
        <v>181</v>
      </c>
      <c r="C88" s="70" t="s">
        <v>31</v>
      </c>
      <c r="D88" s="70">
        <v>3878</v>
      </c>
      <c r="E88" s="54" t="s">
        <v>263</v>
      </c>
      <c r="F88" s="72">
        <v>45852</v>
      </c>
      <c r="G88" s="72">
        <v>45854</v>
      </c>
      <c r="H88" s="75">
        <v>0.33333333333333331</v>
      </c>
      <c r="I88" s="75"/>
      <c r="J88" s="72"/>
      <c r="K88" s="72"/>
      <c r="L88" s="72"/>
      <c r="M88" s="72"/>
      <c r="N88" s="72"/>
      <c r="O88" s="69"/>
      <c r="P88" s="69"/>
      <c r="Q88" s="73">
        <v>25</v>
      </c>
      <c r="R88" s="74">
        <v>3</v>
      </c>
      <c r="S88" s="73"/>
      <c r="T88" s="73"/>
      <c r="U88" s="14"/>
      <c r="V88" s="14"/>
      <c r="W88" s="70"/>
      <c r="X88" s="69"/>
      <c r="Y88" s="60">
        <f ca="1">Table25[[#This Row],[End Date]]+2-TODAY()</f>
        <v>-151</v>
      </c>
      <c r="Z88" s="14">
        <f>IF(ISBLANK(Table25[[#This Row],[Roster Received By]]),1,0)</f>
        <v>1</v>
      </c>
      <c r="AA88" s="14">
        <f ca="1">IF(Table25[[#This Row],[Start Date]]&gt;TODAY(),1,)</f>
        <v>0</v>
      </c>
    </row>
    <row r="89" spans="1:27" s="76" customFormat="1" ht="14.25" hidden="1" customHeight="1" x14ac:dyDescent="0.25">
      <c r="A89" s="52"/>
      <c r="B89" s="69" t="s">
        <v>32</v>
      </c>
      <c r="C89" s="70" t="s">
        <v>33</v>
      </c>
      <c r="D89" s="70">
        <v>3879</v>
      </c>
      <c r="E89" s="69" t="s">
        <v>263</v>
      </c>
      <c r="F89" s="72">
        <v>45860</v>
      </c>
      <c r="G89" s="72">
        <v>45860</v>
      </c>
      <c r="H89" s="75">
        <v>0.33333333333333331</v>
      </c>
      <c r="I89" s="75"/>
      <c r="J89" s="72"/>
      <c r="K89" s="72"/>
      <c r="L89" s="72"/>
      <c r="M89" s="72"/>
      <c r="N89" s="72"/>
      <c r="O89" s="69"/>
      <c r="P89" s="69"/>
      <c r="Q89" s="73">
        <v>30</v>
      </c>
      <c r="R89" s="74">
        <v>1</v>
      </c>
      <c r="S89" s="73"/>
      <c r="T89" s="73"/>
      <c r="U89" s="14"/>
      <c r="V89" s="14"/>
      <c r="W89" s="70"/>
      <c r="X89" s="69"/>
      <c r="Y89" s="60">
        <f ca="1">Table25[[#This Row],[End Date]]+2-TODAY()</f>
        <v>-145</v>
      </c>
      <c r="Z89" s="14">
        <f>IF(ISBLANK(Table25[[#This Row],[Roster Received By]]),1,0)</f>
        <v>1</v>
      </c>
      <c r="AA89" s="14">
        <f ca="1">IF(Table25[[#This Row],[Start Date]]&gt;TODAY(),1,)</f>
        <v>0</v>
      </c>
    </row>
    <row r="90" spans="1:27" s="76" customFormat="1" ht="14.25" hidden="1" customHeight="1" x14ac:dyDescent="0.25">
      <c r="A90" s="52"/>
      <c r="B90" s="69" t="s">
        <v>261</v>
      </c>
      <c r="C90" s="70" t="s">
        <v>35</v>
      </c>
      <c r="D90" s="70">
        <v>3882</v>
      </c>
      <c r="E90" s="69" t="s">
        <v>263</v>
      </c>
      <c r="F90" s="72">
        <v>45855</v>
      </c>
      <c r="G90" s="72">
        <v>45856</v>
      </c>
      <c r="H90" s="75">
        <v>0.33333333333333331</v>
      </c>
      <c r="I90" s="75"/>
      <c r="J90" s="72"/>
      <c r="K90" s="72"/>
      <c r="L90" s="72"/>
      <c r="M90" s="72"/>
      <c r="N90" s="72"/>
      <c r="O90" s="69"/>
      <c r="P90" s="69"/>
      <c r="Q90" s="73">
        <v>25</v>
      </c>
      <c r="R90" s="74">
        <v>2</v>
      </c>
      <c r="S90" s="73"/>
      <c r="T90" s="73"/>
      <c r="U90" s="14"/>
      <c r="V90" s="14"/>
      <c r="W90" s="70"/>
      <c r="X90" s="69"/>
      <c r="Y90" s="60">
        <f ca="1">Table25[[#This Row],[End Date]]+2-TODAY()</f>
        <v>-149</v>
      </c>
      <c r="Z90" s="14">
        <f>IF(ISBLANK(Table25[[#This Row],[Roster Received By]]),1,0)</f>
        <v>1</v>
      </c>
      <c r="AA90" s="14">
        <f ca="1">IF(Table25[[#This Row],[Start Date]]&gt;TODAY(),1,)</f>
        <v>0</v>
      </c>
    </row>
    <row r="91" spans="1:27" s="76" customFormat="1" ht="14.25" hidden="1" customHeight="1" x14ac:dyDescent="0.25">
      <c r="A91" s="52"/>
      <c r="B91" s="69" t="s">
        <v>36</v>
      </c>
      <c r="C91" s="70" t="s">
        <v>37</v>
      </c>
      <c r="D91" s="70">
        <v>3888</v>
      </c>
      <c r="E91" s="69" t="s">
        <v>263</v>
      </c>
      <c r="F91" s="72">
        <v>45860</v>
      </c>
      <c r="G91" s="72">
        <v>45860</v>
      </c>
      <c r="H91" s="71">
        <v>0.5</v>
      </c>
      <c r="I91" s="75"/>
      <c r="J91" s="72"/>
      <c r="K91" s="72"/>
      <c r="L91" s="72"/>
      <c r="M91" s="72"/>
      <c r="N91" s="72"/>
      <c r="O91" s="69"/>
      <c r="P91" s="69"/>
      <c r="Q91" s="73">
        <v>30</v>
      </c>
      <c r="R91" s="74">
        <v>1</v>
      </c>
      <c r="S91" s="73"/>
      <c r="T91" s="73"/>
      <c r="U91" s="14"/>
      <c r="V91" s="14"/>
      <c r="W91" s="70"/>
      <c r="X91" s="69"/>
      <c r="Y91" s="60">
        <f ca="1">Table25[[#This Row],[End Date]]+2-TODAY()</f>
        <v>-145</v>
      </c>
      <c r="Z91" s="14">
        <f>IF(ISBLANK(Table25[[#This Row],[Roster Received By]]),1,0)</f>
        <v>1</v>
      </c>
      <c r="AA91" s="14">
        <f ca="1">IF(Table25[[#This Row],[Start Date]]&gt;TODAY(),1,)</f>
        <v>0</v>
      </c>
    </row>
    <row r="92" spans="1:27" s="76" customFormat="1" ht="14.25" hidden="1" customHeight="1" x14ac:dyDescent="0.25">
      <c r="A92" s="52"/>
      <c r="B92" s="69" t="s">
        <v>38</v>
      </c>
      <c r="C92" s="70" t="s">
        <v>39</v>
      </c>
      <c r="D92" s="70" t="s">
        <v>40</v>
      </c>
      <c r="E92" s="69" t="s">
        <v>263</v>
      </c>
      <c r="F92" s="72">
        <v>45845</v>
      </c>
      <c r="G92" s="72">
        <v>45849</v>
      </c>
      <c r="H92" s="75">
        <v>0.33333333333333331</v>
      </c>
      <c r="I92" s="75"/>
      <c r="J92" s="72"/>
      <c r="K92" s="72"/>
      <c r="L92" s="72"/>
      <c r="M92" s="72"/>
      <c r="N92" s="72"/>
      <c r="O92" s="69"/>
      <c r="P92" s="69"/>
      <c r="Q92" s="73">
        <v>25</v>
      </c>
      <c r="R92" s="74">
        <v>5</v>
      </c>
      <c r="S92" s="73"/>
      <c r="T92" s="73"/>
      <c r="U92" s="14"/>
      <c r="V92" s="14"/>
      <c r="W92" s="70"/>
      <c r="X92" s="69"/>
      <c r="Y92" s="60">
        <f ca="1">Table25[[#This Row],[End Date]]+2-TODAY()</f>
        <v>-156</v>
      </c>
      <c r="Z92" s="14">
        <f>IF(ISBLANK(Table25[[#This Row],[Roster Received By]]),1,0)</f>
        <v>1</v>
      </c>
      <c r="AA92" s="14">
        <f ca="1">IF(Table25[[#This Row],[Start Date]]&gt;TODAY(),1,)</f>
        <v>0</v>
      </c>
    </row>
    <row r="93" spans="1:27" s="76" customFormat="1" ht="14.25" hidden="1" customHeight="1" x14ac:dyDescent="0.25">
      <c r="A93" s="52"/>
      <c r="B93" s="69" t="s">
        <v>41</v>
      </c>
      <c r="C93" s="70" t="s">
        <v>42</v>
      </c>
      <c r="D93" s="70" t="s">
        <v>43</v>
      </c>
      <c r="E93" s="69" t="s">
        <v>263</v>
      </c>
      <c r="F93" s="72">
        <v>45859</v>
      </c>
      <c r="G93" s="72">
        <v>45859</v>
      </c>
      <c r="H93" s="75">
        <v>0.33333333333333331</v>
      </c>
      <c r="I93" s="75"/>
      <c r="J93" s="72"/>
      <c r="K93" s="72"/>
      <c r="L93" s="72"/>
      <c r="M93" s="72"/>
      <c r="N93" s="72"/>
      <c r="O93" s="69"/>
      <c r="P93" s="69"/>
      <c r="Q93" s="73">
        <v>30</v>
      </c>
      <c r="R93" s="74">
        <v>1</v>
      </c>
      <c r="S93" s="73"/>
      <c r="T93" s="73"/>
      <c r="U93" s="14"/>
      <c r="V93" s="14"/>
      <c r="W93" s="70"/>
      <c r="X93" s="69"/>
      <c r="Y93" s="60">
        <f ca="1">Table25[[#This Row],[End Date]]+2-TODAY()</f>
        <v>-146</v>
      </c>
      <c r="Z93" s="14">
        <f>IF(ISBLANK(Table25[[#This Row],[Roster Received By]]),1,0)</f>
        <v>1</v>
      </c>
      <c r="AA93" s="14">
        <f ca="1">IF(Table25[[#This Row],[Start Date]]&gt;TODAY(),1,)</f>
        <v>0</v>
      </c>
    </row>
    <row r="94" spans="1:27" s="76" customFormat="1" ht="14.25" hidden="1" customHeight="1" x14ac:dyDescent="0.25">
      <c r="A94" s="52"/>
      <c r="B94" s="69" t="s">
        <v>92</v>
      </c>
      <c r="C94" s="70" t="s">
        <v>93</v>
      </c>
      <c r="D94" s="70">
        <v>5891</v>
      </c>
      <c r="E94" s="69" t="s">
        <v>263</v>
      </c>
      <c r="F94" s="72">
        <v>45861</v>
      </c>
      <c r="G94" s="72">
        <v>45863</v>
      </c>
      <c r="H94" s="75">
        <v>0.33333333333333331</v>
      </c>
      <c r="I94" s="75"/>
      <c r="J94" s="72"/>
      <c r="K94" s="72"/>
      <c r="L94" s="72"/>
      <c r="M94" s="72"/>
      <c r="N94" s="72"/>
      <c r="O94" s="69"/>
      <c r="P94" s="69"/>
      <c r="Q94" s="14">
        <v>25</v>
      </c>
      <c r="R94" s="14">
        <v>3</v>
      </c>
      <c r="S94" s="14"/>
      <c r="T94" s="73"/>
      <c r="U94" s="14"/>
      <c r="V94" s="14"/>
      <c r="W94" s="14"/>
      <c r="X94" s="69"/>
      <c r="Y94" s="60">
        <f ca="1">Table25[[#This Row],[End Date]]+2-TODAY()</f>
        <v>-142</v>
      </c>
      <c r="Z94" s="14">
        <f>IF(ISBLANK(Table25[[#This Row],[Roster Received By]]),1,0)</f>
        <v>1</v>
      </c>
      <c r="AA94" s="14">
        <f ca="1">IF(Table25[[#This Row],[Start Date]]&gt;TODAY(),1,)</f>
        <v>0</v>
      </c>
    </row>
    <row r="95" spans="1:27" s="76" customFormat="1" ht="14.25" customHeight="1" x14ac:dyDescent="0.25">
      <c r="A95" s="52"/>
      <c r="B95" s="69" t="s">
        <v>116</v>
      </c>
      <c r="C95" s="70" t="s">
        <v>117</v>
      </c>
      <c r="D95" s="70" t="s">
        <v>118</v>
      </c>
      <c r="E95" s="69" t="s">
        <v>263</v>
      </c>
      <c r="F95" s="72">
        <v>45663</v>
      </c>
      <c r="G95" s="72">
        <v>45667</v>
      </c>
      <c r="H95" s="75">
        <v>0.33333333333333331</v>
      </c>
      <c r="I95" s="71"/>
      <c r="J95" s="75"/>
      <c r="K95" s="75"/>
      <c r="L95" s="75"/>
      <c r="M95" s="75"/>
      <c r="N95" s="75"/>
      <c r="O95" s="69"/>
      <c r="P95" s="69"/>
      <c r="Q95" s="14">
        <v>30</v>
      </c>
      <c r="R95" s="14">
        <v>5</v>
      </c>
      <c r="S95" s="14"/>
      <c r="T95" s="73"/>
      <c r="U95" s="14"/>
      <c r="V95" s="14"/>
      <c r="W95" s="14"/>
      <c r="X95" s="69"/>
      <c r="Y95" s="60">
        <f ca="1">Table25[[#This Row],[End Date]]+2-TODAY()</f>
        <v>-338</v>
      </c>
      <c r="Z95" s="14">
        <f>IF(ISBLANK(Table25[[#This Row],[Roster Received By]]),1,0)</f>
        <v>1</v>
      </c>
      <c r="AA95" s="14">
        <f ca="1">IF(Table25[[#This Row],[Start Date]]&gt;TODAY(),1,)</f>
        <v>0</v>
      </c>
    </row>
    <row r="96" spans="1:27" s="76" customFormat="1" ht="14.25" customHeight="1" x14ac:dyDescent="0.25">
      <c r="A96" s="52"/>
      <c r="B96" s="69" t="s">
        <v>116</v>
      </c>
      <c r="C96" s="70" t="s">
        <v>117</v>
      </c>
      <c r="D96" s="70" t="s">
        <v>118</v>
      </c>
      <c r="E96" s="69" t="s">
        <v>263</v>
      </c>
      <c r="F96" s="72">
        <v>45915</v>
      </c>
      <c r="G96" s="72">
        <v>45919</v>
      </c>
      <c r="H96" s="75">
        <v>0.33333333333333331</v>
      </c>
      <c r="I96" s="75"/>
      <c r="J96" s="75"/>
      <c r="K96" s="75"/>
      <c r="L96" s="75"/>
      <c r="M96" s="75"/>
      <c r="N96" s="75"/>
      <c r="O96" s="69"/>
      <c r="P96" s="69"/>
      <c r="Q96" s="14">
        <v>30</v>
      </c>
      <c r="R96" s="14">
        <v>5</v>
      </c>
      <c r="S96" s="73"/>
      <c r="T96" s="73"/>
      <c r="U96" s="14"/>
      <c r="V96" s="14"/>
      <c r="W96" s="14"/>
      <c r="X96" s="69"/>
      <c r="Y96" s="60">
        <f ca="1">Table25[[#This Row],[End Date]]+2-TODAY()</f>
        <v>-86</v>
      </c>
      <c r="Z96" s="14">
        <f>IF(ISBLANK(Table25[[#This Row],[Roster Received By]]),1,0)</f>
        <v>1</v>
      </c>
      <c r="AA96" s="14">
        <f ca="1">IF(Table25[[#This Row],[Start Date]]&gt;TODAY(),1,)</f>
        <v>0</v>
      </c>
    </row>
    <row r="97" spans="1:27" s="76" customFormat="1" ht="14.25" hidden="1" customHeight="1" x14ac:dyDescent="0.25">
      <c r="A97" s="52"/>
      <c r="B97" s="54" t="s">
        <v>92</v>
      </c>
      <c r="C97" s="70" t="s">
        <v>93</v>
      </c>
      <c r="D97" s="70">
        <v>5891</v>
      </c>
      <c r="E97" s="54" t="s">
        <v>264</v>
      </c>
      <c r="F97" s="56">
        <v>45728</v>
      </c>
      <c r="G97" s="56">
        <v>45730</v>
      </c>
      <c r="H97" s="75">
        <v>0.33333333333333331</v>
      </c>
      <c r="I97" s="71"/>
      <c r="J97" s="72"/>
      <c r="K97" s="72"/>
      <c r="L97" s="72"/>
      <c r="M97" s="72"/>
      <c r="N97" s="72"/>
      <c r="O97" s="69"/>
      <c r="P97" s="69"/>
      <c r="Q97" s="14">
        <v>25</v>
      </c>
      <c r="R97" s="14">
        <v>3</v>
      </c>
      <c r="S97" s="14"/>
      <c r="T97" s="73"/>
      <c r="U97" s="14"/>
      <c r="V97" s="14"/>
      <c r="W97" s="14"/>
      <c r="X97" s="69"/>
      <c r="Y97" s="60">
        <f ca="1">Table25[[#This Row],[End Date]]+2-TODAY()</f>
        <v>-275</v>
      </c>
      <c r="Z97" s="14">
        <f>IF(ISBLANK(Table25[[#This Row],[Roster Received By]]),1,0)</f>
        <v>1</v>
      </c>
      <c r="AA97" s="14">
        <f ca="1">IF(Table25[[#This Row],[Start Date]]&gt;TODAY(),1,)</f>
        <v>0</v>
      </c>
    </row>
    <row r="98" spans="1:27" s="76" customFormat="1" ht="14.25" customHeight="1" x14ac:dyDescent="0.25">
      <c r="A98" s="52"/>
      <c r="B98" s="69" t="s">
        <v>116</v>
      </c>
      <c r="C98" s="70" t="s">
        <v>117</v>
      </c>
      <c r="D98" s="70" t="s">
        <v>118</v>
      </c>
      <c r="E98" s="69" t="s">
        <v>264</v>
      </c>
      <c r="F98" s="72">
        <v>45691</v>
      </c>
      <c r="G98" s="72">
        <v>45695</v>
      </c>
      <c r="H98" s="75">
        <v>0.33333333333333331</v>
      </c>
      <c r="I98" s="71"/>
      <c r="J98" s="75"/>
      <c r="K98" s="75"/>
      <c r="L98" s="75"/>
      <c r="M98" s="75"/>
      <c r="N98" s="75"/>
      <c r="O98" s="69"/>
      <c r="P98" s="69"/>
      <c r="Q98" s="14">
        <v>30</v>
      </c>
      <c r="R98" s="14">
        <v>5</v>
      </c>
      <c r="S98" s="14"/>
      <c r="T98" s="73"/>
      <c r="U98" s="14"/>
      <c r="V98" s="14"/>
      <c r="W98" s="14"/>
      <c r="X98" s="69"/>
      <c r="Y98" s="60">
        <f ca="1">Table25[[#This Row],[End Date]]+2-TODAY()</f>
        <v>-310</v>
      </c>
      <c r="Z98" s="14">
        <f>IF(ISBLANK(Table25[[#This Row],[Roster Received By]]),1,0)</f>
        <v>1</v>
      </c>
      <c r="AA98" s="14">
        <f ca="1">IF(Table25[[#This Row],[Start Date]]&gt;TODAY(),1,)</f>
        <v>0</v>
      </c>
    </row>
    <row r="99" spans="1:27" s="76" customFormat="1" ht="14.25" customHeight="1" x14ac:dyDescent="0.25">
      <c r="A99" s="52"/>
      <c r="B99" s="69" t="s">
        <v>116</v>
      </c>
      <c r="C99" s="70" t="s">
        <v>117</v>
      </c>
      <c r="D99" s="70" t="s">
        <v>118</v>
      </c>
      <c r="E99" s="69" t="s">
        <v>264</v>
      </c>
      <c r="F99" s="56">
        <v>45733</v>
      </c>
      <c r="G99" s="72">
        <v>45737</v>
      </c>
      <c r="H99" s="75">
        <v>0.33333333333333331</v>
      </c>
      <c r="I99" s="71"/>
      <c r="J99" s="71"/>
      <c r="K99" s="71"/>
      <c r="L99" s="71"/>
      <c r="M99" s="71"/>
      <c r="N99" s="71"/>
      <c r="O99" s="69"/>
      <c r="P99" s="69"/>
      <c r="Q99" s="14">
        <v>30</v>
      </c>
      <c r="R99" s="14">
        <v>5</v>
      </c>
      <c r="S99" s="14"/>
      <c r="T99" s="73"/>
      <c r="U99" s="14"/>
      <c r="V99" s="14"/>
      <c r="W99" s="14"/>
      <c r="X99" s="69"/>
      <c r="Y99" s="60">
        <f ca="1">Table25[[#This Row],[End Date]]+2-TODAY()</f>
        <v>-268</v>
      </c>
      <c r="Z99" s="14">
        <f>IF(ISBLANK(Table25[[#This Row],[Roster Received By]]),1,0)</f>
        <v>1</v>
      </c>
      <c r="AA99" s="14">
        <f ca="1">IF(Table25[[#This Row],[Start Date]]&gt;TODAY(),1,)</f>
        <v>0</v>
      </c>
    </row>
    <row r="100" spans="1:27" s="76" customFormat="1" ht="14.25" customHeight="1" x14ac:dyDescent="0.25">
      <c r="A100" s="52"/>
      <c r="B100" s="69" t="s">
        <v>116</v>
      </c>
      <c r="C100" s="70" t="s">
        <v>117</v>
      </c>
      <c r="D100" s="70" t="s">
        <v>118</v>
      </c>
      <c r="E100" s="69" t="s">
        <v>264</v>
      </c>
      <c r="F100" s="72">
        <v>45908</v>
      </c>
      <c r="G100" s="72">
        <v>45912</v>
      </c>
      <c r="H100" s="75">
        <v>0.33333333333333331</v>
      </c>
      <c r="I100" s="75"/>
      <c r="J100" s="75"/>
      <c r="K100" s="75"/>
      <c r="L100" s="75"/>
      <c r="M100" s="75"/>
      <c r="N100" s="75"/>
      <c r="O100" s="69"/>
      <c r="P100" s="69"/>
      <c r="Q100" s="14">
        <v>30</v>
      </c>
      <c r="R100" s="14">
        <v>5</v>
      </c>
      <c r="S100" s="14"/>
      <c r="T100" s="73"/>
      <c r="U100" s="14"/>
      <c r="V100" s="14"/>
      <c r="W100" s="14"/>
      <c r="X100" s="69"/>
      <c r="Y100" s="60">
        <f ca="1">Table25[[#This Row],[End Date]]+2-TODAY()</f>
        <v>-93</v>
      </c>
      <c r="Z100" s="14">
        <f>IF(ISBLANK(Table25[[#This Row],[Roster Received By]]),1,0)</f>
        <v>1</v>
      </c>
      <c r="AA100" s="14">
        <f ca="1">IF(Table25[[#This Row],[Start Date]]&gt;TODAY(),1,)</f>
        <v>0</v>
      </c>
    </row>
    <row r="101" spans="1:27" s="76" customFormat="1" ht="14.25" hidden="1" customHeight="1" x14ac:dyDescent="0.25">
      <c r="A101" s="52"/>
      <c r="B101" s="69" t="s">
        <v>92</v>
      </c>
      <c r="C101" s="70" t="s">
        <v>93</v>
      </c>
      <c r="D101" s="70">
        <v>5891</v>
      </c>
      <c r="E101" s="69" t="s">
        <v>265</v>
      </c>
      <c r="F101" s="72">
        <v>45917</v>
      </c>
      <c r="G101" s="72">
        <v>45919</v>
      </c>
      <c r="H101" s="75">
        <v>0.33333333333333331</v>
      </c>
      <c r="I101" s="75"/>
      <c r="J101" s="75"/>
      <c r="K101" s="75"/>
      <c r="L101" s="75"/>
      <c r="M101" s="75"/>
      <c r="N101" s="72"/>
      <c r="O101" s="69"/>
      <c r="P101" s="69"/>
      <c r="Q101" s="14">
        <v>25</v>
      </c>
      <c r="R101" s="14">
        <v>3</v>
      </c>
      <c r="S101" s="14"/>
      <c r="T101" s="73"/>
      <c r="U101" s="14"/>
      <c r="V101" s="14"/>
      <c r="W101" s="14"/>
      <c r="X101" s="69"/>
      <c r="Y101" s="60">
        <f ca="1">Table25[[#This Row],[End Date]]+2-TODAY()</f>
        <v>-86</v>
      </c>
      <c r="Z101" s="14">
        <f>IF(ISBLANK(Table25[[#This Row],[Roster Received By]]),1,0)</f>
        <v>1</v>
      </c>
      <c r="AA101" s="14">
        <f ca="1">IF(Table25[[#This Row],[Start Date]]&gt;TODAY(),1,)</f>
        <v>0</v>
      </c>
    </row>
    <row r="102" spans="1:27" s="76" customFormat="1" ht="14.25" customHeight="1" x14ac:dyDescent="0.25">
      <c r="A102" s="52"/>
      <c r="B102" s="69" t="s">
        <v>116</v>
      </c>
      <c r="C102" s="70" t="s">
        <v>117</v>
      </c>
      <c r="D102" s="70" t="s">
        <v>118</v>
      </c>
      <c r="E102" s="69" t="s">
        <v>265</v>
      </c>
      <c r="F102" s="72">
        <v>45922</v>
      </c>
      <c r="G102" s="72">
        <v>45926</v>
      </c>
      <c r="H102" s="75">
        <v>0.33333333333333331</v>
      </c>
      <c r="I102" s="75"/>
      <c r="J102" s="72"/>
      <c r="K102" s="72"/>
      <c r="L102" s="72"/>
      <c r="M102" s="72"/>
      <c r="N102" s="72"/>
      <c r="O102" s="69"/>
      <c r="P102" s="69"/>
      <c r="Q102" s="14">
        <v>30</v>
      </c>
      <c r="R102" s="14">
        <v>5</v>
      </c>
      <c r="S102" s="14"/>
      <c r="T102" s="73"/>
      <c r="U102" s="14"/>
      <c r="V102" s="14"/>
      <c r="W102" s="14"/>
      <c r="X102" s="69"/>
      <c r="Y102" s="60">
        <f ca="1">Table25[[#This Row],[End Date]]+2-TODAY()</f>
        <v>-79</v>
      </c>
      <c r="Z102" s="14">
        <f>IF(ISBLANK(Table25[[#This Row],[Roster Received By]]),1,0)</f>
        <v>1</v>
      </c>
      <c r="AA102" s="14">
        <f ca="1">IF(Table25[[#This Row],[Start Date]]&gt;TODAY(),1,)</f>
        <v>0</v>
      </c>
    </row>
    <row r="103" spans="1:27" s="76" customFormat="1" ht="14.25" customHeight="1" x14ac:dyDescent="0.25">
      <c r="A103" s="52"/>
      <c r="B103" s="69" t="s">
        <v>116</v>
      </c>
      <c r="C103" s="70" t="s">
        <v>117</v>
      </c>
      <c r="D103" s="70" t="s">
        <v>118</v>
      </c>
      <c r="E103" s="69" t="s">
        <v>177</v>
      </c>
      <c r="F103" s="56">
        <v>45866</v>
      </c>
      <c r="G103" s="56">
        <v>45870</v>
      </c>
      <c r="H103" s="75">
        <v>0.33333333333333331</v>
      </c>
      <c r="I103" s="71"/>
      <c r="J103" s="71"/>
      <c r="K103" s="71"/>
      <c r="L103" s="71"/>
      <c r="M103" s="71"/>
      <c r="N103" s="71"/>
      <c r="O103" s="69"/>
      <c r="P103" s="69"/>
      <c r="Q103" s="14">
        <v>30</v>
      </c>
      <c r="R103" s="14">
        <v>5</v>
      </c>
      <c r="S103" s="14"/>
      <c r="T103" s="73"/>
      <c r="U103" s="14"/>
      <c r="V103" s="14"/>
      <c r="W103" s="70"/>
      <c r="X103" s="69"/>
      <c r="Y103" s="60">
        <f ca="1">Table25[[#This Row],[End Date]]+2-TODAY()</f>
        <v>-135</v>
      </c>
      <c r="Z103" s="14">
        <f>IF(ISBLANK(Table25[[#This Row],[Roster Received By]]),1,0)</f>
        <v>1</v>
      </c>
      <c r="AA103" s="14">
        <f ca="1">IF(Table25[[#This Row],[Start Date]]&gt;TODAY(),1,)</f>
        <v>0</v>
      </c>
    </row>
    <row r="104" spans="1:27" s="105" customFormat="1" hidden="1" x14ac:dyDescent="0.25">
      <c r="A104" s="69"/>
      <c r="B104" s="69" t="s">
        <v>92</v>
      </c>
      <c r="C104" s="70" t="s">
        <v>93</v>
      </c>
      <c r="D104" s="70">
        <v>5891</v>
      </c>
      <c r="E104" s="69" t="s">
        <v>266</v>
      </c>
      <c r="F104" s="72">
        <v>45882</v>
      </c>
      <c r="G104" s="72">
        <v>45884</v>
      </c>
      <c r="H104" s="75">
        <v>0.33333333333333331</v>
      </c>
      <c r="I104" s="71"/>
      <c r="J104" s="71"/>
      <c r="K104" s="71"/>
      <c r="L104" s="71"/>
      <c r="M104" s="71"/>
      <c r="N104" s="71"/>
      <c r="O104" s="69"/>
      <c r="P104" s="69"/>
      <c r="Q104" s="14">
        <v>25</v>
      </c>
      <c r="R104" s="14">
        <v>3</v>
      </c>
      <c r="S104" s="14"/>
      <c r="T104" s="73"/>
      <c r="U104" s="14"/>
      <c r="V104" s="14"/>
      <c r="W104" s="14"/>
      <c r="X104" s="69"/>
      <c r="Y104" s="60">
        <f ca="1">Table25[[#This Row],[End Date]]+2-TODAY()</f>
        <v>-121</v>
      </c>
      <c r="Z104" s="14">
        <f>IF(ISBLANK(Table25[[#This Row],[Roster Received By]]),1,0)</f>
        <v>1</v>
      </c>
      <c r="AA104" s="14">
        <f ca="1">IF(Table25[[#This Row],[Start Date]]&gt;TODAY(),1,)</f>
        <v>0</v>
      </c>
    </row>
    <row r="105" spans="1:27" s="76" customFormat="1" ht="14.25" customHeight="1" x14ac:dyDescent="0.25">
      <c r="A105" s="52"/>
      <c r="B105" s="69" t="s">
        <v>116</v>
      </c>
      <c r="C105" s="70" t="s">
        <v>117</v>
      </c>
      <c r="D105" s="70" t="s">
        <v>118</v>
      </c>
      <c r="E105" s="54" t="s">
        <v>266</v>
      </c>
      <c r="F105" s="72">
        <v>45887</v>
      </c>
      <c r="G105" s="72">
        <v>45891</v>
      </c>
      <c r="H105" s="75">
        <v>0.33333333333333331</v>
      </c>
      <c r="I105" s="75"/>
      <c r="J105" s="72"/>
      <c r="K105" s="72"/>
      <c r="L105" s="72"/>
      <c r="M105" s="72"/>
      <c r="N105" s="72"/>
      <c r="O105" s="69"/>
      <c r="P105" s="69"/>
      <c r="Q105" s="14">
        <v>30</v>
      </c>
      <c r="R105" s="14">
        <v>5</v>
      </c>
      <c r="S105" s="14"/>
      <c r="T105" s="73"/>
      <c r="U105" s="14"/>
      <c r="V105" s="14"/>
      <c r="W105" s="14"/>
      <c r="X105" s="69"/>
      <c r="Y105" s="60">
        <f ca="1">Table25[[#This Row],[End Date]]+2-TODAY()</f>
        <v>-114</v>
      </c>
      <c r="Z105" s="14">
        <f>IF(ISBLANK(Table25[[#This Row],[Roster Received By]]),1,0)</f>
        <v>1</v>
      </c>
      <c r="AA105" s="14">
        <f ca="1">IF(Table25[[#This Row],[Start Date]]&gt;TODAY(),1,)</f>
        <v>0</v>
      </c>
    </row>
    <row r="106" spans="1:27" s="105" customFormat="1" ht="14.25" hidden="1" customHeight="1" x14ac:dyDescent="0.25">
      <c r="A106" s="52"/>
      <c r="B106" s="69" t="s">
        <v>92</v>
      </c>
      <c r="C106" s="70" t="s">
        <v>93</v>
      </c>
      <c r="D106" s="70">
        <v>5891</v>
      </c>
      <c r="E106" s="69" t="s">
        <v>170</v>
      </c>
      <c r="F106" s="72">
        <v>45707</v>
      </c>
      <c r="G106" s="72">
        <v>45709</v>
      </c>
      <c r="H106" s="75">
        <v>0.33333333333333331</v>
      </c>
      <c r="I106" s="71"/>
      <c r="J106" s="71"/>
      <c r="K106" s="71"/>
      <c r="L106" s="71"/>
      <c r="M106" s="71"/>
      <c r="N106" s="71"/>
      <c r="O106" s="69"/>
      <c r="P106" s="69"/>
      <c r="Q106" s="14">
        <v>25</v>
      </c>
      <c r="R106" s="14">
        <v>3</v>
      </c>
      <c r="S106" s="14"/>
      <c r="T106" s="73"/>
      <c r="U106" s="14"/>
      <c r="V106" s="14"/>
      <c r="W106" s="14"/>
      <c r="X106" s="69"/>
      <c r="Y106" s="60">
        <f ca="1">Table25[[#This Row],[End Date]]+2-TODAY()</f>
        <v>-296</v>
      </c>
      <c r="Z106" s="14">
        <f>IF(ISBLANK(Table25[[#This Row],[Roster Received By]]),1,0)</f>
        <v>1</v>
      </c>
      <c r="AA106" s="14">
        <f ca="1">IF(Table25[[#This Row],[Start Date]]&gt;TODAY(),1,)</f>
        <v>0</v>
      </c>
    </row>
    <row r="107" spans="1:27" s="76" customFormat="1" ht="16.5" customHeight="1" x14ac:dyDescent="0.25">
      <c r="A107" s="52"/>
      <c r="B107" s="69" t="s">
        <v>116</v>
      </c>
      <c r="C107" s="70" t="s">
        <v>117</v>
      </c>
      <c r="D107" s="70" t="s">
        <v>118</v>
      </c>
      <c r="E107" s="54" t="s">
        <v>170</v>
      </c>
      <c r="F107" s="72">
        <v>45712</v>
      </c>
      <c r="G107" s="72">
        <v>45716</v>
      </c>
      <c r="H107" s="75">
        <v>0.33333333333333331</v>
      </c>
      <c r="I107" s="78"/>
      <c r="J107" s="72"/>
      <c r="K107" s="72"/>
      <c r="L107" s="72"/>
      <c r="M107" s="72"/>
      <c r="N107" s="72"/>
      <c r="O107" s="69"/>
      <c r="P107" s="69"/>
      <c r="Q107" s="14">
        <v>30</v>
      </c>
      <c r="R107" s="14">
        <v>5</v>
      </c>
      <c r="S107" s="14"/>
      <c r="T107" s="73"/>
      <c r="U107" s="14"/>
      <c r="V107" s="14"/>
      <c r="W107" s="73"/>
      <c r="X107" s="69"/>
      <c r="Y107" s="60">
        <f ca="1">Table25[[#This Row],[End Date]]+2-TODAY()</f>
        <v>-289</v>
      </c>
      <c r="Z107" s="14">
        <f>IF(ISBLANK(Table25[[#This Row],[Roster Received By]]),1,0)</f>
        <v>1</v>
      </c>
      <c r="AA107" s="14">
        <f ca="1">IF(Table25[[#This Row],[Start Date]]&gt;TODAY(),1,)</f>
        <v>0</v>
      </c>
    </row>
    <row r="108" spans="1:27" s="76" customFormat="1" ht="14.25" hidden="1" customHeight="1" x14ac:dyDescent="0.25">
      <c r="A108" s="52" t="s">
        <v>267</v>
      </c>
      <c r="B108" s="69" t="s">
        <v>92</v>
      </c>
      <c r="C108" s="70" t="s">
        <v>93</v>
      </c>
      <c r="D108" s="70">
        <v>5891</v>
      </c>
      <c r="E108" s="69"/>
      <c r="F108" s="72">
        <v>45609</v>
      </c>
      <c r="G108" s="72">
        <v>45611</v>
      </c>
      <c r="H108" s="75">
        <v>0.33333333333333331</v>
      </c>
      <c r="I108" s="75"/>
      <c r="J108" s="75"/>
      <c r="K108" s="75"/>
      <c r="L108" s="75"/>
      <c r="M108" s="75"/>
      <c r="N108" s="72"/>
      <c r="O108" s="69"/>
      <c r="P108" s="69"/>
      <c r="Q108" s="14">
        <v>25</v>
      </c>
      <c r="R108" s="14">
        <v>3</v>
      </c>
      <c r="S108" s="14"/>
      <c r="T108" s="73"/>
      <c r="U108" s="14"/>
      <c r="V108" s="14"/>
      <c r="W108" s="14"/>
      <c r="X108" s="69"/>
      <c r="Y108" s="60">
        <f ca="1">Table25[[#This Row],[End Date]]+2-TODAY()</f>
        <v>-394</v>
      </c>
      <c r="Z108" s="14">
        <f>IF(ISBLANK(Table25[[#This Row],[Roster Received By]]),1,0)</f>
        <v>1</v>
      </c>
      <c r="AA108" s="14">
        <f ca="1">IF(Table25[[#This Row],[Start Date]]&gt;TODAY(),1,)</f>
        <v>0</v>
      </c>
    </row>
    <row r="109" spans="1:27" s="76" customFormat="1" ht="14.25" hidden="1" customHeight="1" x14ac:dyDescent="0.25">
      <c r="A109" s="52" t="s">
        <v>267</v>
      </c>
      <c r="B109" s="69" t="s">
        <v>92</v>
      </c>
      <c r="C109" s="70" t="s">
        <v>93</v>
      </c>
      <c r="D109" s="70">
        <v>5891</v>
      </c>
      <c r="E109" s="69"/>
      <c r="F109" s="72">
        <v>45629</v>
      </c>
      <c r="G109" s="72">
        <v>45631</v>
      </c>
      <c r="H109" s="75">
        <v>0.33333333333333331</v>
      </c>
      <c r="I109" s="75"/>
      <c r="J109" s="71"/>
      <c r="K109" s="71"/>
      <c r="L109" s="71"/>
      <c r="M109" s="71"/>
      <c r="N109" s="71"/>
      <c r="O109" s="69"/>
      <c r="P109" s="69"/>
      <c r="Q109" s="14">
        <v>25</v>
      </c>
      <c r="R109" s="14">
        <v>3</v>
      </c>
      <c r="S109" s="14"/>
      <c r="T109" s="73"/>
      <c r="U109" s="14"/>
      <c r="V109" s="14"/>
      <c r="W109" s="14"/>
      <c r="X109" s="69"/>
      <c r="Y109" s="60">
        <f ca="1">Table25[[#This Row],[End Date]]+2-TODAY()</f>
        <v>-374</v>
      </c>
      <c r="Z109" s="14">
        <f>IF(ISBLANK(Table25[[#This Row],[Roster Received By]]),1,0)</f>
        <v>1</v>
      </c>
      <c r="AA109" s="14">
        <f ca="1">IF(Table25[[#This Row],[Start Date]]&gt;TODAY(),1,)</f>
        <v>0</v>
      </c>
    </row>
    <row r="110" spans="1:27" s="76" customFormat="1" ht="14.25" hidden="1" customHeight="1" x14ac:dyDescent="0.25">
      <c r="A110" s="52" t="s">
        <v>267</v>
      </c>
      <c r="B110" s="69" t="s">
        <v>92</v>
      </c>
      <c r="C110" s="70" t="s">
        <v>93</v>
      </c>
      <c r="D110" s="70">
        <v>5891</v>
      </c>
      <c r="E110" s="69"/>
      <c r="F110" s="72">
        <v>45748</v>
      </c>
      <c r="G110" s="72">
        <v>45750</v>
      </c>
      <c r="H110" s="75">
        <v>0.33333333333333331</v>
      </c>
      <c r="I110" s="71"/>
      <c r="J110" s="71"/>
      <c r="K110" s="71"/>
      <c r="L110" s="71"/>
      <c r="M110" s="71"/>
      <c r="N110" s="71"/>
      <c r="O110" s="69"/>
      <c r="P110" s="69"/>
      <c r="Q110" s="14">
        <v>25</v>
      </c>
      <c r="R110" s="14">
        <v>3</v>
      </c>
      <c r="S110" s="14"/>
      <c r="T110" s="73"/>
      <c r="U110" s="14"/>
      <c r="V110" s="14"/>
      <c r="W110" s="70"/>
      <c r="X110" s="69"/>
      <c r="Y110" s="60">
        <f ca="1">Table25[[#This Row],[End Date]]+2-TODAY()</f>
        <v>-255</v>
      </c>
      <c r="Z110" s="14">
        <f>IF(ISBLANK(Table25[[#This Row],[Roster Received By]]),1,0)</f>
        <v>1</v>
      </c>
      <c r="AA110" s="14">
        <f ca="1">IF(Table25[[#This Row],[Start Date]]&gt;TODAY(),1,)</f>
        <v>0</v>
      </c>
    </row>
    <row r="111" spans="1:27" s="76" customFormat="1" ht="14.25" customHeight="1" x14ac:dyDescent="0.25">
      <c r="A111" s="52" t="s">
        <v>267</v>
      </c>
      <c r="B111" s="69" t="s">
        <v>116</v>
      </c>
      <c r="C111" s="70" t="s">
        <v>117</v>
      </c>
      <c r="D111" s="70" t="s">
        <v>118</v>
      </c>
      <c r="E111" s="54"/>
      <c r="F111" s="72">
        <v>45635</v>
      </c>
      <c r="G111" s="72">
        <v>45639</v>
      </c>
      <c r="H111" s="75">
        <v>0.33333333333333331</v>
      </c>
      <c r="I111" s="78"/>
      <c r="J111" s="72"/>
      <c r="K111" s="72"/>
      <c r="L111" s="72"/>
      <c r="M111" s="72"/>
      <c r="N111" s="72"/>
      <c r="O111" s="69"/>
      <c r="P111" s="69"/>
      <c r="Q111" s="14">
        <v>30</v>
      </c>
      <c r="R111" s="14">
        <v>5</v>
      </c>
      <c r="S111" s="14"/>
      <c r="T111" s="73"/>
      <c r="U111" s="14"/>
      <c r="V111" s="14"/>
      <c r="W111" s="14"/>
      <c r="X111" s="69"/>
      <c r="Y111" s="60">
        <f ca="1">Table25[[#This Row],[End Date]]+2-TODAY()</f>
        <v>-366</v>
      </c>
      <c r="Z111" s="14">
        <f>IF(ISBLANK(Table25[[#This Row],[Roster Received By]]),1,0)</f>
        <v>1</v>
      </c>
      <c r="AA111" s="14">
        <f ca="1">IF(Table25[[#This Row],[Start Date]]&gt;TODAY(),1,)</f>
        <v>0</v>
      </c>
    </row>
    <row r="112" spans="1:27" s="76" customFormat="1" ht="14.25" customHeight="1" x14ac:dyDescent="0.25">
      <c r="A112" s="52" t="s">
        <v>267</v>
      </c>
      <c r="B112" s="69" t="s">
        <v>116</v>
      </c>
      <c r="C112" s="70" t="s">
        <v>117</v>
      </c>
      <c r="D112" s="70" t="s">
        <v>118</v>
      </c>
      <c r="E112" s="69"/>
      <c r="F112" s="56">
        <v>45810</v>
      </c>
      <c r="G112" s="56">
        <v>45814</v>
      </c>
      <c r="H112" s="75">
        <v>0.33333333333333331</v>
      </c>
      <c r="I112" s="71"/>
      <c r="J112" s="71"/>
      <c r="K112" s="71"/>
      <c r="L112" s="71"/>
      <c r="M112" s="71"/>
      <c r="N112" s="71"/>
      <c r="O112" s="69"/>
      <c r="P112" s="69"/>
      <c r="Q112" s="14">
        <v>30</v>
      </c>
      <c r="R112" s="14">
        <v>5</v>
      </c>
      <c r="S112" s="77"/>
      <c r="T112" s="73"/>
      <c r="U112" s="14"/>
      <c r="V112" s="14"/>
      <c r="W112" s="14"/>
      <c r="X112" s="69"/>
      <c r="Y112" s="60">
        <f ca="1">Table25[[#This Row],[End Date]]+2-TODAY()</f>
        <v>-191</v>
      </c>
      <c r="Z112" s="14">
        <f>IF(ISBLANK(Table25[[#This Row],[Roster Received By]]),1,0)</f>
        <v>1</v>
      </c>
      <c r="AA112" s="14">
        <f ca="1">IF(Table25[[#This Row],[Start Date]]&gt;TODAY(),1,)</f>
        <v>0</v>
      </c>
    </row>
    <row r="113" spans="1:27" s="76" customFormat="1" ht="14.25" hidden="1" customHeight="1" x14ac:dyDescent="0.25">
      <c r="A113" s="52"/>
      <c r="B113" s="69"/>
      <c r="C113" s="70" t="e">
        <v>#N/A</v>
      </c>
      <c r="D113" s="70" t="e">
        <v>#N/A</v>
      </c>
      <c r="E113" s="54"/>
      <c r="F113" s="56"/>
      <c r="G113" s="56"/>
      <c r="H113" s="71"/>
      <c r="I113" s="71"/>
      <c r="J113" s="72"/>
      <c r="K113" s="72"/>
      <c r="L113" s="72"/>
      <c r="M113" s="72"/>
      <c r="N113" s="72"/>
      <c r="O113" s="69"/>
      <c r="P113" s="69"/>
      <c r="Q113" s="14" t="e">
        <v>#N/A</v>
      </c>
      <c r="R113" s="14" t="e">
        <v>#N/A</v>
      </c>
      <c r="S113" s="14"/>
      <c r="T113" s="73"/>
      <c r="U113" s="14"/>
      <c r="V113" s="14"/>
      <c r="W113" s="14"/>
      <c r="X113" s="69"/>
      <c r="Y113" s="60">
        <f ca="1">Table25[[#This Row],[End Date]]+2-TODAY()</f>
        <v>-46005</v>
      </c>
      <c r="Z113" s="14">
        <f>IF(ISBLANK(Table25[[#This Row],[Roster Received By]]),1,0)</f>
        <v>1</v>
      </c>
      <c r="AA113" s="14">
        <f ca="1">IF(Table25[[#This Row],[Start Date]]&gt;TODAY(),1,)</f>
        <v>0</v>
      </c>
    </row>
    <row r="114" spans="1:27" s="76" customFormat="1" ht="14.25" hidden="1" customHeight="1" x14ac:dyDescent="0.25">
      <c r="A114" s="52"/>
      <c r="B114" s="69"/>
      <c r="C114" s="70" t="e">
        <v>#N/A</v>
      </c>
      <c r="D114" s="70" t="e">
        <v>#N/A</v>
      </c>
      <c r="E114" s="69"/>
      <c r="F114" s="56"/>
      <c r="G114" s="72"/>
      <c r="H114" s="72"/>
      <c r="I114" s="71"/>
      <c r="J114" s="71"/>
      <c r="K114" s="71"/>
      <c r="L114" s="71"/>
      <c r="M114" s="71"/>
      <c r="N114" s="71"/>
      <c r="O114" s="69"/>
      <c r="P114" s="69"/>
      <c r="Q114" s="14" t="e">
        <v>#N/A</v>
      </c>
      <c r="R114" s="14" t="e">
        <v>#N/A</v>
      </c>
      <c r="S114" s="14"/>
      <c r="T114" s="73"/>
      <c r="U114" s="14"/>
      <c r="V114" s="14"/>
      <c r="W114" s="14"/>
      <c r="X114" s="69"/>
      <c r="Y114" s="60">
        <f ca="1">Table25[[#This Row],[End Date]]+2-TODAY()</f>
        <v>-46005</v>
      </c>
      <c r="Z114" s="14">
        <f>IF(ISBLANK(Table25[[#This Row],[Roster Received By]]),1,0)</f>
        <v>1</v>
      </c>
      <c r="AA114" s="14">
        <f ca="1">IF(Table25[[#This Row],[Start Date]]&gt;TODAY(),1,)</f>
        <v>0</v>
      </c>
    </row>
    <row r="115" spans="1:27" s="76" customFormat="1" ht="14.25" hidden="1" customHeight="1" x14ac:dyDescent="0.25">
      <c r="A115" s="52"/>
      <c r="B115" s="69"/>
      <c r="C115" s="70" t="e">
        <v>#N/A</v>
      </c>
      <c r="D115" s="70" t="e">
        <v>#N/A</v>
      </c>
      <c r="E115" s="69"/>
      <c r="F115" s="72"/>
      <c r="G115" s="72"/>
      <c r="H115" s="75"/>
      <c r="I115" s="75"/>
      <c r="J115" s="72"/>
      <c r="K115" s="72"/>
      <c r="L115" s="72"/>
      <c r="M115" s="72"/>
      <c r="N115" s="72"/>
      <c r="O115" s="69"/>
      <c r="P115" s="69"/>
      <c r="Q115" s="14" t="e">
        <v>#N/A</v>
      </c>
      <c r="R115" s="14" t="e">
        <v>#N/A</v>
      </c>
      <c r="S115" s="14"/>
      <c r="T115" s="73"/>
      <c r="U115" s="14"/>
      <c r="V115" s="14"/>
      <c r="W115" s="14"/>
      <c r="X115" s="69"/>
      <c r="Y115" s="60">
        <f ca="1">Table25[[#This Row],[End Date]]+2-TODAY()</f>
        <v>-46005</v>
      </c>
      <c r="Z115" s="14">
        <f>IF(ISBLANK(Table25[[#This Row],[Roster Received By]]),1,0)</f>
        <v>1</v>
      </c>
      <c r="AA115" s="14">
        <f ca="1">IF(Table25[[#This Row],[Start Date]]&gt;TODAY(),1,)</f>
        <v>0</v>
      </c>
    </row>
    <row r="116" spans="1:27" s="76" customFormat="1" ht="14.25" hidden="1" customHeight="1" x14ac:dyDescent="0.25">
      <c r="A116" s="52"/>
      <c r="B116" s="69"/>
      <c r="C116" s="70" t="e">
        <v>#N/A</v>
      </c>
      <c r="D116" s="70" t="e">
        <v>#N/A</v>
      </c>
      <c r="E116" s="69"/>
      <c r="F116" s="72"/>
      <c r="G116" s="72"/>
      <c r="H116" s="75"/>
      <c r="I116" s="75"/>
      <c r="J116" s="75"/>
      <c r="K116" s="75"/>
      <c r="L116" s="75"/>
      <c r="M116" s="75"/>
      <c r="N116" s="72"/>
      <c r="O116" s="69"/>
      <c r="P116" s="69"/>
      <c r="Q116" s="14" t="e">
        <v>#N/A</v>
      </c>
      <c r="R116" s="14" t="e">
        <v>#N/A</v>
      </c>
      <c r="S116" s="14"/>
      <c r="T116" s="73"/>
      <c r="U116" s="14"/>
      <c r="V116" s="14"/>
      <c r="W116" s="14"/>
      <c r="X116" s="69"/>
      <c r="Y116" s="60">
        <f ca="1">Table25[[#This Row],[End Date]]+2-TODAY()</f>
        <v>-46005</v>
      </c>
      <c r="Z116" s="14">
        <f>IF(ISBLANK(Table25[[#This Row],[Roster Received By]]),1,0)</f>
        <v>1</v>
      </c>
      <c r="AA116" s="14">
        <f ca="1">IF(Table25[[#This Row],[Start Date]]&gt;TODAY(),1,)</f>
        <v>0</v>
      </c>
    </row>
    <row r="117" spans="1:27" s="76" customFormat="1" ht="14.25" hidden="1" customHeight="1" x14ac:dyDescent="0.25">
      <c r="A117" s="52"/>
      <c r="B117" s="69"/>
      <c r="C117" s="70" t="e">
        <v>#N/A</v>
      </c>
      <c r="D117" s="70" t="e">
        <v>#N/A</v>
      </c>
      <c r="E117" s="69"/>
      <c r="F117" s="72"/>
      <c r="G117" s="72"/>
      <c r="H117" s="75"/>
      <c r="I117" s="75"/>
      <c r="J117" s="72"/>
      <c r="K117" s="72"/>
      <c r="L117" s="72"/>
      <c r="M117" s="72"/>
      <c r="N117" s="72"/>
      <c r="O117" s="69"/>
      <c r="P117" s="69"/>
      <c r="Q117" s="14" t="e">
        <v>#N/A</v>
      </c>
      <c r="R117" s="14" t="e">
        <v>#N/A</v>
      </c>
      <c r="S117" s="14"/>
      <c r="T117" s="73"/>
      <c r="U117" s="14"/>
      <c r="V117" s="14"/>
      <c r="W117" s="14"/>
      <c r="X117" s="69"/>
      <c r="Y117" s="60">
        <f ca="1">Table25[[#This Row],[End Date]]+2-TODAY()</f>
        <v>-46005</v>
      </c>
      <c r="Z117" s="14">
        <f>IF(ISBLANK(Table25[[#This Row],[Roster Received By]]),1,0)</f>
        <v>1</v>
      </c>
      <c r="AA117" s="14">
        <f ca="1">IF(Table25[[#This Row],[Start Date]]&gt;TODAY(),1,)</f>
        <v>0</v>
      </c>
    </row>
    <row r="118" spans="1:27" s="76" customFormat="1" ht="14.25" hidden="1" customHeight="1" x14ac:dyDescent="0.25">
      <c r="A118" s="52"/>
      <c r="B118" s="69"/>
      <c r="C118" s="70" t="e">
        <v>#N/A</v>
      </c>
      <c r="D118" s="70" t="e">
        <v>#N/A</v>
      </c>
      <c r="E118" s="69"/>
      <c r="F118" s="72"/>
      <c r="G118" s="72"/>
      <c r="H118" s="72"/>
      <c r="I118" s="71"/>
      <c r="J118" s="71"/>
      <c r="K118" s="71"/>
      <c r="L118" s="71"/>
      <c r="M118" s="71"/>
      <c r="N118" s="71"/>
      <c r="O118" s="69"/>
      <c r="P118" s="69"/>
      <c r="Q118" s="14" t="e">
        <v>#N/A</v>
      </c>
      <c r="R118" s="14" t="e">
        <v>#N/A</v>
      </c>
      <c r="S118" s="14"/>
      <c r="T118" s="73"/>
      <c r="U118" s="14"/>
      <c r="V118" s="14"/>
      <c r="W118" s="14"/>
      <c r="X118" s="69"/>
      <c r="Y118" s="60">
        <f ca="1">Table25[[#This Row],[End Date]]+2-TODAY()</f>
        <v>-46005</v>
      </c>
      <c r="Z118" s="14">
        <f>IF(ISBLANK(Table25[[#This Row],[Roster Received By]]),1,0)</f>
        <v>1</v>
      </c>
      <c r="AA118" s="14">
        <f ca="1">IF(Table25[[#This Row],[Start Date]]&gt;TODAY(),1,)</f>
        <v>0</v>
      </c>
    </row>
    <row r="119" spans="1:27" s="76" customFormat="1" ht="14.25" hidden="1" customHeight="1" x14ac:dyDescent="0.25">
      <c r="A119" s="52"/>
      <c r="B119" s="69"/>
      <c r="C119" s="70" t="e">
        <v>#N/A</v>
      </c>
      <c r="D119" s="70" t="e">
        <v>#N/A</v>
      </c>
      <c r="E119" s="69"/>
      <c r="F119" s="56"/>
      <c r="G119" s="56"/>
      <c r="H119" s="56"/>
      <c r="I119" s="71"/>
      <c r="J119" s="71"/>
      <c r="K119" s="71"/>
      <c r="L119" s="71"/>
      <c r="M119" s="71"/>
      <c r="N119" s="71"/>
      <c r="O119" s="69"/>
      <c r="P119" s="69"/>
      <c r="Q119" s="14" t="e">
        <v>#N/A</v>
      </c>
      <c r="R119" s="14" t="e">
        <v>#N/A</v>
      </c>
      <c r="S119" s="14"/>
      <c r="T119" s="73"/>
      <c r="U119" s="14"/>
      <c r="V119" s="14"/>
      <c r="W119" s="14"/>
      <c r="X119" s="69"/>
      <c r="Y119" s="60">
        <f ca="1">Table25[[#This Row],[End Date]]+2-TODAY()</f>
        <v>-46005</v>
      </c>
      <c r="Z119" s="14">
        <f>IF(ISBLANK(Table25[[#This Row],[Roster Received By]]),1,0)</f>
        <v>1</v>
      </c>
      <c r="AA119" s="14">
        <f ca="1">IF(Table25[[#This Row],[Start Date]]&gt;TODAY(),1,)</f>
        <v>0</v>
      </c>
    </row>
    <row r="120" spans="1:27" s="76" customFormat="1" ht="14.25" hidden="1" customHeight="1" x14ac:dyDescent="0.25">
      <c r="A120" s="69"/>
      <c r="B120" s="69"/>
      <c r="C120" s="70" t="e">
        <v>#N/A</v>
      </c>
      <c r="D120" s="70" t="e">
        <v>#N/A</v>
      </c>
      <c r="E120" s="69"/>
      <c r="F120" s="72"/>
      <c r="G120" s="72"/>
      <c r="H120" s="72"/>
      <c r="I120" s="71"/>
      <c r="J120" s="71"/>
      <c r="K120" s="71"/>
      <c r="L120" s="71"/>
      <c r="M120" s="71"/>
      <c r="N120" s="71"/>
      <c r="O120" s="69"/>
      <c r="P120" s="69"/>
      <c r="Q120" s="14" t="e">
        <v>#N/A</v>
      </c>
      <c r="R120" s="14" t="e">
        <v>#N/A</v>
      </c>
      <c r="S120" s="14"/>
      <c r="T120" s="73"/>
      <c r="U120" s="14"/>
      <c r="V120" s="14"/>
      <c r="W120" s="14"/>
      <c r="X120" s="69"/>
      <c r="Y120" s="60">
        <f ca="1">Table25[[#This Row],[End Date]]+2-TODAY()</f>
        <v>-46005</v>
      </c>
      <c r="Z120" s="14">
        <f>IF(ISBLANK(Table25[[#This Row],[Roster Received By]]),1,0)</f>
        <v>1</v>
      </c>
      <c r="AA120" s="14">
        <f ca="1">IF(Table25[[#This Row],[Start Date]]&gt;TODAY(),1,)</f>
        <v>0</v>
      </c>
    </row>
    <row r="121" spans="1:27" s="76" customFormat="1" ht="14.25" hidden="1" customHeight="1" x14ac:dyDescent="0.25">
      <c r="A121" s="52"/>
      <c r="B121" s="69"/>
      <c r="C121" s="70" t="e">
        <v>#N/A</v>
      </c>
      <c r="D121" s="70" t="e">
        <v>#N/A</v>
      </c>
      <c r="E121" s="111"/>
      <c r="F121" s="56"/>
      <c r="G121" s="72"/>
      <c r="H121" s="75"/>
      <c r="I121" s="75"/>
      <c r="J121" s="72"/>
      <c r="K121" s="72"/>
      <c r="L121" s="72"/>
      <c r="M121" s="72"/>
      <c r="N121" s="72"/>
      <c r="O121" s="69"/>
      <c r="P121" s="69"/>
      <c r="Q121" s="14" t="e">
        <v>#N/A</v>
      </c>
      <c r="R121" s="14" t="e">
        <v>#N/A</v>
      </c>
      <c r="S121" s="14"/>
      <c r="T121" s="73"/>
      <c r="U121" s="14"/>
      <c r="V121" s="14"/>
      <c r="W121" s="70"/>
      <c r="X121" s="69"/>
      <c r="Y121" s="60">
        <f ca="1">Table25[[#This Row],[End Date]]+2-TODAY()</f>
        <v>-46005</v>
      </c>
      <c r="Z121" s="14">
        <f>IF(ISBLANK(Table25[[#This Row],[Roster Received By]]),1,0)</f>
        <v>1</v>
      </c>
      <c r="AA121" s="14">
        <f ca="1">IF(Table25[[#This Row],[Start Date]]&gt;TODAY(),1,)</f>
        <v>0</v>
      </c>
    </row>
    <row r="122" spans="1:27" s="76" customFormat="1" ht="14.25" hidden="1" customHeight="1" x14ac:dyDescent="0.25">
      <c r="A122" s="52"/>
      <c r="B122" s="69"/>
      <c r="C122" s="70" t="e">
        <v>#N/A</v>
      </c>
      <c r="D122" s="70" t="e">
        <v>#N/A</v>
      </c>
      <c r="E122" s="69"/>
      <c r="F122" s="72"/>
      <c r="G122" s="72"/>
      <c r="H122" s="75"/>
      <c r="I122" s="75"/>
      <c r="J122" s="72"/>
      <c r="K122" s="72"/>
      <c r="L122" s="72"/>
      <c r="M122" s="72"/>
      <c r="N122" s="72"/>
      <c r="O122" s="69"/>
      <c r="P122" s="69"/>
      <c r="Q122" s="14" t="e">
        <v>#N/A</v>
      </c>
      <c r="R122" s="14" t="e">
        <v>#N/A</v>
      </c>
      <c r="S122" s="14"/>
      <c r="T122" s="73"/>
      <c r="U122" s="14"/>
      <c r="V122" s="14"/>
      <c r="W122" s="14"/>
      <c r="X122" s="69"/>
      <c r="Y122" s="60">
        <f ca="1">Table25[[#This Row],[End Date]]+2-TODAY()</f>
        <v>-46005</v>
      </c>
      <c r="Z122" s="14">
        <f>IF(ISBLANK(Table25[[#This Row],[Roster Received By]]),1,0)</f>
        <v>1</v>
      </c>
      <c r="AA122" s="14">
        <f ca="1">IF(Table25[[#This Row],[Start Date]]&gt;TODAY(),1,)</f>
        <v>0</v>
      </c>
    </row>
    <row r="123" spans="1:27" s="76" customFormat="1" ht="14.25" hidden="1" customHeight="1" x14ac:dyDescent="0.25">
      <c r="A123" s="52"/>
      <c r="B123" s="69"/>
      <c r="C123" s="70" t="e">
        <v>#N/A</v>
      </c>
      <c r="D123" s="70" t="e">
        <v>#N/A</v>
      </c>
      <c r="E123" s="69"/>
      <c r="F123" s="72"/>
      <c r="G123" s="72"/>
      <c r="H123" s="75"/>
      <c r="I123" s="75"/>
      <c r="J123" s="72"/>
      <c r="K123" s="72"/>
      <c r="L123" s="72"/>
      <c r="M123" s="72"/>
      <c r="N123" s="72"/>
      <c r="O123" s="69"/>
      <c r="P123" s="69"/>
      <c r="Q123" s="14" t="e">
        <v>#N/A</v>
      </c>
      <c r="R123" s="14" t="e">
        <v>#N/A</v>
      </c>
      <c r="S123" s="14"/>
      <c r="T123" s="73"/>
      <c r="U123" s="14"/>
      <c r="V123" s="14"/>
      <c r="W123" s="14"/>
      <c r="X123" s="69"/>
      <c r="Y123" s="60">
        <f ca="1">Table25[[#This Row],[End Date]]+2-TODAY()</f>
        <v>-46005</v>
      </c>
      <c r="Z123" s="14">
        <f>IF(ISBLANK(Table25[[#This Row],[Roster Received By]]),1,0)</f>
        <v>1</v>
      </c>
      <c r="AA123" s="14">
        <f ca="1">IF(Table25[[#This Row],[Start Date]]&gt;TODAY(),1,)</f>
        <v>0</v>
      </c>
    </row>
    <row r="124" spans="1:27" s="76" customFormat="1" ht="14.25" hidden="1" customHeight="1" x14ac:dyDescent="0.25">
      <c r="A124" s="52"/>
      <c r="B124" s="69"/>
      <c r="C124" s="70" t="e">
        <v>#N/A</v>
      </c>
      <c r="D124" s="70" t="e">
        <v>#N/A</v>
      </c>
      <c r="E124" s="69"/>
      <c r="F124" s="72"/>
      <c r="G124" s="72"/>
      <c r="H124" s="72"/>
      <c r="I124" s="71"/>
      <c r="J124" s="71"/>
      <c r="K124" s="71"/>
      <c r="L124" s="71"/>
      <c r="M124" s="71"/>
      <c r="N124" s="71"/>
      <c r="O124" s="69"/>
      <c r="P124" s="69"/>
      <c r="Q124" s="14" t="e">
        <v>#N/A</v>
      </c>
      <c r="R124" s="14" t="e">
        <v>#N/A</v>
      </c>
      <c r="S124" s="14"/>
      <c r="T124" s="73"/>
      <c r="U124" s="14"/>
      <c r="V124" s="14"/>
      <c r="W124" s="14"/>
      <c r="X124" s="69"/>
      <c r="Y124" s="60">
        <f ca="1">Table25[[#This Row],[End Date]]+2-TODAY()</f>
        <v>-46005</v>
      </c>
      <c r="Z124" s="14">
        <f>IF(ISBLANK(Table25[[#This Row],[Roster Received By]]),1,0)</f>
        <v>1</v>
      </c>
      <c r="AA124" s="14">
        <f ca="1">IF(Table25[[#This Row],[Start Date]]&gt;TODAY(),1,)</f>
        <v>0</v>
      </c>
    </row>
    <row r="125" spans="1:27" s="76" customFormat="1" ht="14.25" hidden="1" customHeight="1" x14ac:dyDescent="0.25">
      <c r="A125" s="52"/>
      <c r="B125" s="69"/>
      <c r="C125" s="70" t="e">
        <v>#N/A</v>
      </c>
      <c r="D125" s="70" t="e">
        <v>#N/A</v>
      </c>
      <c r="E125" s="69"/>
      <c r="F125" s="72"/>
      <c r="G125" s="72"/>
      <c r="H125" s="72"/>
      <c r="I125" s="71"/>
      <c r="J125" s="71"/>
      <c r="K125" s="71"/>
      <c r="L125" s="71"/>
      <c r="M125" s="71"/>
      <c r="N125" s="71"/>
      <c r="O125" s="69"/>
      <c r="P125" s="69"/>
      <c r="Q125" s="14" t="e">
        <v>#N/A</v>
      </c>
      <c r="R125" s="14" t="e">
        <v>#N/A</v>
      </c>
      <c r="S125" s="14"/>
      <c r="T125" s="73"/>
      <c r="U125" s="14"/>
      <c r="V125" s="14"/>
      <c r="W125" s="14"/>
      <c r="X125" s="69"/>
      <c r="Y125" s="60">
        <f ca="1">Table25[[#This Row],[End Date]]+2-TODAY()</f>
        <v>-46005</v>
      </c>
      <c r="Z125" s="14">
        <f>IF(ISBLANK(Table25[[#This Row],[Roster Received By]]),1,0)</f>
        <v>1</v>
      </c>
      <c r="AA125" s="14">
        <f ca="1">IF(Table25[[#This Row],[Start Date]]&gt;TODAY(),1,)</f>
        <v>0</v>
      </c>
    </row>
    <row r="126" spans="1:27" s="76" customFormat="1" ht="14.25" hidden="1" customHeight="1" x14ac:dyDescent="0.25">
      <c r="A126" s="52"/>
      <c r="B126" s="69"/>
      <c r="C126" s="70" t="e">
        <v>#N/A</v>
      </c>
      <c r="D126" s="70" t="e">
        <v>#N/A</v>
      </c>
      <c r="E126" s="69"/>
      <c r="F126" s="72"/>
      <c r="G126" s="72"/>
      <c r="H126" s="75"/>
      <c r="I126" s="75"/>
      <c r="J126" s="72"/>
      <c r="K126" s="72"/>
      <c r="L126" s="72"/>
      <c r="M126" s="72"/>
      <c r="N126" s="72"/>
      <c r="O126" s="69"/>
      <c r="P126" s="69"/>
      <c r="Q126" s="14" t="e">
        <v>#N/A</v>
      </c>
      <c r="R126" s="14" t="e">
        <v>#N/A</v>
      </c>
      <c r="S126" s="14"/>
      <c r="T126" s="73"/>
      <c r="U126" s="14"/>
      <c r="V126" s="14"/>
      <c r="W126" s="14"/>
      <c r="X126" s="69"/>
      <c r="Y126" s="60">
        <f ca="1">Table25[[#This Row],[End Date]]+2-TODAY()</f>
        <v>-46005</v>
      </c>
      <c r="Z126" s="14">
        <f>IF(ISBLANK(Table25[[#This Row],[Roster Received By]]),1,0)</f>
        <v>1</v>
      </c>
      <c r="AA126" s="14">
        <f ca="1">IF(Table25[[#This Row],[Start Date]]&gt;TODAY(),1,)</f>
        <v>0</v>
      </c>
    </row>
    <row r="127" spans="1:27" s="76" customFormat="1" ht="14.25" hidden="1" customHeight="1" x14ac:dyDescent="0.25">
      <c r="A127" s="52"/>
      <c r="B127" s="69"/>
      <c r="C127" s="70" t="e">
        <v>#N/A</v>
      </c>
      <c r="D127" s="70" t="e">
        <v>#N/A</v>
      </c>
      <c r="E127" s="69"/>
      <c r="F127" s="72"/>
      <c r="G127" s="72"/>
      <c r="H127" s="72"/>
      <c r="I127" s="71"/>
      <c r="J127" s="71"/>
      <c r="K127" s="71"/>
      <c r="L127" s="71"/>
      <c r="M127" s="71"/>
      <c r="N127" s="71"/>
      <c r="O127" s="69"/>
      <c r="P127" s="69"/>
      <c r="Q127" s="14" t="e">
        <v>#N/A</v>
      </c>
      <c r="R127" s="14" t="e">
        <v>#N/A</v>
      </c>
      <c r="S127" s="14"/>
      <c r="T127" s="73"/>
      <c r="U127" s="14"/>
      <c r="V127" s="14"/>
      <c r="W127" s="14"/>
      <c r="X127" s="69"/>
      <c r="Y127" s="60">
        <f ca="1">Table25[[#This Row],[End Date]]+2-TODAY()</f>
        <v>-46005</v>
      </c>
      <c r="Z127" s="14">
        <f>IF(ISBLANK(Table25[[#This Row],[Roster Received By]]),1,0)</f>
        <v>1</v>
      </c>
      <c r="AA127" s="14">
        <f ca="1">IF(Table25[[#This Row],[Start Date]]&gt;TODAY(),1,)</f>
        <v>0</v>
      </c>
    </row>
    <row r="128" spans="1:27" s="76" customFormat="1" ht="14.25" hidden="1" customHeight="1" x14ac:dyDescent="0.25">
      <c r="A128" s="69"/>
      <c r="B128" s="69"/>
      <c r="C128" s="70" t="e">
        <v>#N/A</v>
      </c>
      <c r="D128" s="70" t="e">
        <v>#N/A</v>
      </c>
      <c r="E128" s="69"/>
      <c r="F128" s="72"/>
      <c r="G128" s="72"/>
      <c r="H128" s="75"/>
      <c r="I128" s="75"/>
      <c r="J128" s="72"/>
      <c r="K128" s="72"/>
      <c r="L128" s="72"/>
      <c r="M128" s="72"/>
      <c r="N128" s="72"/>
      <c r="O128" s="69"/>
      <c r="P128" s="69"/>
      <c r="Q128" s="14" t="e">
        <v>#N/A</v>
      </c>
      <c r="R128" s="14" t="e">
        <v>#N/A</v>
      </c>
      <c r="S128" s="14"/>
      <c r="T128" s="73"/>
      <c r="U128" s="14"/>
      <c r="V128" s="14"/>
      <c r="W128" s="14"/>
      <c r="X128" s="69"/>
      <c r="Y128" s="60">
        <f ca="1">Table25[[#This Row],[End Date]]+2-TODAY()</f>
        <v>-46005</v>
      </c>
      <c r="Z128" s="14">
        <f>IF(ISBLANK(Table25[[#This Row],[Roster Received By]]),1,0)</f>
        <v>1</v>
      </c>
      <c r="AA128" s="14">
        <f ca="1">IF(Table25[[#This Row],[Start Date]]&gt;TODAY(),1,)</f>
        <v>0</v>
      </c>
    </row>
    <row r="129" spans="1:27" s="105" customFormat="1" hidden="1" x14ac:dyDescent="0.25">
      <c r="A129" s="52"/>
      <c r="B129" s="69"/>
      <c r="C129" s="70" t="e">
        <v>#N/A</v>
      </c>
      <c r="D129" s="70" t="e">
        <v>#N/A</v>
      </c>
      <c r="E129" s="69"/>
      <c r="F129" s="72"/>
      <c r="G129" s="72"/>
      <c r="H129" s="75"/>
      <c r="I129" s="75"/>
      <c r="J129" s="72"/>
      <c r="K129" s="72"/>
      <c r="L129" s="72"/>
      <c r="M129" s="72"/>
      <c r="N129" s="72"/>
      <c r="O129" s="69"/>
      <c r="P129" s="69"/>
      <c r="Q129" s="14" t="e">
        <v>#N/A</v>
      </c>
      <c r="R129" s="14" t="e">
        <v>#N/A</v>
      </c>
      <c r="S129" s="14"/>
      <c r="T129" s="73"/>
      <c r="U129" s="14"/>
      <c r="V129" s="14"/>
      <c r="W129" s="14"/>
      <c r="X129" s="69"/>
      <c r="Y129" s="60">
        <f ca="1">Table25[[#This Row],[End Date]]+2-TODAY()</f>
        <v>-46005</v>
      </c>
      <c r="Z129" s="14">
        <f>IF(ISBLANK(Table25[[#This Row],[Roster Received By]]),1,0)</f>
        <v>1</v>
      </c>
      <c r="AA129" s="14">
        <f ca="1">IF(Table25[[#This Row],[Start Date]]&gt;TODAY(),1,)</f>
        <v>0</v>
      </c>
    </row>
    <row r="130" spans="1:27" s="76" customFormat="1" ht="14.25" hidden="1" customHeight="1" x14ac:dyDescent="0.25">
      <c r="A130" s="52"/>
      <c r="B130" s="69"/>
      <c r="C130" s="70" t="e">
        <v>#N/A</v>
      </c>
      <c r="D130" s="70" t="e">
        <v>#N/A</v>
      </c>
      <c r="E130" s="69"/>
      <c r="F130" s="72"/>
      <c r="G130" s="72"/>
      <c r="H130" s="72"/>
      <c r="I130" s="71"/>
      <c r="J130" s="71"/>
      <c r="K130" s="71"/>
      <c r="L130" s="71"/>
      <c r="M130" s="71"/>
      <c r="N130" s="71"/>
      <c r="O130" s="69"/>
      <c r="P130" s="69"/>
      <c r="Q130" s="14" t="e">
        <v>#N/A</v>
      </c>
      <c r="R130" s="14" t="e">
        <v>#N/A</v>
      </c>
      <c r="S130" s="14"/>
      <c r="T130" s="73"/>
      <c r="U130" s="14"/>
      <c r="V130" s="14"/>
      <c r="W130" s="14"/>
      <c r="X130" s="69"/>
      <c r="Y130" s="60">
        <f ca="1">Table25[[#This Row],[End Date]]+2-TODAY()</f>
        <v>-46005</v>
      </c>
      <c r="Z130" s="14">
        <f>IF(ISBLANK(Table25[[#This Row],[Roster Received By]]),1,0)</f>
        <v>1</v>
      </c>
      <c r="AA130" s="14">
        <f ca="1">IF(Table25[[#This Row],[Start Date]]&gt;TODAY(),1,)</f>
        <v>0</v>
      </c>
    </row>
    <row r="131" spans="1:27" s="76" customFormat="1" ht="14.25" hidden="1" customHeight="1" x14ac:dyDescent="0.25">
      <c r="A131" s="52"/>
      <c r="B131" s="69"/>
      <c r="C131" s="70" t="e">
        <v>#N/A</v>
      </c>
      <c r="D131" s="70" t="e">
        <v>#N/A</v>
      </c>
      <c r="E131" s="69"/>
      <c r="F131" s="72"/>
      <c r="G131" s="72"/>
      <c r="H131" s="75"/>
      <c r="I131" s="75"/>
      <c r="J131" s="72"/>
      <c r="K131" s="72"/>
      <c r="L131" s="72"/>
      <c r="M131" s="72"/>
      <c r="N131" s="72"/>
      <c r="O131" s="69"/>
      <c r="P131" s="69"/>
      <c r="Q131" s="14" t="e">
        <v>#N/A</v>
      </c>
      <c r="R131" s="14" t="e">
        <v>#N/A</v>
      </c>
      <c r="S131" s="14"/>
      <c r="T131" s="73"/>
      <c r="U131" s="14"/>
      <c r="V131" s="14"/>
      <c r="W131" s="77"/>
      <c r="X131" s="69"/>
      <c r="Y131" s="60">
        <f ca="1">Table25[[#This Row],[End Date]]+2-TODAY()</f>
        <v>-46005</v>
      </c>
      <c r="Z131" s="14">
        <f>IF(ISBLANK(Table25[[#This Row],[Roster Received By]]),1,0)</f>
        <v>1</v>
      </c>
      <c r="AA131" s="14">
        <f ca="1">IF(Table25[[#This Row],[Start Date]]&gt;TODAY(),1,)</f>
        <v>0</v>
      </c>
    </row>
    <row r="132" spans="1:27" s="76" customFormat="1" ht="14.25" hidden="1" customHeight="1" x14ac:dyDescent="0.25">
      <c r="A132" s="52"/>
      <c r="B132" s="69"/>
      <c r="C132" s="70" t="e">
        <v>#N/A</v>
      </c>
      <c r="D132" s="70" t="e">
        <v>#N/A</v>
      </c>
      <c r="E132" s="69"/>
      <c r="F132" s="72"/>
      <c r="G132" s="72"/>
      <c r="H132" s="72"/>
      <c r="I132" s="71"/>
      <c r="J132" s="71"/>
      <c r="K132" s="71"/>
      <c r="L132" s="71"/>
      <c r="M132" s="71"/>
      <c r="N132" s="71"/>
      <c r="O132" s="69"/>
      <c r="P132" s="69"/>
      <c r="Q132" s="14" t="e">
        <v>#N/A</v>
      </c>
      <c r="R132" s="14" t="e">
        <v>#N/A</v>
      </c>
      <c r="S132" s="14"/>
      <c r="T132" s="73"/>
      <c r="U132" s="14"/>
      <c r="V132" s="14"/>
      <c r="W132" s="14"/>
      <c r="X132" s="69"/>
      <c r="Y132" s="60">
        <f ca="1">Table25[[#This Row],[End Date]]+2-TODAY()</f>
        <v>-46005</v>
      </c>
      <c r="Z132" s="14">
        <f>IF(ISBLANK(Table25[[#This Row],[Roster Received By]]),1,0)</f>
        <v>1</v>
      </c>
      <c r="AA132" s="14">
        <f ca="1">IF(Table25[[#This Row],[Start Date]]&gt;TODAY(),1,)</f>
        <v>0</v>
      </c>
    </row>
    <row r="133" spans="1:27" s="76" customFormat="1" ht="14.25" hidden="1" customHeight="1" x14ac:dyDescent="0.25">
      <c r="A133" s="52"/>
      <c r="B133" s="69"/>
      <c r="C133" s="70" t="e">
        <v>#N/A</v>
      </c>
      <c r="D133" s="70" t="e">
        <v>#N/A</v>
      </c>
      <c r="E133" s="69"/>
      <c r="F133" s="72"/>
      <c r="G133" s="72"/>
      <c r="H133" s="72"/>
      <c r="I133" s="71"/>
      <c r="J133" s="71"/>
      <c r="K133" s="71"/>
      <c r="L133" s="71"/>
      <c r="M133" s="71"/>
      <c r="N133" s="71"/>
      <c r="O133" s="69"/>
      <c r="P133" s="69"/>
      <c r="Q133" s="14" t="e">
        <v>#N/A</v>
      </c>
      <c r="R133" s="14" t="e">
        <v>#N/A</v>
      </c>
      <c r="S133" s="14"/>
      <c r="T133" s="73"/>
      <c r="U133" s="14"/>
      <c r="V133" s="14"/>
      <c r="W133" s="14"/>
      <c r="X133" s="69"/>
      <c r="Y133" s="60">
        <f ca="1">Table25[[#This Row],[End Date]]+2-TODAY()</f>
        <v>-46005</v>
      </c>
      <c r="Z133" s="14">
        <f>IF(ISBLANK(Table25[[#This Row],[Roster Received By]]),1,0)</f>
        <v>1</v>
      </c>
      <c r="AA133" s="14">
        <f ca="1">IF(Table25[[#This Row],[Start Date]]&gt;TODAY(),1,)</f>
        <v>0</v>
      </c>
    </row>
    <row r="134" spans="1:27" s="76" customFormat="1" ht="14.25" hidden="1" customHeight="1" x14ac:dyDescent="0.25">
      <c r="A134" s="52"/>
      <c r="B134" s="69"/>
      <c r="C134" s="70" t="e">
        <v>#N/A</v>
      </c>
      <c r="D134" s="70" t="e">
        <v>#N/A</v>
      </c>
      <c r="E134" s="69"/>
      <c r="F134" s="72"/>
      <c r="G134" s="72"/>
      <c r="H134" s="72"/>
      <c r="I134" s="71"/>
      <c r="J134" s="71"/>
      <c r="K134" s="71"/>
      <c r="L134" s="71"/>
      <c r="M134" s="71"/>
      <c r="N134" s="71"/>
      <c r="O134" s="69"/>
      <c r="P134" s="69"/>
      <c r="Q134" s="14" t="e">
        <v>#N/A</v>
      </c>
      <c r="R134" s="14" t="e">
        <v>#N/A</v>
      </c>
      <c r="S134" s="14"/>
      <c r="T134" s="73"/>
      <c r="U134" s="14"/>
      <c r="V134" s="14"/>
      <c r="W134" s="70"/>
      <c r="X134" s="69"/>
      <c r="Y134" s="60">
        <f ca="1">Table25[[#This Row],[End Date]]+2-TODAY()</f>
        <v>-46005</v>
      </c>
      <c r="Z134" s="14">
        <f>IF(ISBLANK(Table25[[#This Row],[Roster Received By]]),1,0)</f>
        <v>1</v>
      </c>
      <c r="AA134" s="14">
        <f ca="1">IF(Table25[[#This Row],[Start Date]]&gt;TODAY(),1,)</f>
        <v>0</v>
      </c>
    </row>
    <row r="135" spans="1:27" s="76" customFormat="1" ht="14.25" hidden="1" customHeight="1" x14ac:dyDescent="0.25">
      <c r="A135" s="69"/>
      <c r="B135" s="69"/>
      <c r="C135" s="70" t="e">
        <v>#N/A</v>
      </c>
      <c r="D135" s="70" t="e">
        <v>#N/A</v>
      </c>
      <c r="E135" s="69"/>
      <c r="F135" s="72"/>
      <c r="G135" s="72"/>
      <c r="H135" s="78"/>
      <c r="I135" s="78"/>
      <c r="J135" s="72"/>
      <c r="K135" s="72"/>
      <c r="L135" s="72"/>
      <c r="M135" s="72"/>
      <c r="N135" s="72"/>
      <c r="O135" s="69"/>
      <c r="P135" s="69"/>
      <c r="Q135" s="14" t="e">
        <v>#N/A</v>
      </c>
      <c r="R135" s="14" t="e">
        <v>#N/A</v>
      </c>
      <c r="S135" s="14"/>
      <c r="T135" s="73"/>
      <c r="U135" s="14"/>
      <c r="V135" s="14"/>
      <c r="W135" s="70"/>
      <c r="X135" s="69"/>
      <c r="Y135" s="60">
        <f ca="1">Table25[[#This Row],[End Date]]+2-TODAY()</f>
        <v>-46005</v>
      </c>
      <c r="Z135" s="14">
        <f>IF(ISBLANK(Table25[[#This Row],[Roster Received By]]),1,0)</f>
        <v>1</v>
      </c>
      <c r="AA135" s="14">
        <f ca="1">IF(Table25[[#This Row],[Start Date]]&gt;TODAY(),1,)</f>
        <v>0</v>
      </c>
    </row>
    <row r="136" spans="1:27" s="76" customFormat="1" ht="14.25" hidden="1" customHeight="1" x14ac:dyDescent="0.25">
      <c r="A136" s="52"/>
      <c r="B136" s="69"/>
      <c r="C136" s="70" t="e">
        <v>#N/A</v>
      </c>
      <c r="D136" s="70" t="e">
        <v>#N/A</v>
      </c>
      <c r="E136" s="69"/>
      <c r="F136" s="72"/>
      <c r="G136" s="72"/>
      <c r="H136" s="72"/>
      <c r="I136" s="71"/>
      <c r="J136" s="71"/>
      <c r="K136" s="71"/>
      <c r="L136" s="71"/>
      <c r="M136" s="71"/>
      <c r="N136" s="71"/>
      <c r="O136" s="69"/>
      <c r="P136" s="69"/>
      <c r="Q136" s="14" t="e">
        <v>#N/A</v>
      </c>
      <c r="R136" s="14" t="e">
        <v>#N/A</v>
      </c>
      <c r="S136" s="14"/>
      <c r="T136" s="73"/>
      <c r="U136" s="14"/>
      <c r="V136" s="14"/>
      <c r="W136" s="14"/>
      <c r="X136" s="69"/>
      <c r="Y136" s="60">
        <f ca="1">Table25[[#This Row],[End Date]]+2-TODAY()</f>
        <v>-46005</v>
      </c>
      <c r="Z136" s="14">
        <f>IF(ISBLANK(Table25[[#This Row],[Roster Received By]]),1,0)</f>
        <v>1</v>
      </c>
      <c r="AA136" s="14">
        <f ca="1">IF(Table25[[#This Row],[Start Date]]&gt;TODAY(),1,)</f>
        <v>0</v>
      </c>
    </row>
    <row r="137" spans="1:27" s="52" customFormat="1" hidden="1" x14ac:dyDescent="0.25">
      <c r="B137" s="69"/>
      <c r="C137" s="70" t="e">
        <v>#N/A</v>
      </c>
      <c r="D137" s="70" t="e">
        <v>#N/A</v>
      </c>
      <c r="E137" s="69"/>
      <c r="F137" s="72"/>
      <c r="G137" s="72"/>
      <c r="H137" s="72"/>
      <c r="I137" s="71"/>
      <c r="J137" s="71"/>
      <c r="K137" s="71"/>
      <c r="L137" s="71"/>
      <c r="M137" s="71"/>
      <c r="N137" s="71"/>
      <c r="O137" s="69"/>
      <c r="P137" s="69"/>
      <c r="Q137" s="14" t="e">
        <v>#N/A</v>
      </c>
      <c r="R137" s="14" t="e">
        <v>#N/A</v>
      </c>
      <c r="S137" s="14"/>
      <c r="T137" s="73"/>
      <c r="U137" s="14"/>
      <c r="V137" s="14"/>
      <c r="W137" s="73"/>
      <c r="X137" s="69"/>
      <c r="Y137" s="60">
        <f ca="1">Table25[[#This Row],[End Date]]+2-TODAY()</f>
        <v>-46005</v>
      </c>
      <c r="Z137" s="14">
        <f>IF(ISBLANK(Table25[[#This Row],[Roster Received By]]),1,0)</f>
        <v>1</v>
      </c>
      <c r="AA137" s="14">
        <f ca="1">IF(Table25[[#This Row],[Start Date]]&gt;TODAY(),1,)</f>
        <v>0</v>
      </c>
    </row>
    <row r="138" spans="1:27" s="105" customFormat="1" ht="14.25" hidden="1" customHeight="1" x14ac:dyDescent="0.25">
      <c r="A138" s="52"/>
      <c r="B138" s="69"/>
      <c r="C138" s="70" t="e">
        <v>#N/A</v>
      </c>
      <c r="D138" s="70" t="e">
        <v>#N/A</v>
      </c>
      <c r="E138" s="69"/>
      <c r="F138" s="72"/>
      <c r="G138" s="72"/>
      <c r="H138" s="72"/>
      <c r="I138" s="71"/>
      <c r="J138" s="71"/>
      <c r="K138" s="71"/>
      <c r="L138" s="71"/>
      <c r="M138" s="71"/>
      <c r="N138" s="71"/>
      <c r="O138" s="69"/>
      <c r="P138" s="69"/>
      <c r="Q138" s="14" t="e">
        <v>#N/A</v>
      </c>
      <c r="R138" s="14" t="e">
        <v>#N/A</v>
      </c>
      <c r="S138" s="14"/>
      <c r="T138" s="73"/>
      <c r="U138" s="14"/>
      <c r="V138" s="14"/>
      <c r="W138" s="14"/>
      <c r="X138" s="69"/>
      <c r="Y138" s="60">
        <f ca="1">Table25[[#This Row],[End Date]]+2-TODAY()</f>
        <v>-46005</v>
      </c>
      <c r="Z138" s="14">
        <f>IF(ISBLANK(Table25[[#This Row],[Roster Received By]]),1,0)</f>
        <v>1</v>
      </c>
      <c r="AA138" s="14">
        <f ca="1">IF(Table25[[#This Row],[Start Date]]&gt;TODAY(),1,)</f>
        <v>0</v>
      </c>
    </row>
    <row r="139" spans="1:27" s="105" customFormat="1" ht="14.25" hidden="1" customHeight="1" x14ac:dyDescent="0.25">
      <c r="A139" s="52"/>
      <c r="B139" s="69"/>
      <c r="C139" s="70" t="e">
        <v>#N/A</v>
      </c>
      <c r="D139" s="70" t="e">
        <v>#N/A</v>
      </c>
      <c r="E139" s="69"/>
      <c r="F139" s="72"/>
      <c r="G139" s="72"/>
      <c r="H139" s="75"/>
      <c r="I139" s="75"/>
      <c r="J139" s="72"/>
      <c r="K139" s="72"/>
      <c r="L139" s="72"/>
      <c r="M139" s="72"/>
      <c r="N139" s="72"/>
      <c r="O139" s="69"/>
      <c r="P139" s="69"/>
      <c r="Q139" s="14" t="e">
        <v>#N/A</v>
      </c>
      <c r="R139" s="14" t="e">
        <v>#N/A</v>
      </c>
      <c r="S139" s="14"/>
      <c r="T139" s="73"/>
      <c r="U139" s="14"/>
      <c r="V139" s="14"/>
      <c r="W139" s="70"/>
      <c r="X139" s="69"/>
      <c r="Y139" s="60">
        <f ca="1">Table25[[#This Row],[End Date]]+2-TODAY()</f>
        <v>-46005</v>
      </c>
      <c r="Z139" s="14">
        <f>IF(ISBLANK(Table25[[#This Row],[Roster Received By]]),1,0)</f>
        <v>1</v>
      </c>
      <c r="AA139" s="14">
        <f ca="1">IF(Table25[[#This Row],[Start Date]]&gt;TODAY(),1,)</f>
        <v>0</v>
      </c>
    </row>
    <row r="140" spans="1:27" s="105" customFormat="1" ht="16.5" hidden="1" customHeight="1" x14ac:dyDescent="0.25">
      <c r="A140" s="52"/>
      <c r="B140" s="69"/>
      <c r="C140" s="70" t="e">
        <v>#N/A</v>
      </c>
      <c r="D140" s="70" t="e">
        <v>#N/A</v>
      </c>
      <c r="E140" s="69"/>
      <c r="F140" s="72"/>
      <c r="G140" s="72"/>
      <c r="H140" s="72"/>
      <c r="I140" s="71"/>
      <c r="J140" s="71"/>
      <c r="K140" s="71"/>
      <c r="L140" s="71"/>
      <c r="M140" s="71"/>
      <c r="N140" s="71"/>
      <c r="O140" s="69"/>
      <c r="P140" s="69"/>
      <c r="Q140" s="14" t="e">
        <v>#N/A</v>
      </c>
      <c r="R140" s="14" t="e">
        <v>#N/A</v>
      </c>
      <c r="S140" s="14"/>
      <c r="T140" s="73"/>
      <c r="U140" s="14"/>
      <c r="V140" s="14"/>
      <c r="W140" s="14"/>
      <c r="X140" s="69"/>
      <c r="Y140" s="60">
        <f ca="1">Table25[[#This Row],[End Date]]+2-TODAY()</f>
        <v>-46005</v>
      </c>
      <c r="Z140" s="14">
        <f>IF(ISBLANK(Table25[[#This Row],[Roster Received By]]),1,0)</f>
        <v>1</v>
      </c>
      <c r="AA140" s="14">
        <f ca="1">IF(Table25[[#This Row],[Start Date]]&gt;TODAY(),1,)</f>
        <v>0</v>
      </c>
    </row>
    <row r="141" spans="1:27" s="76" customFormat="1" ht="16.5" hidden="1" customHeight="1" x14ac:dyDescent="0.25">
      <c r="A141" s="52"/>
      <c r="B141" s="69"/>
      <c r="C141" s="70" t="e">
        <v>#N/A</v>
      </c>
      <c r="D141" s="70" t="e">
        <v>#N/A</v>
      </c>
      <c r="E141" s="69"/>
      <c r="F141" s="56"/>
      <c r="G141" s="72"/>
      <c r="H141" s="72"/>
      <c r="I141" s="71"/>
      <c r="J141" s="71"/>
      <c r="K141" s="71"/>
      <c r="L141" s="71"/>
      <c r="M141" s="71"/>
      <c r="N141" s="71"/>
      <c r="O141" s="69"/>
      <c r="P141" s="69"/>
      <c r="Q141" s="14" t="e">
        <v>#N/A</v>
      </c>
      <c r="R141" s="14" t="e">
        <v>#N/A</v>
      </c>
      <c r="S141" s="14"/>
      <c r="T141" s="73"/>
      <c r="U141" s="14"/>
      <c r="V141" s="14"/>
      <c r="W141" s="14"/>
      <c r="X141" s="69"/>
      <c r="Y141" s="60">
        <f ca="1">Table25[[#This Row],[End Date]]+2-TODAY()</f>
        <v>-46005</v>
      </c>
      <c r="Z141" s="14">
        <f>IF(ISBLANK(Table25[[#This Row],[Roster Received By]]),1,0)</f>
        <v>1</v>
      </c>
      <c r="AA141" s="14">
        <f ca="1">IF(Table25[[#This Row],[Start Date]]&gt;TODAY(),1,)</f>
        <v>0</v>
      </c>
    </row>
    <row r="142" spans="1:27" s="76" customFormat="1" ht="16.5" hidden="1" customHeight="1" x14ac:dyDescent="0.25">
      <c r="A142" s="69"/>
      <c r="B142" s="69"/>
      <c r="C142" s="70" t="e">
        <v>#N/A</v>
      </c>
      <c r="D142" s="70" t="e">
        <v>#N/A</v>
      </c>
      <c r="E142" s="54"/>
      <c r="F142" s="72"/>
      <c r="G142" s="72"/>
      <c r="H142" s="75"/>
      <c r="I142" s="75"/>
      <c r="J142" s="72"/>
      <c r="K142" s="72"/>
      <c r="L142" s="72"/>
      <c r="M142" s="72"/>
      <c r="N142" s="72"/>
      <c r="O142" s="69"/>
      <c r="P142" s="69"/>
      <c r="Q142" s="14" t="e">
        <v>#N/A</v>
      </c>
      <c r="R142" s="14" t="e">
        <v>#N/A</v>
      </c>
      <c r="S142" s="14"/>
      <c r="T142" s="73"/>
      <c r="U142" s="14"/>
      <c r="V142" s="14"/>
      <c r="W142" s="14"/>
      <c r="X142" s="69"/>
      <c r="Y142" s="60">
        <f ca="1">Table25[[#This Row],[End Date]]+2-TODAY()</f>
        <v>-46005</v>
      </c>
      <c r="Z142" s="14">
        <f>IF(ISBLANK(Table25[[#This Row],[Roster Received By]]),1,0)</f>
        <v>1</v>
      </c>
      <c r="AA142" s="14">
        <f ca="1">IF(Table25[[#This Row],[Start Date]]&gt;TODAY(),1,)</f>
        <v>0</v>
      </c>
    </row>
    <row r="143" spans="1:27" s="76" customFormat="1" ht="14.25" hidden="1" customHeight="1" x14ac:dyDescent="0.25">
      <c r="A143" s="52"/>
      <c r="B143" s="69"/>
      <c r="C143" s="70" t="e">
        <v>#N/A</v>
      </c>
      <c r="D143" s="70" t="e">
        <v>#N/A</v>
      </c>
      <c r="E143" s="69"/>
      <c r="F143" s="72"/>
      <c r="G143" s="72"/>
      <c r="H143" s="72"/>
      <c r="I143" s="71"/>
      <c r="J143" s="71"/>
      <c r="K143" s="71"/>
      <c r="L143" s="71"/>
      <c r="M143" s="71"/>
      <c r="N143" s="71"/>
      <c r="O143" s="69"/>
      <c r="P143" s="69"/>
      <c r="Q143" s="14" t="e">
        <v>#N/A</v>
      </c>
      <c r="R143" s="14" t="e">
        <v>#N/A</v>
      </c>
      <c r="S143" s="14"/>
      <c r="T143" s="73"/>
      <c r="U143" s="14"/>
      <c r="V143" s="14"/>
      <c r="W143" s="14"/>
      <c r="X143" s="69"/>
      <c r="Y143" s="60">
        <f ca="1">Table25[[#This Row],[End Date]]+2-TODAY()</f>
        <v>-46005</v>
      </c>
      <c r="Z143" s="14">
        <f>IF(ISBLANK(Table25[[#This Row],[Roster Received By]]),1,0)</f>
        <v>1</v>
      </c>
      <c r="AA143" s="14">
        <f ca="1">IF(Table25[[#This Row],[Start Date]]&gt;TODAY(),1,)</f>
        <v>0</v>
      </c>
    </row>
    <row r="144" spans="1:27" s="76" customFormat="1" ht="14.25" hidden="1" customHeight="1" x14ac:dyDescent="0.25">
      <c r="A144" s="52"/>
      <c r="B144" s="69"/>
      <c r="C144" s="70" t="e">
        <v>#N/A</v>
      </c>
      <c r="D144" s="70" t="e">
        <v>#N/A</v>
      </c>
      <c r="E144" s="69"/>
      <c r="F144" s="72"/>
      <c r="G144" s="72"/>
      <c r="H144" s="72"/>
      <c r="I144" s="71"/>
      <c r="J144" s="71"/>
      <c r="K144" s="71"/>
      <c r="L144" s="71"/>
      <c r="M144" s="71"/>
      <c r="N144" s="71"/>
      <c r="O144" s="69"/>
      <c r="P144" s="69"/>
      <c r="Q144" s="14" t="e">
        <v>#N/A</v>
      </c>
      <c r="R144" s="14" t="e">
        <v>#N/A</v>
      </c>
      <c r="S144" s="14"/>
      <c r="T144" s="73"/>
      <c r="U144" s="14"/>
      <c r="V144" s="14"/>
      <c r="W144" s="14"/>
      <c r="X144" s="69"/>
      <c r="Y144" s="60">
        <f ca="1">Table25[[#This Row],[End Date]]+2-TODAY()</f>
        <v>-46005</v>
      </c>
      <c r="Z144" s="14">
        <f>IF(ISBLANK(Table25[[#This Row],[Roster Received By]]),1,0)</f>
        <v>1</v>
      </c>
      <c r="AA144" s="14">
        <f ca="1">IF(Table25[[#This Row],[Start Date]]&gt;TODAY(),1,)</f>
        <v>0</v>
      </c>
    </row>
    <row r="145" spans="1:27" s="76" customFormat="1" ht="14.25" hidden="1" customHeight="1" x14ac:dyDescent="0.25">
      <c r="A145" s="52"/>
      <c r="B145" s="69"/>
      <c r="C145" s="70" t="e">
        <v>#N/A</v>
      </c>
      <c r="D145" s="70" t="e">
        <v>#N/A</v>
      </c>
      <c r="E145" s="69"/>
      <c r="F145" s="72"/>
      <c r="G145" s="72"/>
      <c r="H145" s="75"/>
      <c r="I145" s="75"/>
      <c r="J145" s="72"/>
      <c r="K145" s="72"/>
      <c r="L145" s="72"/>
      <c r="M145" s="72"/>
      <c r="N145" s="72"/>
      <c r="O145" s="69"/>
      <c r="P145" s="69"/>
      <c r="Q145" s="14" t="e">
        <v>#N/A</v>
      </c>
      <c r="R145" s="14" t="e">
        <v>#N/A</v>
      </c>
      <c r="S145" s="14"/>
      <c r="T145" s="73"/>
      <c r="U145" s="14"/>
      <c r="V145" s="14"/>
      <c r="W145" s="14"/>
      <c r="X145" s="69"/>
      <c r="Y145" s="60">
        <f ca="1">Table25[[#This Row],[End Date]]+2-TODAY()</f>
        <v>-46005</v>
      </c>
      <c r="Z145" s="14">
        <f>IF(ISBLANK(Table25[[#This Row],[Roster Received By]]),1,0)</f>
        <v>1</v>
      </c>
      <c r="AA145" s="14">
        <f ca="1">IF(Table25[[#This Row],[Start Date]]&gt;TODAY(),1,)</f>
        <v>0</v>
      </c>
    </row>
    <row r="146" spans="1:27" s="76" customFormat="1" ht="14.25" hidden="1" customHeight="1" x14ac:dyDescent="0.25">
      <c r="A146" s="52"/>
      <c r="B146" s="69"/>
      <c r="C146" s="70" t="e">
        <v>#N/A</v>
      </c>
      <c r="D146" s="70" t="e">
        <v>#N/A</v>
      </c>
      <c r="E146" s="69"/>
      <c r="F146" s="72"/>
      <c r="G146" s="72"/>
      <c r="H146" s="72"/>
      <c r="I146" s="71"/>
      <c r="J146" s="71"/>
      <c r="K146" s="71"/>
      <c r="L146" s="71"/>
      <c r="M146" s="71"/>
      <c r="N146" s="71"/>
      <c r="O146" s="69"/>
      <c r="P146" s="69"/>
      <c r="Q146" s="14" t="e">
        <v>#N/A</v>
      </c>
      <c r="R146" s="14" t="e">
        <v>#N/A</v>
      </c>
      <c r="S146" s="14"/>
      <c r="T146" s="73"/>
      <c r="U146" s="14"/>
      <c r="V146" s="14"/>
      <c r="W146" s="14"/>
      <c r="X146" s="69"/>
      <c r="Y146" s="60">
        <f ca="1">Table25[[#This Row],[End Date]]+2-TODAY()</f>
        <v>-46005</v>
      </c>
      <c r="Z146" s="14">
        <f>IF(ISBLANK(Table25[[#This Row],[Roster Received By]]),1,0)</f>
        <v>1</v>
      </c>
      <c r="AA146" s="14">
        <f ca="1">IF(Table25[[#This Row],[Start Date]]&gt;TODAY(),1,)</f>
        <v>0</v>
      </c>
    </row>
    <row r="147" spans="1:27" s="76" customFormat="1" ht="14.25" hidden="1" customHeight="1" x14ac:dyDescent="0.25">
      <c r="A147" s="52"/>
      <c r="B147" s="69"/>
      <c r="C147" s="70" t="e">
        <v>#N/A</v>
      </c>
      <c r="D147" s="70" t="e">
        <v>#N/A</v>
      </c>
      <c r="E147" s="69"/>
      <c r="F147" s="72"/>
      <c r="G147" s="72"/>
      <c r="H147" s="72"/>
      <c r="I147" s="71"/>
      <c r="J147" s="71"/>
      <c r="K147" s="71"/>
      <c r="L147" s="71"/>
      <c r="M147" s="71"/>
      <c r="N147" s="71"/>
      <c r="O147" s="69"/>
      <c r="P147" s="69"/>
      <c r="Q147" s="14" t="e">
        <v>#N/A</v>
      </c>
      <c r="R147" s="14" t="e">
        <v>#N/A</v>
      </c>
      <c r="S147" s="14"/>
      <c r="T147" s="73"/>
      <c r="U147" s="14"/>
      <c r="V147" s="14"/>
      <c r="W147" s="14"/>
      <c r="X147" s="69"/>
      <c r="Y147" s="60">
        <f ca="1">Table25[[#This Row],[End Date]]+2-TODAY()</f>
        <v>-46005</v>
      </c>
      <c r="Z147" s="14">
        <f>IF(ISBLANK(Table25[[#This Row],[Roster Received By]]),1,0)</f>
        <v>1</v>
      </c>
      <c r="AA147" s="14">
        <f ca="1">IF(Table25[[#This Row],[Start Date]]&gt;TODAY(),1,)</f>
        <v>0</v>
      </c>
    </row>
    <row r="148" spans="1:27" s="76" customFormat="1" ht="16.5" hidden="1" customHeight="1" x14ac:dyDescent="0.25">
      <c r="A148" s="52"/>
      <c r="B148" s="69"/>
      <c r="C148" s="70" t="e">
        <v>#N/A</v>
      </c>
      <c r="D148" s="70" t="e">
        <v>#N/A</v>
      </c>
      <c r="E148" s="69"/>
      <c r="F148" s="56"/>
      <c r="G148" s="56"/>
      <c r="H148" s="56"/>
      <c r="I148" s="71"/>
      <c r="J148" s="71"/>
      <c r="K148" s="71"/>
      <c r="L148" s="71"/>
      <c r="M148" s="71"/>
      <c r="N148" s="71"/>
      <c r="O148" s="69"/>
      <c r="P148" s="69"/>
      <c r="Q148" s="14" t="e">
        <v>#N/A</v>
      </c>
      <c r="R148" s="14" t="e">
        <v>#N/A</v>
      </c>
      <c r="S148" s="14"/>
      <c r="T148" s="73"/>
      <c r="U148" s="14"/>
      <c r="V148" s="14"/>
      <c r="W148" s="14"/>
      <c r="X148" s="69"/>
      <c r="Y148" s="60">
        <f ca="1">Table25[[#This Row],[End Date]]+2-TODAY()</f>
        <v>-46005</v>
      </c>
      <c r="Z148" s="14">
        <f>IF(ISBLANK(Table25[[#This Row],[Roster Received By]]),1,0)</f>
        <v>1</v>
      </c>
      <c r="AA148" s="14">
        <f ca="1">IF(Table25[[#This Row],[Start Date]]&gt;TODAY(),1,)</f>
        <v>0</v>
      </c>
    </row>
    <row r="149" spans="1:27" s="76" customFormat="1" ht="14.25" hidden="1" customHeight="1" x14ac:dyDescent="0.25">
      <c r="A149" s="69"/>
      <c r="B149" s="69"/>
      <c r="C149" s="70" t="e">
        <v>#N/A</v>
      </c>
      <c r="D149" s="70" t="e">
        <v>#N/A</v>
      </c>
      <c r="E149" s="69"/>
      <c r="F149" s="72"/>
      <c r="G149" s="72"/>
      <c r="H149" s="72"/>
      <c r="I149" s="71"/>
      <c r="J149" s="71"/>
      <c r="K149" s="71"/>
      <c r="L149" s="71"/>
      <c r="M149" s="71"/>
      <c r="N149" s="71"/>
      <c r="O149" s="69"/>
      <c r="P149" s="69"/>
      <c r="Q149" s="14" t="e">
        <v>#N/A</v>
      </c>
      <c r="R149" s="14" t="e">
        <v>#N/A</v>
      </c>
      <c r="S149" s="14"/>
      <c r="T149" s="73"/>
      <c r="U149" s="14"/>
      <c r="V149" s="14"/>
      <c r="W149" s="14"/>
      <c r="X149" s="69"/>
      <c r="Y149" s="60">
        <f ca="1">Table25[[#This Row],[End Date]]+2-TODAY()</f>
        <v>-46005</v>
      </c>
      <c r="Z149" s="14">
        <f>IF(ISBLANK(Table25[[#This Row],[Roster Received By]]),1,0)</f>
        <v>1</v>
      </c>
      <c r="AA149" s="14">
        <f ca="1">IF(Table25[[#This Row],[Start Date]]&gt;TODAY(),1,)</f>
        <v>0</v>
      </c>
    </row>
    <row r="150" spans="1:27" s="76" customFormat="1" ht="14.25" hidden="1" customHeight="1" x14ac:dyDescent="0.25">
      <c r="A150" s="52"/>
      <c r="B150" s="69"/>
      <c r="C150" s="70" t="e">
        <v>#N/A</v>
      </c>
      <c r="D150" s="70" t="e">
        <v>#N/A</v>
      </c>
      <c r="E150" s="69"/>
      <c r="F150" s="56"/>
      <c r="G150" s="56"/>
      <c r="H150" s="75"/>
      <c r="I150" s="75"/>
      <c r="J150" s="72"/>
      <c r="K150" s="72"/>
      <c r="L150" s="72"/>
      <c r="M150" s="72"/>
      <c r="N150" s="72"/>
      <c r="O150" s="69"/>
      <c r="P150" s="69"/>
      <c r="Q150" s="14" t="e">
        <v>#N/A</v>
      </c>
      <c r="R150" s="14" t="e">
        <v>#N/A</v>
      </c>
      <c r="S150" s="14"/>
      <c r="T150" s="73"/>
      <c r="U150" s="14"/>
      <c r="V150" s="14"/>
      <c r="W150" s="70"/>
      <c r="X150" s="69"/>
      <c r="Y150" s="79">
        <f ca="1">Table25[[#This Row],[End Date]]+2-TODAY()</f>
        <v>-46005</v>
      </c>
      <c r="Z150" s="14">
        <f>IF(ISBLANK(Table25[[#This Row],[Roster Received By]]),1,0)</f>
        <v>1</v>
      </c>
      <c r="AA150" s="70">
        <f ca="1">IF(Table25[[#This Row],[Start Date]]&gt;TODAY(),1,)</f>
        <v>0</v>
      </c>
    </row>
    <row r="151" spans="1:27" s="76" customFormat="1" ht="14.25" hidden="1" customHeight="1" x14ac:dyDescent="0.25">
      <c r="A151" s="52"/>
      <c r="B151" s="69"/>
      <c r="C151" s="70" t="e">
        <v>#N/A</v>
      </c>
      <c r="D151" s="70" t="e">
        <v>#N/A</v>
      </c>
      <c r="E151" s="69"/>
      <c r="F151" s="72"/>
      <c r="G151" s="72"/>
      <c r="H151" s="72"/>
      <c r="I151" s="71"/>
      <c r="J151" s="71"/>
      <c r="K151" s="71"/>
      <c r="L151" s="71"/>
      <c r="M151" s="71"/>
      <c r="N151" s="71"/>
      <c r="O151" s="69"/>
      <c r="P151" s="69"/>
      <c r="Q151" s="14" t="e">
        <v>#N/A</v>
      </c>
      <c r="R151" s="14" t="e">
        <v>#N/A</v>
      </c>
      <c r="S151" s="14"/>
      <c r="T151" s="73"/>
      <c r="U151" s="14"/>
      <c r="V151" s="14"/>
      <c r="W151" s="14"/>
      <c r="X151" s="69"/>
      <c r="Y151" s="60">
        <f ca="1">Table25[[#This Row],[End Date]]+2-TODAY()</f>
        <v>-46005</v>
      </c>
      <c r="Z151" s="14">
        <f>IF(ISBLANK(Table25[[#This Row],[Roster Received By]]),1,0)</f>
        <v>1</v>
      </c>
      <c r="AA151" s="14">
        <f ca="1">IF(Table25[[#This Row],[Start Date]]&gt;TODAY(),1,)</f>
        <v>0</v>
      </c>
    </row>
    <row r="152" spans="1:27" s="76" customFormat="1" ht="14.25" hidden="1" customHeight="1" x14ac:dyDescent="0.25">
      <c r="A152" s="69"/>
      <c r="B152" s="69"/>
      <c r="C152" s="70" t="e">
        <v>#N/A</v>
      </c>
      <c r="D152" s="70" t="e">
        <v>#N/A</v>
      </c>
      <c r="E152" s="54"/>
      <c r="F152" s="72"/>
      <c r="G152" s="72"/>
      <c r="H152" s="75"/>
      <c r="I152" s="75"/>
      <c r="J152" s="72"/>
      <c r="K152" s="72"/>
      <c r="L152" s="72"/>
      <c r="M152" s="72"/>
      <c r="N152" s="72"/>
      <c r="O152" s="69"/>
      <c r="P152" s="69"/>
      <c r="Q152" s="14" t="e">
        <v>#N/A</v>
      </c>
      <c r="R152" s="14" t="e">
        <v>#N/A</v>
      </c>
      <c r="S152" s="14"/>
      <c r="T152" s="73"/>
      <c r="U152" s="14"/>
      <c r="V152" s="14"/>
      <c r="W152" s="14"/>
      <c r="X152" s="69"/>
      <c r="Y152" s="60">
        <f ca="1">Table25[[#This Row],[End Date]]+2-TODAY()</f>
        <v>-46005</v>
      </c>
      <c r="Z152" s="14">
        <f>IF(ISBLANK(Table25[[#This Row],[Roster Received By]]),1,0)</f>
        <v>1</v>
      </c>
      <c r="AA152" s="14">
        <f ca="1">IF(Table25[[#This Row],[Start Date]]&gt;TODAY(),1,)</f>
        <v>0</v>
      </c>
    </row>
    <row r="153" spans="1:27" s="105" customFormat="1" hidden="1" x14ac:dyDescent="0.25">
      <c r="A153" s="52"/>
      <c r="B153" s="69"/>
      <c r="C153" s="70" t="e">
        <v>#N/A</v>
      </c>
      <c r="D153" s="70" t="e">
        <v>#N/A</v>
      </c>
      <c r="E153" s="69"/>
      <c r="F153" s="72"/>
      <c r="G153" s="72"/>
      <c r="H153" s="75"/>
      <c r="I153" s="75"/>
      <c r="J153" s="72"/>
      <c r="K153" s="72"/>
      <c r="L153" s="72"/>
      <c r="M153" s="72"/>
      <c r="N153" s="72"/>
      <c r="O153" s="69"/>
      <c r="P153" s="69"/>
      <c r="Q153" s="14" t="e">
        <v>#N/A</v>
      </c>
      <c r="R153" s="14" t="e">
        <v>#N/A</v>
      </c>
      <c r="S153" s="14"/>
      <c r="T153" s="73"/>
      <c r="U153" s="14"/>
      <c r="V153" s="14"/>
      <c r="W153" s="14"/>
      <c r="X153" s="69"/>
      <c r="Y153" s="60">
        <f ca="1">Table25[[#This Row],[End Date]]+2-TODAY()</f>
        <v>-46005</v>
      </c>
      <c r="Z153" s="14">
        <f>IF(ISBLANK(Table25[[#This Row],[Roster Received By]]),1,0)</f>
        <v>1</v>
      </c>
      <c r="AA153" s="14">
        <f ca="1">IF(Table25[[#This Row],[Start Date]]&gt;TODAY(),1,)</f>
        <v>0</v>
      </c>
    </row>
    <row r="154" spans="1:27" s="76" customFormat="1" ht="14.25" hidden="1" customHeight="1" x14ac:dyDescent="0.25">
      <c r="A154" s="52"/>
      <c r="B154" s="69"/>
      <c r="C154" s="70" t="e">
        <v>#N/A</v>
      </c>
      <c r="D154" s="70" t="e">
        <v>#N/A</v>
      </c>
      <c r="E154" s="69"/>
      <c r="F154" s="72"/>
      <c r="G154" s="72"/>
      <c r="H154" s="75"/>
      <c r="I154" s="75"/>
      <c r="J154" s="72"/>
      <c r="K154" s="72"/>
      <c r="L154" s="72"/>
      <c r="M154" s="72"/>
      <c r="N154" s="72"/>
      <c r="O154" s="69"/>
      <c r="P154" s="69"/>
      <c r="Q154" s="14" t="e">
        <v>#N/A</v>
      </c>
      <c r="R154" s="14" t="e">
        <v>#N/A</v>
      </c>
      <c r="S154" s="14"/>
      <c r="T154" s="73"/>
      <c r="U154" s="14"/>
      <c r="V154" s="14"/>
      <c r="W154" s="14"/>
      <c r="X154" s="69"/>
      <c r="Y154" s="60">
        <f ca="1">Table25[[#This Row],[End Date]]+2-TODAY()</f>
        <v>-46005</v>
      </c>
      <c r="Z154" s="14">
        <f>IF(ISBLANK(Table25[[#This Row],[Roster Received By]]),1,0)</f>
        <v>1</v>
      </c>
      <c r="AA154" s="14">
        <f ca="1">IF(Table25[[#This Row],[Start Date]]&gt;TODAY(),1,)</f>
        <v>0</v>
      </c>
    </row>
    <row r="155" spans="1:27" s="52" customFormat="1" hidden="1" x14ac:dyDescent="0.25">
      <c r="B155" s="69"/>
      <c r="C155" s="70" t="e">
        <v>#N/A</v>
      </c>
      <c r="D155" s="70" t="e">
        <v>#N/A</v>
      </c>
      <c r="E155" s="69"/>
      <c r="F155" s="72"/>
      <c r="G155" s="72"/>
      <c r="H155" s="75"/>
      <c r="I155" s="75"/>
      <c r="J155" s="72"/>
      <c r="K155" s="72"/>
      <c r="L155" s="72"/>
      <c r="M155" s="72"/>
      <c r="N155" s="72"/>
      <c r="O155" s="69"/>
      <c r="P155" s="69"/>
      <c r="Q155" s="14" t="e">
        <v>#N/A</v>
      </c>
      <c r="R155" s="14" t="e">
        <v>#N/A</v>
      </c>
      <c r="S155" s="14"/>
      <c r="T155" s="73"/>
      <c r="U155" s="14"/>
      <c r="V155" s="14"/>
      <c r="W155" s="14"/>
      <c r="X155" s="69"/>
      <c r="Y155" s="60">
        <f ca="1">Table25[[#This Row],[End Date]]+2-TODAY()</f>
        <v>-46005</v>
      </c>
      <c r="Z155" s="14">
        <f>IF(ISBLANK(Table25[[#This Row],[Roster Received By]]),1,0)</f>
        <v>1</v>
      </c>
      <c r="AA155" s="14">
        <f ca="1">IF(Table25[[#This Row],[Start Date]]&gt;TODAY(),1,)</f>
        <v>0</v>
      </c>
    </row>
    <row r="156" spans="1:27" s="52" customFormat="1" hidden="1" x14ac:dyDescent="0.25">
      <c r="A156" s="69"/>
      <c r="B156" s="69"/>
      <c r="C156" s="70" t="e">
        <v>#N/A</v>
      </c>
      <c r="D156" s="70" t="e">
        <v>#N/A</v>
      </c>
      <c r="E156" s="69"/>
      <c r="F156" s="72"/>
      <c r="G156" s="72"/>
      <c r="H156" s="75"/>
      <c r="I156" s="75"/>
      <c r="J156" s="72"/>
      <c r="K156" s="72"/>
      <c r="L156" s="72"/>
      <c r="M156" s="72"/>
      <c r="N156" s="72"/>
      <c r="O156" s="69"/>
      <c r="P156" s="69"/>
      <c r="Q156" s="14" t="e">
        <v>#N/A</v>
      </c>
      <c r="R156" s="14" t="e">
        <v>#N/A</v>
      </c>
      <c r="S156" s="14"/>
      <c r="T156" s="73"/>
      <c r="U156" s="14"/>
      <c r="V156" s="14"/>
      <c r="W156" s="14"/>
      <c r="X156" s="69"/>
      <c r="Y156" s="60">
        <f ca="1">Table25[[#This Row],[End Date]]+2-TODAY()</f>
        <v>-46005</v>
      </c>
      <c r="Z156" s="14">
        <f>IF(ISBLANK(Table25[[#This Row],[Roster Received By]]),1,0)</f>
        <v>1</v>
      </c>
      <c r="AA156" s="14">
        <f ca="1">IF(Table25[[#This Row],[Start Date]]&gt;TODAY(),1,)</f>
        <v>0</v>
      </c>
    </row>
    <row r="157" spans="1:27" s="52" customFormat="1" hidden="1" x14ac:dyDescent="0.25">
      <c r="B157" s="69"/>
      <c r="C157" s="70" t="e">
        <v>#N/A</v>
      </c>
      <c r="D157" s="70" t="e">
        <v>#N/A</v>
      </c>
      <c r="E157" s="69"/>
      <c r="F157" s="72"/>
      <c r="G157" s="72"/>
      <c r="H157" s="72"/>
      <c r="I157" s="71"/>
      <c r="J157" s="71"/>
      <c r="K157" s="71"/>
      <c r="L157" s="71"/>
      <c r="M157" s="71"/>
      <c r="N157" s="71"/>
      <c r="O157" s="69"/>
      <c r="P157" s="69"/>
      <c r="Q157" s="14" t="e">
        <v>#N/A</v>
      </c>
      <c r="R157" s="14" t="e">
        <v>#N/A</v>
      </c>
      <c r="S157" s="14"/>
      <c r="T157" s="73"/>
      <c r="U157" s="14"/>
      <c r="V157" s="14"/>
      <c r="W157" s="14"/>
      <c r="X157" s="69"/>
      <c r="Y157" s="60">
        <f ca="1">Table25[[#This Row],[End Date]]+2-TODAY()</f>
        <v>-46005</v>
      </c>
      <c r="Z157" s="14">
        <f>IF(ISBLANK(Table25[[#This Row],[Roster Received By]]),1,0)</f>
        <v>1</v>
      </c>
      <c r="AA157" s="14">
        <f ca="1">IF(Table25[[#This Row],[Start Date]]&gt;TODAY(),1,)</f>
        <v>0</v>
      </c>
    </row>
    <row r="158" spans="1:27" s="52" customFormat="1" hidden="1" x14ac:dyDescent="0.25">
      <c r="B158" s="69"/>
      <c r="C158" s="70" t="e">
        <v>#N/A</v>
      </c>
      <c r="D158" s="70" t="e">
        <v>#N/A</v>
      </c>
      <c r="E158" s="69"/>
      <c r="F158" s="72"/>
      <c r="G158" s="72"/>
      <c r="H158" s="72"/>
      <c r="I158" s="71"/>
      <c r="J158" s="71"/>
      <c r="K158" s="71"/>
      <c r="L158" s="71"/>
      <c r="M158" s="71"/>
      <c r="N158" s="71"/>
      <c r="O158" s="69"/>
      <c r="P158" s="69"/>
      <c r="Q158" s="14" t="e">
        <v>#N/A</v>
      </c>
      <c r="R158" s="14" t="e">
        <v>#N/A</v>
      </c>
      <c r="S158" s="14"/>
      <c r="T158" s="73"/>
      <c r="U158" s="14"/>
      <c r="V158" s="14"/>
      <c r="W158" s="14"/>
      <c r="X158" s="69"/>
      <c r="Y158" s="60">
        <f ca="1">Table25[[#This Row],[End Date]]+2-TODAY()</f>
        <v>-46005</v>
      </c>
      <c r="Z158" s="14">
        <f>IF(ISBLANK(Table25[[#This Row],[Roster Received By]]),1,0)</f>
        <v>1</v>
      </c>
      <c r="AA158" s="14">
        <f ca="1">IF(Table25[[#This Row],[Start Date]]&gt;TODAY(),1,)</f>
        <v>0</v>
      </c>
    </row>
    <row r="159" spans="1:27" s="52" customFormat="1" hidden="1" x14ac:dyDescent="0.25">
      <c r="A159" s="54"/>
      <c r="B159" s="69"/>
      <c r="C159" s="70" t="e">
        <v>#N/A</v>
      </c>
      <c r="D159" s="70" t="e">
        <v>#N/A</v>
      </c>
      <c r="E159" s="69"/>
      <c r="F159" s="72"/>
      <c r="G159" s="72"/>
      <c r="H159" s="75"/>
      <c r="I159" s="75"/>
      <c r="J159" s="72"/>
      <c r="K159" s="72"/>
      <c r="L159" s="72"/>
      <c r="M159" s="72"/>
      <c r="N159" s="72"/>
      <c r="O159" s="69"/>
      <c r="P159" s="69"/>
      <c r="Q159" s="14" t="e">
        <v>#N/A</v>
      </c>
      <c r="R159" s="14" t="e">
        <v>#N/A</v>
      </c>
      <c r="S159" s="73"/>
      <c r="T159" s="73"/>
      <c r="U159" s="14"/>
      <c r="V159" s="14"/>
      <c r="W159" s="70"/>
      <c r="X159" s="69"/>
      <c r="Y159" s="79">
        <f ca="1">Table25[[#This Row],[End Date]]+2-TODAY()</f>
        <v>-46005</v>
      </c>
      <c r="Z159" s="14">
        <f>IF(ISBLANK(Table25[[#This Row],[Roster Received By]]),1,0)</f>
        <v>1</v>
      </c>
      <c r="AA159" s="70">
        <f ca="1">IF(Table25[[#This Row],[Start Date]]&gt;TODAY(),1,)</f>
        <v>0</v>
      </c>
    </row>
    <row r="160" spans="1:27" s="52" customFormat="1" hidden="1" x14ac:dyDescent="0.25">
      <c r="A160" s="70"/>
      <c r="B160" s="69"/>
      <c r="C160" s="70" t="e">
        <v>#N/A</v>
      </c>
      <c r="D160" s="70" t="e">
        <v>#N/A</v>
      </c>
      <c r="E160" s="69"/>
      <c r="F160" s="72"/>
      <c r="G160" s="72"/>
      <c r="H160" s="78"/>
      <c r="I160" s="78"/>
      <c r="J160" s="72"/>
      <c r="K160" s="72"/>
      <c r="L160" s="72"/>
      <c r="M160" s="72"/>
      <c r="N160" s="72"/>
      <c r="O160" s="69"/>
      <c r="P160" s="69"/>
      <c r="Q160" s="14" t="e">
        <v>#N/A</v>
      </c>
      <c r="R160" s="14" t="e">
        <v>#N/A</v>
      </c>
      <c r="S160" s="77"/>
      <c r="T160" s="73"/>
      <c r="U160" s="14"/>
      <c r="V160" s="14"/>
      <c r="W160" s="14"/>
      <c r="X160" s="69"/>
      <c r="Y160" s="60">
        <f ca="1">Table25[[#This Row],[End Date]]+2-TODAY()</f>
        <v>-46005</v>
      </c>
      <c r="Z160" s="14">
        <f>IF(ISBLANK(Table25[[#This Row],[Roster Received By]]),1,0)</f>
        <v>1</v>
      </c>
      <c r="AA160" s="14">
        <f ca="1">IF(Table25[[#This Row],[Start Date]]&gt;TODAY(),1,)</f>
        <v>0</v>
      </c>
    </row>
    <row r="161" spans="1:27" s="52" customFormat="1" ht="15" hidden="1" customHeight="1" x14ac:dyDescent="0.25">
      <c r="B161" s="69"/>
      <c r="C161" s="70" t="e">
        <v>#N/A</v>
      </c>
      <c r="D161" s="70" t="e">
        <v>#N/A</v>
      </c>
      <c r="E161" s="69"/>
      <c r="F161" s="72"/>
      <c r="G161" s="72"/>
      <c r="H161" s="78"/>
      <c r="I161" s="78"/>
      <c r="J161" s="72"/>
      <c r="K161" s="72"/>
      <c r="L161" s="72"/>
      <c r="M161" s="72"/>
      <c r="N161" s="72"/>
      <c r="O161" s="69"/>
      <c r="P161" s="69"/>
      <c r="Q161" s="14" t="e">
        <v>#N/A</v>
      </c>
      <c r="R161" s="14" t="e">
        <v>#N/A</v>
      </c>
      <c r="S161" s="14"/>
      <c r="T161" s="73"/>
      <c r="U161" s="14"/>
      <c r="V161" s="14"/>
      <c r="W161" s="14"/>
      <c r="X161" s="69"/>
      <c r="Y161" s="60">
        <f ca="1">Table25[[#This Row],[End Date]]+2-TODAY()</f>
        <v>-46005</v>
      </c>
      <c r="Z161" s="14">
        <f>IF(ISBLANK(Table25[[#This Row],[Roster Received By]]),1,0)</f>
        <v>1</v>
      </c>
      <c r="AA161" s="14">
        <f ca="1">IF(Table25[[#This Row],[Start Date]]&gt;TODAY(),1,)</f>
        <v>0</v>
      </c>
    </row>
    <row r="162" spans="1:27" s="52" customFormat="1" hidden="1" x14ac:dyDescent="0.25">
      <c r="B162" s="69"/>
      <c r="C162" s="70" t="e">
        <v>#N/A</v>
      </c>
      <c r="D162" s="70" t="e">
        <v>#N/A</v>
      </c>
      <c r="E162" s="69"/>
      <c r="F162" s="72"/>
      <c r="G162" s="72"/>
      <c r="H162" s="75"/>
      <c r="I162" s="75"/>
      <c r="J162" s="72"/>
      <c r="K162" s="72"/>
      <c r="L162" s="72"/>
      <c r="M162" s="72"/>
      <c r="N162" s="72"/>
      <c r="O162" s="69"/>
      <c r="P162" s="69"/>
      <c r="Q162" s="14" t="e">
        <v>#N/A</v>
      </c>
      <c r="R162" s="14" t="e">
        <v>#N/A</v>
      </c>
      <c r="S162" s="14"/>
      <c r="T162" s="73"/>
      <c r="U162" s="14"/>
      <c r="V162" s="14"/>
      <c r="W162" s="14"/>
      <c r="X162" s="69"/>
      <c r="Y162" s="60">
        <f ca="1">Table25[[#This Row],[End Date]]+2-TODAY()</f>
        <v>-46005</v>
      </c>
      <c r="Z162" s="14">
        <f>IF(ISBLANK(Table25[[#This Row],[Roster Received By]]),1,0)</f>
        <v>1</v>
      </c>
      <c r="AA162" s="14">
        <f ca="1">IF(Table25[[#This Row],[Start Date]]&gt;TODAY(),1,)</f>
        <v>0</v>
      </c>
    </row>
    <row r="163" spans="1:27" s="52" customFormat="1" hidden="1" x14ac:dyDescent="0.25">
      <c r="B163" s="69"/>
      <c r="C163" s="70" t="e">
        <v>#N/A</v>
      </c>
      <c r="D163" s="70" t="e">
        <v>#N/A</v>
      </c>
      <c r="E163" s="69"/>
      <c r="F163" s="72"/>
      <c r="G163" s="72"/>
      <c r="H163" s="75"/>
      <c r="I163" s="75"/>
      <c r="J163" s="72"/>
      <c r="K163" s="72"/>
      <c r="L163" s="72"/>
      <c r="M163" s="72"/>
      <c r="N163" s="72"/>
      <c r="O163" s="69"/>
      <c r="P163" s="69"/>
      <c r="Q163" s="14" t="e">
        <v>#N/A</v>
      </c>
      <c r="R163" s="14" t="e">
        <v>#N/A</v>
      </c>
      <c r="S163" s="73"/>
      <c r="T163" s="73"/>
      <c r="U163" s="14"/>
      <c r="V163" s="14"/>
      <c r="W163" s="14"/>
      <c r="X163" s="69"/>
      <c r="Y163" s="60">
        <f ca="1">Table25[[#This Row],[End Date]]+2-TODAY()</f>
        <v>-46005</v>
      </c>
      <c r="Z163" s="14">
        <f>IF(ISBLANK(Table25[[#This Row],[Roster Received By]]),1,0)</f>
        <v>1</v>
      </c>
      <c r="AA163" s="14">
        <f ca="1">IF(Table25[[#This Row],[Start Date]]&gt;TODAY(),1,)</f>
        <v>0</v>
      </c>
    </row>
    <row r="164" spans="1:27" s="52" customFormat="1" hidden="1" x14ac:dyDescent="0.25">
      <c r="B164" s="69"/>
      <c r="C164" s="70" t="e">
        <v>#N/A</v>
      </c>
      <c r="D164" s="70" t="e">
        <v>#N/A</v>
      </c>
      <c r="E164" s="69"/>
      <c r="F164" s="72"/>
      <c r="G164" s="72"/>
      <c r="H164" s="75"/>
      <c r="I164" s="75"/>
      <c r="J164" s="72"/>
      <c r="K164" s="72"/>
      <c r="L164" s="72"/>
      <c r="M164" s="72"/>
      <c r="N164" s="72"/>
      <c r="O164" s="69"/>
      <c r="P164" s="69"/>
      <c r="Q164" s="14" t="e">
        <v>#N/A</v>
      </c>
      <c r="R164" s="14" t="e">
        <v>#N/A</v>
      </c>
      <c r="S164" s="14"/>
      <c r="T164" s="73"/>
      <c r="U164" s="14"/>
      <c r="V164" s="14"/>
      <c r="W164" s="14"/>
      <c r="X164" s="69"/>
      <c r="Y164" s="60">
        <f ca="1">Table25[[#This Row],[End Date]]+2-TODAY()</f>
        <v>-46005</v>
      </c>
      <c r="Z164" s="14">
        <f>IF(ISBLANK(Table25[[#This Row],[Roster Received By]]),1,0)</f>
        <v>1</v>
      </c>
      <c r="AA164" s="14">
        <f ca="1">IF(Table25[[#This Row],[Start Date]]&gt;TODAY(),1,)</f>
        <v>0</v>
      </c>
    </row>
    <row r="165" spans="1:27" s="52" customFormat="1" hidden="1" x14ac:dyDescent="0.25">
      <c r="B165" s="69"/>
      <c r="C165" s="70" t="e">
        <v>#N/A</v>
      </c>
      <c r="D165" s="70" t="e">
        <v>#N/A</v>
      </c>
      <c r="E165" s="111"/>
      <c r="F165" s="72"/>
      <c r="G165" s="72"/>
      <c r="H165" s="75"/>
      <c r="I165" s="71"/>
      <c r="J165" s="71"/>
      <c r="K165" s="71"/>
      <c r="L165" s="71"/>
      <c r="M165" s="71"/>
      <c r="N165" s="71"/>
      <c r="O165" s="69"/>
      <c r="P165" s="69"/>
      <c r="Q165" s="14" t="e">
        <v>#N/A</v>
      </c>
      <c r="R165" s="14" t="e">
        <v>#N/A</v>
      </c>
      <c r="S165" s="14"/>
      <c r="T165" s="73"/>
      <c r="U165" s="14"/>
      <c r="V165" s="14"/>
      <c r="W165" s="14"/>
      <c r="X165" s="69"/>
      <c r="Y165" s="60">
        <f ca="1">Table25[[#This Row],[End Date]]+2-TODAY()</f>
        <v>-46005</v>
      </c>
      <c r="Z165" s="14">
        <f>IF(ISBLANK(Table25[[#This Row],[Roster Received By]]),1,0)</f>
        <v>1</v>
      </c>
      <c r="AA165" s="14">
        <f ca="1">IF(Table25[[#This Row],[Start Date]]&gt;TODAY(),1,)</f>
        <v>0</v>
      </c>
    </row>
    <row r="166" spans="1:27" s="52" customFormat="1" hidden="1" x14ac:dyDescent="0.25">
      <c r="A166" s="69"/>
      <c r="B166" s="69"/>
      <c r="C166" s="70" t="e">
        <v>#N/A</v>
      </c>
      <c r="D166" s="70" t="e">
        <v>#N/A</v>
      </c>
      <c r="E166" s="54"/>
      <c r="F166" s="56"/>
      <c r="G166" s="56"/>
      <c r="H166" s="75"/>
      <c r="I166" s="75"/>
      <c r="J166" s="72"/>
      <c r="K166" s="72"/>
      <c r="L166" s="72"/>
      <c r="M166" s="72"/>
      <c r="N166" s="72"/>
      <c r="O166" s="69"/>
      <c r="P166" s="69"/>
      <c r="Q166" s="14" t="e">
        <v>#N/A</v>
      </c>
      <c r="R166" s="14" t="e">
        <v>#N/A</v>
      </c>
      <c r="S166" s="14"/>
      <c r="T166" s="73"/>
      <c r="U166" s="14"/>
      <c r="V166" s="14"/>
      <c r="W166" s="14"/>
      <c r="X166" s="69"/>
      <c r="Y166" s="60">
        <f ca="1">Table25[[#This Row],[End Date]]+2-TODAY()</f>
        <v>-46005</v>
      </c>
      <c r="Z166" s="14">
        <f>IF(ISBLANK(Table25[[#This Row],[Roster Received By]]),1,0)</f>
        <v>1</v>
      </c>
      <c r="AA166" s="14">
        <f ca="1">IF(Table25[[#This Row],[Start Date]]&gt;TODAY(),1,)</f>
        <v>0</v>
      </c>
    </row>
    <row r="167" spans="1:27" s="52" customFormat="1" hidden="1" x14ac:dyDescent="0.25">
      <c r="B167" s="69"/>
      <c r="C167" s="70" t="e">
        <v>#N/A</v>
      </c>
      <c r="D167" s="70" t="e">
        <v>#N/A</v>
      </c>
      <c r="E167" s="69"/>
      <c r="F167" s="72"/>
      <c r="G167" s="72"/>
      <c r="H167" s="72"/>
      <c r="I167" s="71"/>
      <c r="J167" s="71"/>
      <c r="K167" s="71"/>
      <c r="L167" s="71"/>
      <c r="M167" s="71"/>
      <c r="N167" s="71"/>
      <c r="O167" s="69"/>
      <c r="P167" s="69"/>
      <c r="Q167" s="14" t="e">
        <v>#N/A</v>
      </c>
      <c r="R167" s="14" t="e">
        <v>#N/A</v>
      </c>
      <c r="S167" s="14"/>
      <c r="T167" s="73"/>
      <c r="U167" s="14"/>
      <c r="V167" s="14"/>
      <c r="W167" s="14"/>
      <c r="X167" s="69"/>
      <c r="Y167" s="60">
        <f ca="1">Table25[[#This Row],[End Date]]+2-TODAY()</f>
        <v>-46005</v>
      </c>
      <c r="Z167" s="14">
        <f>IF(ISBLANK(Table25[[#This Row],[Roster Received By]]),1,0)</f>
        <v>1</v>
      </c>
      <c r="AA167" s="14">
        <f ca="1">IF(Table25[[#This Row],[Start Date]]&gt;TODAY(),1,)</f>
        <v>0</v>
      </c>
    </row>
    <row r="168" spans="1:27" s="52" customFormat="1" hidden="1" x14ac:dyDescent="0.25">
      <c r="B168" s="69"/>
      <c r="C168" s="70" t="e">
        <v>#N/A</v>
      </c>
      <c r="D168" s="70" t="e">
        <v>#N/A</v>
      </c>
      <c r="E168" s="69"/>
      <c r="F168" s="72"/>
      <c r="G168" s="72"/>
      <c r="H168" s="72"/>
      <c r="I168" s="71"/>
      <c r="J168" s="71"/>
      <c r="K168" s="71"/>
      <c r="L168" s="71"/>
      <c r="M168" s="71"/>
      <c r="N168" s="71"/>
      <c r="O168" s="69"/>
      <c r="P168" s="69"/>
      <c r="Q168" s="14" t="e">
        <v>#N/A</v>
      </c>
      <c r="R168" s="14" t="e">
        <v>#N/A</v>
      </c>
      <c r="S168" s="14"/>
      <c r="T168" s="73"/>
      <c r="U168" s="14"/>
      <c r="V168" s="14"/>
      <c r="W168" s="70"/>
      <c r="X168" s="69"/>
      <c r="Y168" s="60">
        <f ca="1">Table25[[#This Row],[End Date]]+2-TODAY()</f>
        <v>-46005</v>
      </c>
      <c r="Z168" s="14">
        <f>IF(ISBLANK(Table25[[#This Row],[Roster Received By]]),1,0)</f>
        <v>1</v>
      </c>
      <c r="AA168" s="14">
        <f ca="1">IF(Table25[[#This Row],[Start Date]]&gt;TODAY(),1,)</f>
        <v>0</v>
      </c>
    </row>
    <row r="169" spans="1:27" s="52" customFormat="1" hidden="1" x14ac:dyDescent="0.25">
      <c r="B169" s="69"/>
      <c r="C169" s="70" t="e">
        <v>#N/A</v>
      </c>
      <c r="D169" s="70" t="e">
        <v>#N/A</v>
      </c>
      <c r="E169" s="69"/>
      <c r="F169" s="80"/>
      <c r="G169" s="80"/>
      <c r="H169" s="75"/>
      <c r="I169" s="71"/>
      <c r="J169" s="71"/>
      <c r="K169" s="71"/>
      <c r="L169" s="71"/>
      <c r="M169" s="71"/>
      <c r="N169" s="71"/>
      <c r="O169" s="69"/>
      <c r="P169" s="69"/>
      <c r="Q169" s="14" t="e">
        <v>#N/A</v>
      </c>
      <c r="R169" s="14" t="e">
        <v>#N/A</v>
      </c>
      <c r="S169" s="73"/>
      <c r="T169" s="73"/>
      <c r="U169" s="14"/>
      <c r="V169" s="14"/>
      <c r="W169" s="70"/>
      <c r="X169" s="69"/>
      <c r="Y169" s="60">
        <f ca="1">Table25[[#This Row],[End Date]]+2-TODAY()</f>
        <v>-46005</v>
      </c>
      <c r="Z169" s="14">
        <f>IF(ISBLANK(Table25[[#This Row],[Roster Received By]]),1,0)</f>
        <v>1</v>
      </c>
      <c r="AA169" s="14">
        <f ca="1">IF(Table25[[#This Row],[Start Date]]&gt;TODAY(),1,)</f>
        <v>0</v>
      </c>
    </row>
    <row r="170" spans="1:27" s="52" customFormat="1" hidden="1" x14ac:dyDescent="0.25">
      <c r="B170" s="69"/>
      <c r="C170" s="70" t="e">
        <v>#N/A</v>
      </c>
      <c r="D170" s="70" t="e">
        <v>#N/A</v>
      </c>
      <c r="E170" s="94"/>
      <c r="F170" s="68"/>
      <c r="G170" s="68"/>
      <c r="H170" s="71"/>
      <c r="I170" s="71"/>
      <c r="J170" s="71"/>
      <c r="K170" s="71"/>
      <c r="L170" s="71"/>
      <c r="M170" s="71"/>
      <c r="N170" s="71"/>
      <c r="O170" s="69"/>
      <c r="P170" s="69"/>
      <c r="Q170" s="14" t="e">
        <v>#N/A</v>
      </c>
      <c r="R170" s="14" t="e">
        <v>#N/A</v>
      </c>
      <c r="S170" s="14"/>
      <c r="T170" s="73"/>
      <c r="U170" s="14"/>
      <c r="V170" s="14"/>
      <c r="W170" s="14"/>
      <c r="X170" s="69"/>
      <c r="Y170" s="60">
        <f ca="1">Table25[[#This Row],[End Date]]+2-TODAY()</f>
        <v>-46005</v>
      </c>
      <c r="Z170" s="14">
        <f>IF(ISBLANK(Table25[[#This Row],[Roster Received By]]),1,0)</f>
        <v>1</v>
      </c>
      <c r="AA170" s="14">
        <f ca="1">IF(Table25[[#This Row],[Start Date]]&gt;TODAY(),1,)</f>
        <v>0</v>
      </c>
    </row>
    <row r="171" spans="1:27" s="52" customFormat="1" hidden="1" x14ac:dyDescent="0.25">
      <c r="B171" s="69"/>
      <c r="C171" s="70" t="e">
        <v>#N/A</v>
      </c>
      <c r="D171" s="70" t="e">
        <v>#N/A</v>
      </c>
      <c r="E171"/>
      <c r="F171" s="80"/>
      <c r="G171" s="80"/>
      <c r="H171" s="75"/>
      <c r="I171" s="75"/>
      <c r="J171" s="72"/>
      <c r="K171" s="72"/>
      <c r="L171" s="72"/>
      <c r="M171" s="72"/>
      <c r="N171" s="72"/>
      <c r="O171" s="69"/>
      <c r="P171" s="69"/>
      <c r="Q171" s="14" t="e">
        <v>#N/A</v>
      </c>
      <c r="R171" s="14" t="e">
        <v>#N/A</v>
      </c>
      <c r="S171" s="14"/>
      <c r="T171" s="73"/>
      <c r="U171" s="14"/>
      <c r="V171" s="14"/>
      <c r="W171" s="14"/>
      <c r="X171" s="69"/>
      <c r="Y171" s="60">
        <f ca="1">Table25[[#This Row],[End Date]]+2-TODAY()</f>
        <v>-46005</v>
      </c>
      <c r="Z171" s="14">
        <f>IF(ISBLANK(Table25[[#This Row],[Roster Received By]]),1,0)</f>
        <v>1</v>
      </c>
      <c r="AA171" s="14">
        <f ca="1">IF(Table25[[#This Row],[Start Date]]&gt;TODAY(),1,)</f>
        <v>0</v>
      </c>
    </row>
    <row r="172" spans="1:27" s="52" customFormat="1" hidden="1" x14ac:dyDescent="0.25">
      <c r="B172" s="69"/>
      <c r="C172" s="70" t="e">
        <v>#N/A</v>
      </c>
      <c r="D172" s="70" t="e">
        <v>#N/A</v>
      </c>
      <c r="E172" s="69"/>
      <c r="F172" s="80"/>
      <c r="G172" s="80"/>
      <c r="H172" s="72"/>
      <c r="I172" s="71"/>
      <c r="J172" s="71"/>
      <c r="K172" s="71"/>
      <c r="L172" s="71"/>
      <c r="M172" s="71"/>
      <c r="N172" s="71"/>
      <c r="O172" s="69"/>
      <c r="P172" s="69"/>
      <c r="Q172" s="14" t="e">
        <v>#N/A</v>
      </c>
      <c r="R172" s="14" t="e">
        <v>#N/A</v>
      </c>
      <c r="S172" s="14"/>
      <c r="T172" s="73"/>
      <c r="U172" s="14"/>
      <c r="V172" s="14"/>
      <c r="W172" s="14"/>
      <c r="X172" s="69"/>
      <c r="Y172" s="60">
        <f ca="1">Table25[[#This Row],[End Date]]+2-TODAY()</f>
        <v>-46005</v>
      </c>
      <c r="Z172" s="14">
        <f>IF(ISBLANK(Table25[[#This Row],[Roster Received By]]),1,0)</f>
        <v>1</v>
      </c>
      <c r="AA172" s="14">
        <f ca="1">IF(Table25[[#This Row],[Start Date]]&gt;TODAY(),1,)</f>
        <v>0</v>
      </c>
    </row>
    <row r="173" spans="1:27" s="52" customFormat="1" hidden="1" x14ac:dyDescent="0.25">
      <c r="B173" s="69"/>
      <c r="C173" s="70" t="e">
        <v>#N/A</v>
      </c>
      <c r="D173" s="70" t="e">
        <v>#N/A</v>
      </c>
      <c r="E173" s="69"/>
      <c r="F173" s="72"/>
      <c r="G173" s="72"/>
      <c r="H173" s="72"/>
      <c r="I173" s="71"/>
      <c r="J173" s="71"/>
      <c r="K173" s="71"/>
      <c r="L173" s="71"/>
      <c r="M173" s="71"/>
      <c r="N173" s="71"/>
      <c r="O173" s="69"/>
      <c r="P173" s="69"/>
      <c r="Q173" s="14" t="e">
        <v>#N/A</v>
      </c>
      <c r="R173" s="14" t="e">
        <v>#N/A</v>
      </c>
      <c r="S173" s="14"/>
      <c r="T173" s="73"/>
      <c r="U173" s="14"/>
      <c r="V173" s="14"/>
      <c r="W173" s="14"/>
      <c r="X173" s="69"/>
      <c r="Y173" s="60">
        <f ca="1">Table25[[#This Row],[End Date]]+2-TODAY()</f>
        <v>-46005</v>
      </c>
      <c r="Z173" s="14">
        <f>IF(ISBLANK(Table25[[#This Row],[Roster Received By]]),1,0)</f>
        <v>1</v>
      </c>
      <c r="AA173" s="14">
        <f ca="1">IF(Table25[[#This Row],[Start Date]]&gt;TODAY(),1,)</f>
        <v>0</v>
      </c>
    </row>
    <row r="174" spans="1:27" s="52" customFormat="1" hidden="1" x14ac:dyDescent="0.25">
      <c r="B174" s="69"/>
      <c r="C174" s="70" t="e">
        <v>#N/A</v>
      </c>
      <c r="D174" s="70" t="e">
        <v>#N/A</v>
      </c>
      <c r="E174" s="69"/>
      <c r="F174" s="80"/>
      <c r="G174" s="80"/>
      <c r="H174" s="72"/>
      <c r="I174" s="71"/>
      <c r="J174" s="71"/>
      <c r="K174" s="71"/>
      <c r="L174" s="71"/>
      <c r="M174" s="71"/>
      <c r="N174" s="71"/>
      <c r="O174" s="69"/>
      <c r="P174" s="69"/>
      <c r="Q174" s="14" t="e">
        <v>#N/A</v>
      </c>
      <c r="R174" s="14" t="e">
        <v>#N/A</v>
      </c>
      <c r="S174" s="14"/>
      <c r="T174" s="73"/>
      <c r="U174" s="14"/>
      <c r="V174" s="14"/>
      <c r="W174" s="14"/>
      <c r="X174" s="69"/>
      <c r="Y174" s="60">
        <f ca="1">Table25[[#This Row],[End Date]]+2-TODAY()</f>
        <v>-46005</v>
      </c>
      <c r="Z174" s="14">
        <f>IF(ISBLANK(Table25[[#This Row],[Roster Received By]]),1,0)</f>
        <v>1</v>
      </c>
      <c r="AA174" s="14">
        <f ca="1">IF(Table25[[#This Row],[Start Date]]&gt;TODAY(),1,)</f>
        <v>0</v>
      </c>
    </row>
    <row r="175" spans="1:27" s="52" customFormat="1" hidden="1" x14ac:dyDescent="0.25">
      <c r="B175" s="69"/>
      <c r="C175" s="70" t="e">
        <v>#N/A</v>
      </c>
      <c r="D175" s="70" t="e">
        <v>#N/A</v>
      </c>
      <c r="E175" s="69"/>
      <c r="F175" s="80"/>
      <c r="G175" s="80"/>
      <c r="H175" s="72"/>
      <c r="I175" s="71"/>
      <c r="J175" s="71"/>
      <c r="K175" s="71"/>
      <c r="L175" s="71"/>
      <c r="M175" s="71"/>
      <c r="N175" s="71"/>
      <c r="O175" s="69"/>
      <c r="P175" s="69"/>
      <c r="Q175" s="14" t="e">
        <v>#N/A</v>
      </c>
      <c r="R175" s="14" t="e">
        <v>#N/A</v>
      </c>
      <c r="S175" s="14"/>
      <c r="T175" s="73"/>
      <c r="U175" s="14"/>
      <c r="V175" s="14"/>
      <c r="W175" s="14"/>
      <c r="X175" s="69"/>
      <c r="Y175" s="60">
        <f ca="1">Table25[[#This Row],[End Date]]+2-TODAY()</f>
        <v>-46005</v>
      </c>
      <c r="Z175" s="14">
        <f>IF(ISBLANK(Table25[[#This Row],[Roster Received By]]),1,0)</f>
        <v>1</v>
      </c>
      <c r="AA175" s="14">
        <f ca="1">IF(Table25[[#This Row],[Start Date]]&gt;TODAY(),1,)</f>
        <v>0</v>
      </c>
    </row>
    <row r="176" spans="1:27" s="52" customFormat="1" hidden="1" x14ac:dyDescent="0.25">
      <c r="B176" s="69"/>
      <c r="C176" s="70" t="e">
        <v>#N/A</v>
      </c>
      <c r="D176" s="70" t="e">
        <v>#N/A</v>
      </c>
      <c r="E176" s="69"/>
      <c r="F176" s="80"/>
      <c r="G176" s="80"/>
      <c r="H176" s="72"/>
      <c r="I176" s="71"/>
      <c r="J176" s="71"/>
      <c r="K176" s="71"/>
      <c r="L176" s="71"/>
      <c r="M176" s="71"/>
      <c r="N176" s="71"/>
      <c r="O176" s="69"/>
      <c r="P176" s="69"/>
      <c r="Q176" s="14" t="e">
        <v>#N/A</v>
      </c>
      <c r="R176" s="14" t="e">
        <v>#N/A</v>
      </c>
      <c r="S176" s="14"/>
      <c r="T176" s="73"/>
      <c r="U176" s="14"/>
      <c r="V176" s="14"/>
      <c r="W176" s="14"/>
      <c r="X176" s="69"/>
      <c r="Y176" s="60">
        <f ca="1">Table25[[#This Row],[End Date]]+2-TODAY()</f>
        <v>-46005</v>
      </c>
      <c r="Z176" s="14">
        <f>IF(ISBLANK(Table25[[#This Row],[Roster Received By]]),1,0)</f>
        <v>1</v>
      </c>
      <c r="AA176" s="14">
        <f ca="1">IF(Table25[[#This Row],[Start Date]]&gt;TODAY(),1,)</f>
        <v>0</v>
      </c>
    </row>
    <row r="177" spans="1:27" s="52" customFormat="1" hidden="1" x14ac:dyDescent="0.25">
      <c r="B177" s="69"/>
      <c r="C177" s="70" t="e">
        <v>#N/A</v>
      </c>
      <c r="D177" s="70" t="e">
        <v>#N/A</v>
      </c>
      <c r="E177" s="69"/>
      <c r="F177" s="80"/>
      <c r="G177" s="80"/>
      <c r="H177" s="72"/>
      <c r="I177" s="71"/>
      <c r="J177" s="71"/>
      <c r="K177" s="71"/>
      <c r="L177" s="71"/>
      <c r="M177" s="71"/>
      <c r="N177" s="71"/>
      <c r="O177" s="69"/>
      <c r="P177" s="69"/>
      <c r="Q177" s="14" t="e">
        <v>#N/A</v>
      </c>
      <c r="R177" s="14" t="e">
        <v>#N/A</v>
      </c>
      <c r="S177" s="14"/>
      <c r="T177" s="73"/>
      <c r="U177" s="14"/>
      <c r="V177" s="14"/>
      <c r="W177" s="70"/>
      <c r="X177" s="69"/>
      <c r="Y177" s="60">
        <f ca="1">Table25[[#This Row],[End Date]]+2-TODAY()</f>
        <v>-46005</v>
      </c>
      <c r="Z177" s="14">
        <f>IF(ISBLANK(Table25[[#This Row],[Roster Received By]]),1,0)</f>
        <v>1</v>
      </c>
      <c r="AA177" s="14">
        <f ca="1">IF(Table25[[#This Row],[Start Date]]&gt;TODAY(),1,)</f>
        <v>0</v>
      </c>
    </row>
    <row r="178" spans="1:27" s="52" customFormat="1" hidden="1" x14ac:dyDescent="0.25">
      <c r="B178" s="69"/>
      <c r="C178" s="70" t="e">
        <v>#N/A</v>
      </c>
      <c r="D178" s="70" t="e">
        <v>#N/A</v>
      </c>
      <c r="E178" s="69"/>
      <c r="F178" s="80"/>
      <c r="G178" s="80"/>
      <c r="H178" s="72"/>
      <c r="I178" s="71"/>
      <c r="J178" s="71"/>
      <c r="K178" s="71"/>
      <c r="L178" s="71"/>
      <c r="M178" s="71"/>
      <c r="N178" s="71"/>
      <c r="O178" s="69"/>
      <c r="P178" s="69"/>
      <c r="Q178" s="14" t="e">
        <v>#N/A</v>
      </c>
      <c r="R178" s="14" t="e">
        <v>#N/A</v>
      </c>
      <c r="S178" s="14"/>
      <c r="T178" s="73"/>
      <c r="U178" s="14"/>
      <c r="V178" s="14"/>
      <c r="W178" s="14"/>
      <c r="X178" s="69"/>
      <c r="Y178" s="60">
        <f ca="1">Table25[[#This Row],[End Date]]+2-TODAY()</f>
        <v>-46005</v>
      </c>
      <c r="Z178" s="14">
        <f>IF(ISBLANK(Table25[[#This Row],[Roster Received By]]),1,0)</f>
        <v>1</v>
      </c>
      <c r="AA178" s="14">
        <f ca="1">IF(Table25[[#This Row],[Start Date]]&gt;TODAY(),1,)</f>
        <v>0</v>
      </c>
    </row>
    <row r="179" spans="1:27" s="52" customFormat="1" hidden="1" x14ac:dyDescent="0.25">
      <c r="B179" s="69"/>
      <c r="C179" s="70" t="e">
        <v>#N/A</v>
      </c>
      <c r="D179" s="70" t="e">
        <v>#N/A</v>
      </c>
      <c r="E179" s="69"/>
      <c r="F179" s="80"/>
      <c r="G179" s="80"/>
      <c r="H179" s="72"/>
      <c r="I179" s="71"/>
      <c r="J179" s="71"/>
      <c r="K179" s="71"/>
      <c r="L179" s="71"/>
      <c r="M179" s="71"/>
      <c r="N179" s="71"/>
      <c r="O179" s="69"/>
      <c r="P179" s="69"/>
      <c r="Q179" s="14" t="e">
        <v>#N/A</v>
      </c>
      <c r="R179" s="14" t="e">
        <v>#N/A</v>
      </c>
      <c r="S179" s="14"/>
      <c r="T179" s="73"/>
      <c r="U179" s="14"/>
      <c r="V179" s="14"/>
      <c r="W179" s="14"/>
      <c r="X179" s="69"/>
      <c r="Y179" s="60">
        <f ca="1">Table25[[#This Row],[End Date]]+2-TODAY()</f>
        <v>-46005</v>
      </c>
      <c r="Z179" s="14">
        <f>IF(ISBLANK(Table25[[#This Row],[Roster Received By]]),1,0)</f>
        <v>1</v>
      </c>
      <c r="AA179" s="14">
        <f ca="1">IF(Table25[[#This Row],[Start Date]]&gt;TODAY(),1,)</f>
        <v>0</v>
      </c>
    </row>
    <row r="180" spans="1:27" s="52" customFormat="1" hidden="1" x14ac:dyDescent="0.25">
      <c r="B180" s="69"/>
      <c r="C180" s="70" t="e">
        <v>#N/A</v>
      </c>
      <c r="D180" s="70" t="e">
        <v>#N/A</v>
      </c>
      <c r="E180" s="69"/>
      <c r="F180" s="80"/>
      <c r="G180" s="80"/>
      <c r="H180" s="75"/>
      <c r="I180" s="75"/>
      <c r="J180" s="75"/>
      <c r="K180" s="75"/>
      <c r="L180" s="75"/>
      <c r="M180" s="75"/>
      <c r="N180" s="72"/>
      <c r="O180" s="69"/>
      <c r="P180" s="69"/>
      <c r="Q180" s="14" t="e">
        <v>#N/A</v>
      </c>
      <c r="R180" s="14" t="e">
        <v>#N/A</v>
      </c>
      <c r="S180" s="14"/>
      <c r="T180" s="73"/>
      <c r="U180" s="14"/>
      <c r="V180" s="14"/>
      <c r="W180" s="14"/>
      <c r="X180" s="69"/>
      <c r="Y180" s="60">
        <f ca="1">Table25[[#This Row],[End Date]]+2-TODAY()</f>
        <v>-46005</v>
      </c>
      <c r="Z180" s="14">
        <f>IF(ISBLANK(Table25[[#This Row],[Roster Received By]]),1,0)</f>
        <v>1</v>
      </c>
      <c r="AA180" s="14">
        <f ca="1">IF(Table25[[#This Row],[Start Date]]&gt;TODAY(),1,)</f>
        <v>0</v>
      </c>
    </row>
    <row r="181" spans="1:27" s="52" customFormat="1" hidden="1" x14ac:dyDescent="0.25">
      <c r="B181" s="69"/>
      <c r="C181" s="70" t="e">
        <v>#N/A</v>
      </c>
      <c r="D181" s="70" t="e">
        <v>#N/A</v>
      </c>
      <c r="E181" s="69"/>
      <c r="F181" s="72"/>
      <c r="G181" s="72"/>
      <c r="H181" s="72"/>
      <c r="I181" s="71"/>
      <c r="J181" s="71"/>
      <c r="K181" s="71"/>
      <c r="L181" s="71"/>
      <c r="M181" s="71"/>
      <c r="N181" s="71"/>
      <c r="O181" s="69"/>
      <c r="P181" s="69"/>
      <c r="Q181" s="14" t="e">
        <v>#N/A</v>
      </c>
      <c r="R181" s="14" t="e">
        <v>#N/A</v>
      </c>
      <c r="S181" s="14"/>
      <c r="T181" s="73"/>
      <c r="U181" s="14"/>
      <c r="V181" s="14"/>
      <c r="W181" s="14"/>
      <c r="X181" s="69"/>
      <c r="Y181" s="60">
        <f ca="1">Table25[[#This Row],[End Date]]+2-TODAY()</f>
        <v>-46005</v>
      </c>
      <c r="Z181" s="14">
        <f>IF(ISBLANK(Table25[[#This Row],[Roster Received By]]),1,0)</f>
        <v>1</v>
      </c>
      <c r="AA181" s="14">
        <f ca="1">IF(Table25[[#This Row],[Start Date]]&gt;TODAY(),1,)</f>
        <v>0</v>
      </c>
    </row>
    <row r="182" spans="1:27" s="15" customFormat="1" ht="14.25" hidden="1" customHeight="1" x14ac:dyDescent="0.25">
      <c r="A182" s="52"/>
      <c r="B182" s="69"/>
      <c r="C182" s="70" t="e">
        <v>#N/A</v>
      </c>
      <c r="D182" s="70" t="e">
        <v>#N/A</v>
      </c>
      <c r="E182" s="69"/>
      <c r="F182" s="72"/>
      <c r="G182" s="72"/>
      <c r="H182" s="75"/>
      <c r="I182" s="75"/>
      <c r="J182" s="72"/>
      <c r="K182" s="72"/>
      <c r="L182" s="72"/>
      <c r="M182" s="72"/>
      <c r="N182" s="72"/>
      <c r="O182" s="69"/>
      <c r="P182" s="69"/>
      <c r="Q182" s="14" t="e">
        <v>#N/A</v>
      </c>
      <c r="R182" s="14" t="e">
        <v>#N/A</v>
      </c>
      <c r="S182" s="14"/>
      <c r="T182" s="73"/>
      <c r="U182" s="14"/>
      <c r="V182" s="14"/>
      <c r="W182" s="14"/>
      <c r="X182" s="69"/>
      <c r="Y182" s="60">
        <f ca="1">Table25[[#This Row],[End Date]]+2-TODAY()</f>
        <v>-46005</v>
      </c>
      <c r="Z182" s="14">
        <f>IF(ISBLANK(Table25[[#This Row],[Roster Received By]]),1,0)</f>
        <v>1</v>
      </c>
      <c r="AA182" s="14">
        <f ca="1">IF(Table25[[#This Row],[Start Date]]&gt;TODAY(),1,)</f>
        <v>0</v>
      </c>
    </row>
    <row r="183" spans="1:27" s="52" customFormat="1" ht="15" hidden="1" customHeight="1" x14ac:dyDescent="0.25">
      <c r="B183" s="69"/>
      <c r="C183" s="70" t="e">
        <v>#N/A</v>
      </c>
      <c r="D183" s="70" t="e">
        <v>#N/A</v>
      </c>
      <c r="E183" s="69"/>
      <c r="F183" s="80"/>
      <c r="G183" s="80"/>
      <c r="H183" s="75"/>
      <c r="I183" s="75"/>
      <c r="J183" s="72"/>
      <c r="K183" s="72"/>
      <c r="L183" s="72"/>
      <c r="M183" s="72"/>
      <c r="N183" s="72"/>
      <c r="O183" s="69"/>
      <c r="P183" s="69"/>
      <c r="Q183" s="14" t="e">
        <v>#N/A</v>
      </c>
      <c r="R183" s="14" t="e">
        <v>#N/A</v>
      </c>
      <c r="S183" s="14"/>
      <c r="T183" s="73"/>
      <c r="U183" s="14"/>
      <c r="V183" s="14"/>
      <c r="W183" s="14"/>
      <c r="X183" s="69"/>
      <c r="Y183" s="60">
        <f ca="1">Table25[[#This Row],[End Date]]+2-TODAY()</f>
        <v>-46005</v>
      </c>
      <c r="Z183" s="14">
        <f>IF(ISBLANK(Table25[[#This Row],[Roster Received By]]),1,0)</f>
        <v>1</v>
      </c>
      <c r="AA183" s="14">
        <f ca="1">IF(Table25[[#This Row],[Start Date]]&gt;TODAY(),1,)</f>
        <v>0</v>
      </c>
    </row>
    <row r="184" spans="1:27" s="52" customFormat="1" hidden="1" x14ac:dyDescent="0.25">
      <c r="B184" s="69"/>
      <c r="C184" s="70" t="e">
        <v>#N/A</v>
      </c>
      <c r="D184" s="70" t="e">
        <v>#N/A</v>
      </c>
      <c r="E184" s="69"/>
      <c r="F184" s="80"/>
      <c r="G184" s="80"/>
      <c r="H184" s="72"/>
      <c r="I184" s="71"/>
      <c r="J184" s="71"/>
      <c r="K184" s="71"/>
      <c r="L184" s="71"/>
      <c r="M184" s="71"/>
      <c r="N184" s="71"/>
      <c r="O184" s="69"/>
      <c r="P184" s="69"/>
      <c r="Q184" s="14" t="e">
        <v>#N/A</v>
      </c>
      <c r="R184" s="14" t="e">
        <v>#N/A</v>
      </c>
      <c r="S184" s="14"/>
      <c r="T184" s="73"/>
      <c r="U184" s="14"/>
      <c r="V184" s="14"/>
      <c r="W184" s="14"/>
      <c r="X184" s="69"/>
      <c r="Y184" s="60">
        <f ca="1">Table25[[#This Row],[End Date]]+2-TODAY()</f>
        <v>-46005</v>
      </c>
      <c r="Z184" s="14">
        <f>IF(ISBLANK(Table25[[#This Row],[Roster Received By]]),1,0)</f>
        <v>1</v>
      </c>
      <c r="AA184" s="14">
        <f ca="1">IF(Table25[[#This Row],[Start Date]]&gt;TODAY(),1,)</f>
        <v>0</v>
      </c>
    </row>
    <row r="185" spans="1:27" s="52" customFormat="1" hidden="1" x14ac:dyDescent="0.25">
      <c r="B185" s="69"/>
      <c r="C185" s="70" t="e">
        <v>#N/A</v>
      </c>
      <c r="D185" s="70" t="e">
        <v>#N/A</v>
      </c>
      <c r="E185" s="69"/>
      <c r="F185" s="72"/>
      <c r="G185" s="72"/>
      <c r="H185" s="75"/>
      <c r="I185" s="75"/>
      <c r="J185" s="72"/>
      <c r="K185" s="72"/>
      <c r="L185" s="72"/>
      <c r="M185" s="72"/>
      <c r="N185" s="72"/>
      <c r="O185" s="69"/>
      <c r="P185" s="69"/>
      <c r="Q185" s="14" t="e">
        <v>#N/A</v>
      </c>
      <c r="R185" s="14" t="e">
        <v>#N/A</v>
      </c>
      <c r="S185" s="73"/>
      <c r="T185" s="73"/>
      <c r="U185" s="14"/>
      <c r="V185" s="14"/>
      <c r="W185" s="14"/>
      <c r="X185" s="69"/>
      <c r="Y185" s="60">
        <f ca="1">Table25[[#This Row],[End Date]]+2-TODAY()</f>
        <v>-46005</v>
      </c>
      <c r="Z185" s="14">
        <f>IF(ISBLANK(Table25[[#This Row],[Roster Received By]]),1,0)</f>
        <v>1</v>
      </c>
      <c r="AA185" s="14">
        <f ca="1">IF(Table25[[#This Row],[Start Date]]&gt;TODAY(),1,)</f>
        <v>0</v>
      </c>
    </row>
    <row r="186" spans="1:27" s="52" customFormat="1" hidden="1" x14ac:dyDescent="0.25">
      <c r="B186" s="69"/>
      <c r="C186" s="70" t="e">
        <v>#N/A</v>
      </c>
      <c r="D186" s="70" t="e">
        <v>#N/A</v>
      </c>
      <c r="E186" s="69"/>
      <c r="F186" s="72"/>
      <c r="G186" s="72"/>
      <c r="H186" s="72"/>
      <c r="I186" s="71"/>
      <c r="J186" s="71"/>
      <c r="K186" s="71"/>
      <c r="L186" s="71"/>
      <c r="M186" s="71"/>
      <c r="N186" s="71"/>
      <c r="O186" s="69"/>
      <c r="P186" s="69"/>
      <c r="Q186" s="14" t="e">
        <v>#N/A</v>
      </c>
      <c r="R186" s="14" t="e">
        <v>#N/A</v>
      </c>
      <c r="S186" s="14"/>
      <c r="T186" s="73"/>
      <c r="U186" s="14"/>
      <c r="V186" s="14"/>
      <c r="W186" s="77"/>
      <c r="X186" s="69"/>
      <c r="Y186" s="60">
        <f ca="1">Table25[[#This Row],[End Date]]+2-TODAY()</f>
        <v>-46005</v>
      </c>
      <c r="Z186" s="14">
        <f>IF(ISBLANK(Table25[[#This Row],[Roster Received By]]),1,0)</f>
        <v>1</v>
      </c>
      <c r="AA186" s="14">
        <f ca="1">IF(Table25[[#This Row],[Start Date]]&gt;TODAY(),1,)</f>
        <v>0</v>
      </c>
    </row>
    <row r="187" spans="1:27" s="52" customFormat="1" hidden="1" x14ac:dyDescent="0.25">
      <c r="B187" s="69"/>
      <c r="C187" s="70" t="e">
        <v>#N/A</v>
      </c>
      <c r="D187" s="70" t="e">
        <v>#N/A</v>
      </c>
      <c r="E187" s="69"/>
      <c r="F187" s="72"/>
      <c r="G187" s="72"/>
      <c r="H187" s="72"/>
      <c r="I187" s="71"/>
      <c r="J187" s="71"/>
      <c r="K187" s="71"/>
      <c r="L187" s="71"/>
      <c r="M187" s="71"/>
      <c r="N187" s="71"/>
      <c r="O187" s="69"/>
      <c r="P187" s="69"/>
      <c r="Q187" s="14" t="e">
        <v>#N/A</v>
      </c>
      <c r="R187" s="14" t="e">
        <v>#N/A</v>
      </c>
      <c r="S187" s="14"/>
      <c r="T187" s="73"/>
      <c r="U187" s="14"/>
      <c r="V187" s="14"/>
      <c r="W187" s="73"/>
      <c r="X187" s="69"/>
      <c r="Y187" s="60">
        <f ca="1">Table25[[#This Row],[End Date]]+2-TODAY()</f>
        <v>-46005</v>
      </c>
      <c r="Z187" s="14">
        <f>IF(ISBLANK(Table25[[#This Row],[Roster Received By]]),1,0)</f>
        <v>1</v>
      </c>
      <c r="AA187" s="14">
        <f ca="1">IF(Table25[[#This Row],[Start Date]]&gt;TODAY(),1,)</f>
        <v>0</v>
      </c>
    </row>
    <row r="188" spans="1:27" s="52" customFormat="1" hidden="1" x14ac:dyDescent="0.25">
      <c r="A188" s="54"/>
      <c r="B188" s="69"/>
      <c r="C188" s="70" t="e">
        <v>#N/A</v>
      </c>
      <c r="D188" s="70" t="e">
        <v>#N/A</v>
      </c>
      <c r="E188" s="69"/>
      <c r="F188" s="72"/>
      <c r="G188" s="72"/>
      <c r="H188" s="78"/>
      <c r="I188" s="78"/>
      <c r="J188" s="72"/>
      <c r="K188" s="72"/>
      <c r="L188" s="72"/>
      <c r="M188" s="72"/>
      <c r="N188" s="72"/>
      <c r="O188" s="69"/>
      <c r="P188" s="69"/>
      <c r="Q188" s="14" t="e">
        <v>#N/A</v>
      </c>
      <c r="R188" s="14" t="e">
        <v>#N/A</v>
      </c>
      <c r="S188" s="14"/>
      <c r="T188" s="73"/>
      <c r="U188" s="14"/>
      <c r="V188" s="14"/>
      <c r="W188" s="14"/>
      <c r="X188" s="69"/>
      <c r="Y188" s="60">
        <f ca="1">Table25[[#This Row],[End Date]]+2-TODAY()</f>
        <v>-46005</v>
      </c>
      <c r="Z188" s="14">
        <f>IF(ISBLANK(Table25[[#This Row],[Roster Received By]]),1,0)</f>
        <v>1</v>
      </c>
      <c r="AA188" s="14">
        <f ca="1">IF(Table25[[#This Row],[Start Date]]&gt;TODAY(),1,)</f>
        <v>0</v>
      </c>
    </row>
    <row r="189" spans="1:27" s="52" customFormat="1" hidden="1" x14ac:dyDescent="0.25">
      <c r="B189" s="69"/>
      <c r="C189" s="70" t="e">
        <v>#N/A</v>
      </c>
      <c r="D189" s="70" t="e">
        <v>#N/A</v>
      </c>
      <c r="E189" s="69"/>
      <c r="F189" s="72"/>
      <c r="G189" s="72"/>
      <c r="H189" s="75"/>
      <c r="I189" s="78"/>
      <c r="J189" s="72"/>
      <c r="K189" s="72"/>
      <c r="L189" s="72"/>
      <c r="M189" s="72"/>
      <c r="N189" s="72"/>
      <c r="O189" s="69"/>
      <c r="P189" s="69"/>
      <c r="Q189" s="14" t="e">
        <v>#N/A</v>
      </c>
      <c r="R189" s="14" t="e">
        <v>#N/A</v>
      </c>
      <c r="S189" s="73"/>
      <c r="T189" s="73"/>
      <c r="U189" s="14"/>
      <c r="V189" s="14"/>
      <c r="W189" s="14"/>
      <c r="X189" s="69"/>
      <c r="Y189" s="60">
        <f ca="1">Table25[[#This Row],[End Date]]+2-TODAY()</f>
        <v>-46005</v>
      </c>
      <c r="Z189" s="14">
        <f>IF(ISBLANK(Table25[[#This Row],[Roster Received By]]),1,0)</f>
        <v>1</v>
      </c>
      <c r="AA189" s="14">
        <f ca="1">IF(Table25[[#This Row],[Start Date]]&gt;TODAY(),1,)</f>
        <v>0</v>
      </c>
    </row>
    <row r="190" spans="1:27" s="52" customFormat="1" hidden="1" x14ac:dyDescent="0.25">
      <c r="B190" s="69"/>
      <c r="C190" s="70" t="e">
        <v>#N/A</v>
      </c>
      <c r="D190" s="70" t="e">
        <v>#N/A</v>
      </c>
      <c r="E190" s="94"/>
      <c r="F190" s="56"/>
      <c r="G190" s="56"/>
      <c r="H190" s="71"/>
      <c r="I190" s="71"/>
      <c r="J190" s="71"/>
      <c r="K190" s="71"/>
      <c r="L190" s="71"/>
      <c r="M190" s="71"/>
      <c r="N190" s="71"/>
      <c r="O190" s="69"/>
      <c r="P190" s="69"/>
      <c r="Q190" s="14" t="e">
        <v>#N/A</v>
      </c>
      <c r="R190" s="14" t="e">
        <v>#N/A</v>
      </c>
      <c r="S190" s="14"/>
      <c r="T190" s="73"/>
      <c r="U190" s="14"/>
      <c r="V190" s="14"/>
      <c r="W190" s="14"/>
      <c r="X190" s="69"/>
      <c r="Y190" s="60">
        <f ca="1">Table25[[#This Row],[End Date]]+2-TODAY()</f>
        <v>-46005</v>
      </c>
      <c r="Z190" s="14">
        <f>IF(ISBLANK(Table25[[#This Row],[Roster Received By]]),1,0)</f>
        <v>1</v>
      </c>
      <c r="AA190" s="14">
        <f ca="1">IF(Table25[[#This Row],[Start Date]]&gt;TODAY(),1,)</f>
        <v>0</v>
      </c>
    </row>
    <row r="191" spans="1:27" s="52" customFormat="1" hidden="1" x14ac:dyDescent="0.25">
      <c r="A191" s="69"/>
      <c r="B191" s="69"/>
      <c r="C191" s="70" t="e">
        <v>#N/A</v>
      </c>
      <c r="D191" s="70" t="e">
        <v>#N/A</v>
      </c>
      <c r="E191" s="69"/>
      <c r="F191" s="72"/>
      <c r="G191" s="72"/>
      <c r="H191" s="75"/>
      <c r="I191" s="75"/>
      <c r="J191" s="72"/>
      <c r="K191" s="72"/>
      <c r="L191" s="72"/>
      <c r="M191" s="72"/>
      <c r="N191" s="72"/>
      <c r="O191" s="69"/>
      <c r="P191" s="69"/>
      <c r="Q191" s="14" t="e">
        <v>#N/A</v>
      </c>
      <c r="R191" s="14" t="e">
        <v>#N/A</v>
      </c>
      <c r="S191" s="14"/>
      <c r="T191" s="73"/>
      <c r="U191" s="14"/>
      <c r="V191" s="14"/>
      <c r="W191" s="14"/>
      <c r="X191" s="69"/>
      <c r="Y191" s="60">
        <f ca="1">Table25[[#This Row],[End Date]]+2-TODAY()</f>
        <v>-46005</v>
      </c>
      <c r="Z191" s="14">
        <f>IF(ISBLANK(Table25[[#This Row],[Roster Received By]]),1,0)</f>
        <v>1</v>
      </c>
      <c r="AA191" s="14">
        <f ca="1">IF(Table25[[#This Row],[Start Date]]&gt;TODAY(),1,)</f>
        <v>0</v>
      </c>
    </row>
    <row r="192" spans="1:27" s="52" customFormat="1" hidden="1" x14ac:dyDescent="0.25">
      <c r="A192" s="70"/>
      <c r="B192" s="69"/>
      <c r="C192" s="70" t="e">
        <v>#N/A</v>
      </c>
      <c r="D192" s="70" t="e">
        <v>#N/A</v>
      </c>
      <c r="E192" s="69"/>
      <c r="F192" s="72"/>
      <c r="G192" s="72"/>
      <c r="H192" s="75"/>
      <c r="I192" s="75"/>
      <c r="J192" s="72"/>
      <c r="K192" s="72"/>
      <c r="L192" s="72"/>
      <c r="M192" s="72"/>
      <c r="N192" s="72"/>
      <c r="O192" s="69"/>
      <c r="P192" s="69"/>
      <c r="Q192" s="14" t="e">
        <v>#N/A</v>
      </c>
      <c r="R192" s="14" t="e">
        <v>#N/A</v>
      </c>
      <c r="S192" s="77"/>
      <c r="T192" s="73"/>
      <c r="U192" s="14"/>
      <c r="V192" s="14"/>
      <c r="W192" s="14"/>
      <c r="X192" s="69"/>
      <c r="Y192" s="60">
        <f ca="1">Table25[[#This Row],[End Date]]+2-TODAY()</f>
        <v>-46005</v>
      </c>
      <c r="Z192" s="14">
        <f>IF(ISBLANK(Table25[[#This Row],[Roster Received By]]),1,0)</f>
        <v>1</v>
      </c>
      <c r="AA192" s="14">
        <f ca="1">IF(Table25[[#This Row],[Start Date]]&gt;TODAY(),1,)</f>
        <v>0</v>
      </c>
    </row>
    <row r="193" spans="1:27" s="52" customFormat="1" hidden="1" x14ac:dyDescent="0.25">
      <c r="B193" s="69"/>
      <c r="C193" s="70" t="e">
        <v>#N/A</v>
      </c>
      <c r="D193" s="70" t="e">
        <v>#N/A</v>
      </c>
      <c r="E193" s="69"/>
      <c r="F193" s="72"/>
      <c r="G193" s="72"/>
      <c r="H193" s="75"/>
      <c r="I193" s="75"/>
      <c r="J193" s="72"/>
      <c r="K193" s="72"/>
      <c r="L193" s="72"/>
      <c r="M193" s="72"/>
      <c r="N193" s="72"/>
      <c r="O193" s="69"/>
      <c r="P193" s="69"/>
      <c r="Q193" s="14" t="e">
        <v>#N/A</v>
      </c>
      <c r="R193" s="14" t="e">
        <v>#N/A</v>
      </c>
      <c r="S193" s="14"/>
      <c r="T193" s="73"/>
      <c r="U193" s="14"/>
      <c r="V193" s="14"/>
      <c r="W193" s="14"/>
      <c r="X193" s="69"/>
      <c r="Y193" s="60">
        <f ca="1">Table25[[#This Row],[End Date]]+2-TODAY()</f>
        <v>-46005</v>
      </c>
      <c r="Z193" s="14">
        <f>IF(ISBLANK(Table25[[#This Row],[Roster Received By]]),1,0)</f>
        <v>1</v>
      </c>
      <c r="AA193" s="14">
        <f ca="1">IF(Table25[[#This Row],[Start Date]]&gt;TODAY(),1,)</f>
        <v>0</v>
      </c>
    </row>
    <row r="194" spans="1:27" s="52" customFormat="1" hidden="1" x14ac:dyDescent="0.25">
      <c r="B194" s="69"/>
      <c r="C194" s="70" t="e">
        <v>#N/A</v>
      </c>
      <c r="D194" s="70" t="e">
        <v>#N/A</v>
      </c>
      <c r="E194" s="69"/>
      <c r="F194" s="72"/>
      <c r="G194" s="72"/>
      <c r="H194" s="72"/>
      <c r="I194" s="71"/>
      <c r="J194" s="71"/>
      <c r="K194" s="71"/>
      <c r="L194" s="71"/>
      <c r="M194" s="71"/>
      <c r="N194" s="71"/>
      <c r="O194" s="69"/>
      <c r="P194" s="69"/>
      <c r="Q194" s="14" t="e">
        <v>#N/A</v>
      </c>
      <c r="R194" s="14" t="e">
        <v>#N/A</v>
      </c>
      <c r="S194" s="14"/>
      <c r="T194" s="73"/>
      <c r="U194" s="14"/>
      <c r="V194" s="14"/>
      <c r="W194" s="14"/>
      <c r="X194" s="69"/>
      <c r="Y194" s="60">
        <f ca="1">Table25[[#This Row],[End Date]]+2-TODAY()</f>
        <v>-46005</v>
      </c>
      <c r="Z194" s="14">
        <f>IF(ISBLANK(Table25[[#This Row],[Roster Received By]]),1,0)</f>
        <v>1</v>
      </c>
      <c r="AA194" s="14">
        <f ca="1">IF(Table25[[#This Row],[Start Date]]&gt;TODAY(),1,)</f>
        <v>0</v>
      </c>
    </row>
    <row r="195" spans="1:27" s="52" customFormat="1" hidden="1" x14ac:dyDescent="0.25">
      <c r="B195" s="54"/>
      <c r="C195" s="70" t="e">
        <v>#N/A</v>
      </c>
      <c r="D195" s="70" t="e">
        <v>#N/A</v>
      </c>
      <c r="E195" s="54"/>
      <c r="F195" s="56"/>
      <c r="G195" s="56"/>
      <c r="H195" s="71"/>
      <c r="I195" s="71"/>
      <c r="J195" s="72"/>
      <c r="K195" s="72"/>
      <c r="L195" s="72"/>
      <c r="M195" s="72"/>
      <c r="N195" s="72"/>
      <c r="O195" s="69"/>
      <c r="P195" s="69"/>
      <c r="Q195" s="14" t="e">
        <v>#N/A</v>
      </c>
      <c r="R195" s="14" t="e">
        <v>#N/A</v>
      </c>
      <c r="S195" s="14"/>
      <c r="T195" s="73"/>
      <c r="U195" s="14"/>
      <c r="V195" s="14"/>
      <c r="W195" s="14"/>
      <c r="X195" s="69"/>
      <c r="Y195" s="60">
        <f ca="1">Table25[[#This Row],[End Date]]+2-TODAY()</f>
        <v>-46005</v>
      </c>
      <c r="Z195" s="14">
        <f>IF(ISBLANK(Table25[[#This Row],[Roster Received By]]),1,0)</f>
        <v>1</v>
      </c>
      <c r="AA195" s="14">
        <f ca="1">IF(Table25[[#This Row],[Start Date]]&gt;TODAY(),1,)</f>
        <v>0</v>
      </c>
    </row>
    <row r="196" spans="1:27" s="52" customFormat="1" hidden="1" x14ac:dyDescent="0.25">
      <c r="B196" s="69"/>
      <c r="C196" s="70" t="e">
        <v>#N/A</v>
      </c>
      <c r="D196" s="70" t="e">
        <v>#N/A</v>
      </c>
      <c r="E196" s="69"/>
      <c r="F196" s="72"/>
      <c r="G196" s="72"/>
      <c r="H196" s="72"/>
      <c r="I196" s="71"/>
      <c r="J196" s="71"/>
      <c r="K196" s="71"/>
      <c r="L196" s="71"/>
      <c r="M196" s="71"/>
      <c r="N196" s="71"/>
      <c r="O196" s="69"/>
      <c r="P196" s="69"/>
      <c r="Q196" s="14" t="e">
        <v>#N/A</v>
      </c>
      <c r="R196" s="14" t="e">
        <v>#N/A</v>
      </c>
      <c r="S196" s="14"/>
      <c r="T196" s="73"/>
      <c r="U196" s="14"/>
      <c r="V196" s="14"/>
      <c r="W196" s="14"/>
      <c r="X196" s="69"/>
      <c r="Y196" s="60">
        <f ca="1">Table25[[#This Row],[End Date]]+2-TODAY()</f>
        <v>-46005</v>
      </c>
      <c r="Z196" s="14">
        <f>IF(ISBLANK(Table25[[#This Row],[Roster Received By]]),1,0)</f>
        <v>1</v>
      </c>
      <c r="AA196" s="14">
        <f ca="1">IF(Table25[[#This Row],[Start Date]]&gt;TODAY(),1,)</f>
        <v>0</v>
      </c>
    </row>
    <row r="197" spans="1:27" s="52" customFormat="1" hidden="1" x14ac:dyDescent="0.25">
      <c r="B197" s="69"/>
      <c r="C197" s="70" t="e">
        <v>#N/A</v>
      </c>
      <c r="D197" s="70" t="e">
        <v>#N/A</v>
      </c>
      <c r="E197" s="69"/>
      <c r="F197" s="72"/>
      <c r="G197" s="72"/>
      <c r="H197" s="72"/>
      <c r="I197" s="71"/>
      <c r="J197" s="71"/>
      <c r="K197" s="71"/>
      <c r="L197" s="71"/>
      <c r="M197" s="71"/>
      <c r="N197" s="71"/>
      <c r="O197" s="69"/>
      <c r="P197" s="69"/>
      <c r="Q197" s="14" t="e">
        <v>#N/A</v>
      </c>
      <c r="R197" s="14" t="e">
        <v>#N/A</v>
      </c>
      <c r="S197" s="14"/>
      <c r="T197" s="73"/>
      <c r="U197" s="14"/>
      <c r="V197" s="14"/>
      <c r="W197" s="14"/>
      <c r="X197" s="69"/>
      <c r="Y197" s="60">
        <f ca="1">Table25[[#This Row],[End Date]]+2-TODAY()</f>
        <v>-46005</v>
      </c>
      <c r="Z197" s="14">
        <f>IF(ISBLANK(Table25[[#This Row],[Roster Received By]]),1,0)</f>
        <v>1</v>
      </c>
      <c r="AA197" s="14">
        <f ca="1">IF(Table25[[#This Row],[Start Date]]&gt;TODAY(),1,)</f>
        <v>0</v>
      </c>
    </row>
    <row r="198" spans="1:27" s="52" customFormat="1" hidden="1" x14ac:dyDescent="0.25">
      <c r="B198" s="69"/>
      <c r="C198" s="70" t="e">
        <v>#N/A</v>
      </c>
      <c r="D198" s="70" t="e">
        <v>#N/A</v>
      </c>
      <c r="E198" s="69"/>
      <c r="F198" s="72"/>
      <c r="G198" s="72"/>
      <c r="H198" s="72"/>
      <c r="I198" s="71"/>
      <c r="J198" s="71"/>
      <c r="K198" s="71"/>
      <c r="L198" s="71"/>
      <c r="M198" s="71"/>
      <c r="N198" s="71"/>
      <c r="O198" s="69"/>
      <c r="P198" s="69"/>
      <c r="Q198" s="14" t="e">
        <v>#N/A</v>
      </c>
      <c r="R198" s="14" t="e">
        <v>#N/A</v>
      </c>
      <c r="S198" s="14"/>
      <c r="T198" s="73"/>
      <c r="U198" s="14"/>
      <c r="V198" s="14"/>
      <c r="W198" s="14"/>
      <c r="X198" s="69"/>
      <c r="Y198" s="60">
        <f ca="1">Table25[[#This Row],[End Date]]+2-TODAY()</f>
        <v>-46005</v>
      </c>
      <c r="Z198" s="14">
        <f>IF(ISBLANK(Table25[[#This Row],[Roster Received By]]),1,0)</f>
        <v>1</v>
      </c>
      <c r="AA198" s="14">
        <f ca="1">IF(Table25[[#This Row],[Start Date]]&gt;TODAY(),1,)</f>
        <v>0</v>
      </c>
    </row>
    <row r="199" spans="1:27" s="52" customFormat="1" hidden="1" x14ac:dyDescent="0.25">
      <c r="A199" s="69"/>
      <c r="B199" s="69"/>
      <c r="C199" s="70" t="e">
        <v>#N/A</v>
      </c>
      <c r="D199" s="70" t="e">
        <v>#N/A</v>
      </c>
      <c r="E199" s="54"/>
      <c r="F199" s="72"/>
      <c r="G199" s="72"/>
      <c r="H199" s="75"/>
      <c r="I199" s="75"/>
      <c r="J199" s="72"/>
      <c r="K199" s="72"/>
      <c r="L199" s="72"/>
      <c r="M199" s="72"/>
      <c r="N199" s="72"/>
      <c r="O199" s="69"/>
      <c r="P199" s="69"/>
      <c r="Q199" s="14" t="e">
        <v>#N/A</v>
      </c>
      <c r="R199" s="14" t="e">
        <v>#N/A</v>
      </c>
      <c r="S199" s="14"/>
      <c r="T199" s="73"/>
      <c r="U199" s="14"/>
      <c r="V199" s="14"/>
      <c r="W199" s="14"/>
      <c r="X199" s="69"/>
      <c r="Y199" s="60">
        <f ca="1">Table25[[#This Row],[End Date]]+2-TODAY()</f>
        <v>-46005</v>
      </c>
      <c r="Z199" s="14">
        <f>IF(ISBLANK(Table25[[#This Row],[Roster Received By]]),1,0)</f>
        <v>1</v>
      </c>
      <c r="AA199" s="14">
        <f ca="1">IF(Table25[[#This Row],[Start Date]]&gt;TODAY(),1,)</f>
        <v>0</v>
      </c>
    </row>
    <row r="200" spans="1:27" s="52" customFormat="1" hidden="1" x14ac:dyDescent="0.25">
      <c r="B200" s="69"/>
      <c r="C200" s="70" t="e">
        <v>#N/A</v>
      </c>
      <c r="D200" s="70" t="e">
        <v>#N/A</v>
      </c>
      <c r="E200" s="69"/>
      <c r="F200" s="80"/>
      <c r="G200" s="80"/>
      <c r="H200" s="72"/>
      <c r="I200" s="71"/>
      <c r="J200" s="71"/>
      <c r="K200" s="71"/>
      <c r="L200" s="71"/>
      <c r="M200" s="71"/>
      <c r="N200" s="71"/>
      <c r="O200" s="69"/>
      <c r="P200" s="69"/>
      <c r="Q200" s="14" t="e">
        <v>#N/A</v>
      </c>
      <c r="R200" s="14" t="e">
        <v>#N/A</v>
      </c>
      <c r="S200" s="14"/>
      <c r="T200" s="73"/>
      <c r="U200" s="14"/>
      <c r="V200" s="14"/>
      <c r="W200" s="14"/>
      <c r="X200" s="69"/>
      <c r="Y200" s="60">
        <f ca="1">Table25[[#This Row],[End Date]]+2-TODAY()</f>
        <v>-46005</v>
      </c>
      <c r="Z200" s="14">
        <f>IF(ISBLANK(Table25[[#This Row],[Roster Received By]]),1,0)</f>
        <v>1</v>
      </c>
      <c r="AA200" s="14">
        <f ca="1">IF(Table25[[#This Row],[Start Date]]&gt;TODAY(),1,)</f>
        <v>0</v>
      </c>
    </row>
    <row r="201" spans="1:27" s="52" customFormat="1" hidden="1" x14ac:dyDescent="0.25">
      <c r="B201" s="69"/>
      <c r="C201" s="70" t="e">
        <v>#N/A</v>
      </c>
      <c r="D201" s="70" t="e">
        <v>#N/A</v>
      </c>
      <c r="E201" s="54"/>
      <c r="F201" s="56"/>
      <c r="G201" s="56"/>
      <c r="H201" s="71"/>
      <c r="I201" s="71"/>
      <c r="J201" s="72"/>
      <c r="K201" s="72"/>
      <c r="L201" s="72"/>
      <c r="M201" s="72"/>
      <c r="N201" s="72"/>
      <c r="O201" s="69"/>
      <c r="P201" s="69"/>
      <c r="Q201" s="14" t="e">
        <v>#N/A</v>
      </c>
      <c r="R201" s="14" t="e">
        <v>#N/A</v>
      </c>
      <c r="S201" s="14"/>
      <c r="T201" s="73"/>
      <c r="U201" s="14"/>
      <c r="V201" s="14"/>
      <c r="W201" s="14"/>
      <c r="X201" s="69"/>
      <c r="Y201" s="60">
        <f ca="1">Table25[[#This Row],[End Date]]+2-TODAY()</f>
        <v>-46005</v>
      </c>
      <c r="Z201" s="14">
        <f>IF(ISBLANK(Table25[[#This Row],[Roster Received By]]),1,0)</f>
        <v>1</v>
      </c>
      <c r="AA201" s="14">
        <f ca="1">IF(Table25[[#This Row],[Start Date]]&gt;TODAY(),1,)</f>
        <v>0</v>
      </c>
    </row>
    <row r="202" spans="1:27" s="52" customFormat="1" hidden="1" x14ac:dyDescent="0.25">
      <c r="B202" s="69"/>
      <c r="C202" s="70" t="e">
        <v>#N/A</v>
      </c>
      <c r="D202" s="70" t="e">
        <v>#N/A</v>
      </c>
      <c r="E202" s="69"/>
      <c r="F202" s="56"/>
      <c r="G202" s="72"/>
      <c r="H202" s="72"/>
      <c r="I202" s="71"/>
      <c r="J202" s="71"/>
      <c r="K202" s="71"/>
      <c r="L202" s="71"/>
      <c r="M202" s="71"/>
      <c r="N202" s="71"/>
      <c r="O202" s="69"/>
      <c r="P202" s="69"/>
      <c r="Q202" s="14" t="e">
        <v>#N/A</v>
      </c>
      <c r="R202" s="14" t="e">
        <v>#N/A</v>
      </c>
      <c r="S202" s="14"/>
      <c r="T202" s="73"/>
      <c r="U202" s="14"/>
      <c r="V202" s="14"/>
      <c r="W202" s="14"/>
      <c r="X202" s="69"/>
      <c r="Y202" s="60">
        <f ca="1">Table25[[#This Row],[End Date]]+2-TODAY()</f>
        <v>-46005</v>
      </c>
      <c r="Z202" s="14">
        <f>IF(ISBLANK(Table25[[#This Row],[Roster Received By]]),1,0)</f>
        <v>1</v>
      </c>
      <c r="AA202" s="14">
        <f ca="1">IF(Table25[[#This Row],[Start Date]]&gt;TODAY(),1,)</f>
        <v>0</v>
      </c>
    </row>
    <row r="203" spans="1:27" s="52" customFormat="1" hidden="1" x14ac:dyDescent="0.25">
      <c r="B203" s="69"/>
      <c r="C203" s="70" t="e">
        <v>#N/A</v>
      </c>
      <c r="D203" s="70" t="e">
        <v>#N/A</v>
      </c>
      <c r="E203" s="69"/>
      <c r="F203" s="72"/>
      <c r="G203" s="72"/>
      <c r="H203" s="75"/>
      <c r="I203" s="75"/>
      <c r="J203" s="72"/>
      <c r="K203" s="72"/>
      <c r="L203" s="72"/>
      <c r="M203" s="72"/>
      <c r="N203" s="72"/>
      <c r="O203" s="69"/>
      <c r="P203" s="69"/>
      <c r="Q203" s="14" t="e">
        <v>#N/A</v>
      </c>
      <c r="R203" s="14" t="e">
        <v>#N/A</v>
      </c>
      <c r="S203" s="14"/>
      <c r="T203" s="73"/>
      <c r="U203" s="14"/>
      <c r="V203" s="14"/>
      <c r="W203" s="14"/>
      <c r="X203" s="69"/>
      <c r="Y203" s="60">
        <f ca="1">Table25[[#This Row],[End Date]]+2-TODAY()</f>
        <v>-46005</v>
      </c>
      <c r="Z203" s="14">
        <f>IF(ISBLANK(Table25[[#This Row],[Roster Received By]]),1,0)</f>
        <v>1</v>
      </c>
      <c r="AA203" s="14">
        <f ca="1">IF(Table25[[#This Row],[Start Date]]&gt;TODAY(),1,)</f>
        <v>0</v>
      </c>
    </row>
    <row r="204" spans="1:27" s="52" customFormat="1" hidden="1" x14ac:dyDescent="0.25">
      <c r="B204" s="69"/>
      <c r="C204" s="70" t="e">
        <v>#N/A</v>
      </c>
      <c r="D204" s="70" t="e">
        <v>#N/A</v>
      </c>
      <c r="E204" s="54"/>
      <c r="F204" s="56"/>
      <c r="G204" s="72"/>
      <c r="H204" s="75"/>
      <c r="I204" s="75"/>
      <c r="J204" s="72"/>
      <c r="K204" s="72"/>
      <c r="L204" s="72"/>
      <c r="M204" s="72"/>
      <c r="N204" s="72"/>
      <c r="O204" s="69"/>
      <c r="P204" s="69"/>
      <c r="Q204" s="14" t="e">
        <v>#N/A</v>
      </c>
      <c r="R204" s="14" t="e">
        <v>#N/A</v>
      </c>
      <c r="S204" s="14"/>
      <c r="T204" s="73"/>
      <c r="U204" s="14"/>
      <c r="V204" s="14"/>
      <c r="W204" s="14"/>
      <c r="X204" s="69"/>
      <c r="Y204" s="60">
        <f ca="1">Table25[[#This Row],[End Date]]+2-TODAY()</f>
        <v>-46005</v>
      </c>
      <c r="Z204" s="14">
        <f>IF(ISBLANK(Table25[[#This Row],[Roster Received By]]),1,0)</f>
        <v>1</v>
      </c>
      <c r="AA204" s="14">
        <f ca="1">IF(Table25[[#This Row],[Start Date]]&gt;TODAY(),1,)</f>
        <v>0</v>
      </c>
    </row>
    <row r="205" spans="1:27" s="52" customFormat="1" hidden="1" x14ac:dyDescent="0.25">
      <c r="B205" s="69"/>
      <c r="C205" s="70" t="e">
        <v>#N/A</v>
      </c>
      <c r="D205" s="70" t="e">
        <v>#N/A</v>
      </c>
      <c r="E205" s="69"/>
      <c r="F205" s="56"/>
      <c r="G205" s="56"/>
      <c r="H205" s="56"/>
      <c r="I205" s="71"/>
      <c r="J205" s="71"/>
      <c r="K205" s="71"/>
      <c r="L205" s="71"/>
      <c r="M205" s="71"/>
      <c r="N205" s="71"/>
      <c r="O205" s="69"/>
      <c r="P205" s="69"/>
      <c r="Q205" s="14" t="e">
        <v>#N/A</v>
      </c>
      <c r="R205" s="14" t="e">
        <v>#N/A</v>
      </c>
      <c r="S205" s="14"/>
      <c r="T205" s="73"/>
      <c r="U205" s="14"/>
      <c r="V205" s="14"/>
      <c r="W205" s="14"/>
      <c r="X205" s="69"/>
      <c r="Y205" s="60">
        <f ca="1">Table25[[#This Row],[End Date]]+2-TODAY()</f>
        <v>-46005</v>
      </c>
      <c r="Z205" s="14">
        <f>IF(ISBLANK(Table25[[#This Row],[Roster Received By]]),1,0)</f>
        <v>1</v>
      </c>
      <c r="AA205" s="14">
        <f ca="1">IF(Table25[[#This Row],[Start Date]]&gt;TODAY(),1,)</f>
        <v>0</v>
      </c>
    </row>
    <row r="206" spans="1:27" s="52" customFormat="1" hidden="1" x14ac:dyDescent="0.25">
      <c r="B206" s="69"/>
      <c r="C206" s="70" t="e">
        <v>#N/A</v>
      </c>
      <c r="D206" s="70" t="e">
        <v>#N/A</v>
      </c>
      <c r="E206" s="69"/>
      <c r="F206" s="72"/>
      <c r="G206" s="72"/>
      <c r="H206" s="75"/>
      <c r="I206" s="75"/>
      <c r="J206" s="75"/>
      <c r="K206" s="75"/>
      <c r="L206" s="75"/>
      <c r="M206" s="75"/>
      <c r="N206" s="75"/>
      <c r="O206" s="69"/>
      <c r="P206" s="69"/>
      <c r="Q206" s="14" t="e">
        <v>#N/A</v>
      </c>
      <c r="R206" s="14" t="e">
        <v>#N/A</v>
      </c>
      <c r="S206" s="14"/>
      <c r="T206" s="73"/>
      <c r="U206" s="14"/>
      <c r="V206" s="14"/>
      <c r="W206" s="14"/>
      <c r="X206" s="69"/>
      <c r="Y206" s="60">
        <f ca="1">Table25[[#This Row],[End Date]]+2-TODAY()</f>
        <v>-46005</v>
      </c>
      <c r="Z206" s="14">
        <f>IF(ISBLANK(Table25[[#This Row],[Roster Received By]]),1,0)</f>
        <v>1</v>
      </c>
      <c r="AA206" s="14">
        <f ca="1">IF(Table25[[#This Row],[Start Date]]&gt;TODAY(),1,)</f>
        <v>0</v>
      </c>
    </row>
    <row r="207" spans="1:27" s="52" customFormat="1" hidden="1" x14ac:dyDescent="0.25">
      <c r="B207" s="69"/>
      <c r="C207" s="70" t="e">
        <v>#N/A</v>
      </c>
      <c r="D207" s="70" t="e">
        <v>#N/A</v>
      </c>
      <c r="E207" s="69"/>
      <c r="F207" s="72"/>
      <c r="G207" s="72"/>
      <c r="H207" s="75"/>
      <c r="I207" s="75"/>
      <c r="J207" s="72"/>
      <c r="K207" s="72"/>
      <c r="L207" s="72"/>
      <c r="M207" s="72"/>
      <c r="N207" s="72"/>
      <c r="O207" s="69"/>
      <c r="P207" s="69"/>
      <c r="Q207" s="14" t="e">
        <v>#N/A</v>
      </c>
      <c r="R207" s="14" t="e">
        <v>#N/A</v>
      </c>
      <c r="S207" s="14"/>
      <c r="T207" s="73"/>
      <c r="U207" s="14"/>
      <c r="V207" s="14"/>
      <c r="W207" s="14"/>
      <c r="X207" s="69"/>
      <c r="Y207" s="60">
        <f ca="1">Table25[[#This Row],[End Date]]+2-TODAY()</f>
        <v>-46005</v>
      </c>
      <c r="Z207" s="14">
        <f>IF(ISBLANK(Table25[[#This Row],[Roster Received By]]),1,0)</f>
        <v>1</v>
      </c>
      <c r="AA207" s="14">
        <f ca="1">IF(Table25[[#This Row],[Start Date]]&gt;TODAY(),1,)</f>
        <v>0</v>
      </c>
    </row>
    <row r="208" spans="1:27" s="52" customFormat="1" hidden="1" x14ac:dyDescent="0.25">
      <c r="B208" s="69"/>
      <c r="C208" s="70" t="e">
        <v>#N/A</v>
      </c>
      <c r="D208" s="70" t="e">
        <v>#N/A</v>
      </c>
      <c r="E208" s="54"/>
      <c r="F208" s="72"/>
      <c r="G208" s="72"/>
      <c r="H208" s="75"/>
      <c r="I208" s="75"/>
      <c r="J208" s="72"/>
      <c r="K208" s="72"/>
      <c r="L208" s="72"/>
      <c r="M208" s="72"/>
      <c r="N208" s="72"/>
      <c r="O208" s="69"/>
      <c r="P208" s="69"/>
      <c r="Q208" s="14" t="e">
        <v>#N/A</v>
      </c>
      <c r="R208" s="14" t="e">
        <v>#N/A</v>
      </c>
      <c r="S208" s="14"/>
      <c r="T208" s="73"/>
      <c r="U208" s="14"/>
      <c r="V208" s="14"/>
      <c r="W208" s="70"/>
      <c r="X208" s="69"/>
      <c r="Y208" s="60">
        <f ca="1">Table25[[#This Row],[End Date]]+2-TODAY()</f>
        <v>-46005</v>
      </c>
      <c r="Z208" s="14">
        <f>IF(ISBLANK(Table25[[#This Row],[Roster Received By]]),1,0)</f>
        <v>1</v>
      </c>
      <c r="AA208" s="14">
        <f ca="1">IF(Table25[[#This Row],[Start Date]]&gt;TODAY(),1,)</f>
        <v>0</v>
      </c>
    </row>
    <row r="209" spans="2:27" s="52" customFormat="1" hidden="1" x14ac:dyDescent="0.25">
      <c r="B209" s="69"/>
      <c r="C209" s="70" t="e">
        <v>#N/A</v>
      </c>
      <c r="D209" s="70" t="e">
        <v>#N/A</v>
      </c>
      <c r="E209" s="54"/>
      <c r="F209" s="72"/>
      <c r="G209" s="72"/>
      <c r="H209" s="75"/>
      <c r="I209" s="75"/>
      <c r="J209" s="72"/>
      <c r="K209" s="72"/>
      <c r="L209" s="72"/>
      <c r="M209" s="72"/>
      <c r="N209" s="72"/>
      <c r="O209" s="69"/>
      <c r="P209" s="69"/>
      <c r="Q209" s="14" t="e">
        <v>#N/A</v>
      </c>
      <c r="R209" s="14" t="e">
        <v>#N/A</v>
      </c>
      <c r="S209" s="14"/>
      <c r="T209" s="73"/>
      <c r="U209" s="14"/>
      <c r="V209" s="14"/>
      <c r="W209" s="14"/>
      <c r="X209" s="69"/>
      <c r="Y209" s="60">
        <f ca="1">Table25[[#This Row],[End Date]]+2-TODAY()</f>
        <v>-46005</v>
      </c>
      <c r="Z209" s="14">
        <f>IF(ISBLANK(Table25[[#This Row],[Roster Received By]]),1,0)</f>
        <v>1</v>
      </c>
      <c r="AA209" s="14">
        <f ca="1">IF(Table25[[#This Row],[Start Date]]&gt;TODAY(),1,)</f>
        <v>0</v>
      </c>
    </row>
    <row r="210" spans="2:27" s="52" customFormat="1" hidden="1" x14ac:dyDescent="0.25">
      <c r="B210" s="69"/>
      <c r="C210" s="70" t="e">
        <v>#N/A</v>
      </c>
      <c r="D210" s="70" t="e">
        <v>#N/A</v>
      </c>
      <c r="E210" s="54"/>
      <c r="F210" s="72"/>
      <c r="G210" s="72"/>
      <c r="H210" s="75"/>
      <c r="I210" s="75"/>
      <c r="J210" s="72"/>
      <c r="K210" s="72"/>
      <c r="L210" s="72"/>
      <c r="M210" s="72"/>
      <c r="N210" s="72"/>
      <c r="O210" s="69"/>
      <c r="P210" s="69"/>
      <c r="Q210" s="14" t="e">
        <v>#N/A</v>
      </c>
      <c r="R210" s="14" t="e">
        <v>#N/A</v>
      </c>
      <c r="S210" s="14"/>
      <c r="T210" s="73"/>
      <c r="U210" s="14"/>
      <c r="V210" s="14"/>
      <c r="W210" s="14"/>
      <c r="X210" s="69"/>
      <c r="Y210" s="60">
        <f ca="1">Table25[[#This Row],[End Date]]+2-TODAY()</f>
        <v>-46005</v>
      </c>
      <c r="Z210" s="14">
        <f>IF(ISBLANK(Table25[[#This Row],[Roster Received By]]),1,0)</f>
        <v>1</v>
      </c>
      <c r="AA210" s="14">
        <f ca="1">IF(Table25[[#This Row],[Start Date]]&gt;TODAY(),1,)</f>
        <v>0</v>
      </c>
    </row>
    <row r="211" spans="2:27" s="52" customFormat="1" hidden="1" x14ac:dyDescent="0.25">
      <c r="B211" s="69"/>
      <c r="C211" s="70" t="e">
        <v>#N/A</v>
      </c>
      <c r="D211" s="70" t="e">
        <v>#N/A</v>
      </c>
      <c r="E211" s="69"/>
      <c r="F211" s="72"/>
      <c r="G211" s="72"/>
      <c r="H211" s="75"/>
      <c r="I211" s="75"/>
      <c r="J211" s="72"/>
      <c r="K211" s="72"/>
      <c r="L211" s="72"/>
      <c r="M211" s="72"/>
      <c r="N211" s="72"/>
      <c r="O211" s="69"/>
      <c r="P211" s="69"/>
      <c r="Q211" s="14" t="e">
        <v>#N/A</v>
      </c>
      <c r="R211" s="14" t="e">
        <v>#N/A</v>
      </c>
      <c r="S211" s="14"/>
      <c r="T211" s="73"/>
      <c r="U211" s="14"/>
      <c r="V211" s="14"/>
      <c r="W211" s="14"/>
      <c r="X211" s="69"/>
      <c r="Y211" s="60">
        <f ca="1">Table25[[#This Row],[End Date]]+2-TODAY()</f>
        <v>-46005</v>
      </c>
      <c r="Z211" s="14">
        <f>IF(ISBLANK(Table25[[#This Row],[Roster Received By]]),1,0)</f>
        <v>1</v>
      </c>
      <c r="AA211" s="14">
        <f ca="1">IF(Table25[[#This Row],[Start Date]]&gt;TODAY(),1,)</f>
        <v>0</v>
      </c>
    </row>
    <row r="212" spans="2:27" s="52" customFormat="1" hidden="1" x14ac:dyDescent="0.25">
      <c r="B212" s="69"/>
      <c r="C212" s="70" t="e">
        <v>#N/A</v>
      </c>
      <c r="D212" s="70" t="e">
        <v>#N/A</v>
      </c>
      <c r="E212" s="69"/>
      <c r="F212" s="72"/>
      <c r="G212" s="72"/>
      <c r="H212" s="75"/>
      <c r="I212" s="75"/>
      <c r="J212" s="72"/>
      <c r="K212" s="72"/>
      <c r="L212" s="72"/>
      <c r="M212" s="72"/>
      <c r="N212" s="72"/>
      <c r="O212" s="69"/>
      <c r="P212" s="69"/>
      <c r="Q212" s="14" t="e">
        <v>#N/A</v>
      </c>
      <c r="R212" s="14" t="e">
        <v>#N/A</v>
      </c>
      <c r="S212" s="14"/>
      <c r="T212" s="73"/>
      <c r="U212" s="14"/>
      <c r="V212" s="14"/>
      <c r="W212" s="14"/>
      <c r="X212" s="69"/>
      <c r="Y212" s="60">
        <f ca="1">Table25[[#This Row],[End Date]]+2-TODAY()</f>
        <v>-46005</v>
      </c>
      <c r="Z212" s="14">
        <f>IF(ISBLANK(Table25[[#This Row],[Roster Received By]]),1,0)</f>
        <v>1</v>
      </c>
      <c r="AA212" s="14">
        <f ca="1">IF(Table25[[#This Row],[Start Date]]&gt;TODAY(),1,)</f>
        <v>0</v>
      </c>
    </row>
    <row r="213" spans="2:27" s="52" customFormat="1" hidden="1" x14ac:dyDescent="0.25">
      <c r="B213" s="69"/>
      <c r="C213" s="70" t="e">
        <v>#N/A</v>
      </c>
      <c r="D213" s="70" t="e">
        <v>#N/A</v>
      </c>
      <c r="E213" s="69"/>
      <c r="F213" s="72"/>
      <c r="G213" s="72"/>
      <c r="H213" s="75"/>
      <c r="I213" s="75"/>
      <c r="J213" s="72"/>
      <c r="K213" s="72"/>
      <c r="L213" s="72"/>
      <c r="M213" s="72"/>
      <c r="N213" s="72"/>
      <c r="O213" s="69"/>
      <c r="P213" s="69"/>
      <c r="Q213" s="14" t="e">
        <v>#N/A</v>
      </c>
      <c r="R213" s="14" t="e">
        <v>#N/A</v>
      </c>
      <c r="S213" s="73"/>
      <c r="T213" s="73"/>
      <c r="U213" s="14"/>
      <c r="V213" s="14"/>
      <c r="W213" s="14"/>
      <c r="X213" s="69"/>
      <c r="Y213" s="60">
        <f ca="1">Table25[[#This Row],[End Date]]+2-TODAY()</f>
        <v>-46005</v>
      </c>
      <c r="Z213" s="14">
        <f>IF(ISBLANK(Table25[[#This Row],[Roster Received By]]),1,0)</f>
        <v>1</v>
      </c>
      <c r="AA213" s="14">
        <f ca="1">IF(Table25[[#This Row],[Start Date]]&gt;TODAY(),1,)</f>
        <v>0</v>
      </c>
    </row>
    <row r="214" spans="2:27" s="52" customFormat="1" hidden="1" x14ac:dyDescent="0.25">
      <c r="B214" s="69"/>
      <c r="C214" s="70" t="e">
        <v>#N/A</v>
      </c>
      <c r="D214" s="70" t="e">
        <v>#N/A</v>
      </c>
      <c r="E214" s="69"/>
      <c r="F214" s="72"/>
      <c r="G214" s="72"/>
      <c r="H214" s="75"/>
      <c r="I214" s="75"/>
      <c r="J214" s="75"/>
      <c r="K214" s="75"/>
      <c r="L214" s="75"/>
      <c r="M214" s="75"/>
      <c r="N214" s="72"/>
      <c r="O214" s="69"/>
      <c r="P214" s="69"/>
      <c r="Q214" s="14" t="e">
        <v>#N/A</v>
      </c>
      <c r="R214" s="14" t="e">
        <v>#N/A</v>
      </c>
      <c r="S214" s="14"/>
      <c r="T214" s="73"/>
      <c r="U214" s="14"/>
      <c r="V214" s="14"/>
      <c r="W214" s="14"/>
      <c r="X214" s="69"/>
      <c r="Y214" s="60">
        <f ca="1">Table25[[#This Row],[End Date]]+2-TODAY()</f>
        <v>-46005</v>
      </c>
      <c r="Z214" s="14">
        <f>IF(ISBLANK(Table25[[#This Row],[Roster Received By]]),1,0)</f>
        <v>1</v>
      </c>
      <c r="AA214" s="14">
        <f ca="1">IF(Table25[[#This Row],[Start Date]]&gt;TODAY(),1,)</f>
        <v>0</v>
      </c>
    </row>
    <row r="215" spans="2:27" s="52" customFormat="1" hidden="1" x14ac:dyDescent="0.25">
      <c r="B215" s="69"/>
      <c r="C215" s="70" t="e">
        <v>#N/A</v>
      </c>
      <c r="D215" s="70" t="e">
        <v>#N/A</v>
      </c>
      <c r="E215" s="69"/>
      <c r="F215" s="72"/>
      <c r="G215" s="72"/>
      <c r="H215" s="72"/>
      <c r="I215" s="71"/>
      <c r="J215" s="71"/>
      <c r="K215" s="71"/>
      <c r="L215" s="71"/>
      <c r="M215" s="71"/>
      <c r="N215" s="71"/>
      <c r="O215" s="69"/>
      <c r="P215" s="69"/>
      <c r="Q215" s="14" t="e">
        <v>#N/A</v>
      </c>
      <c r="R215" s="14" t="e">
        <v>#N/A</v>
      </c>
      <c r="S215" s="14"/>
      <c r="T215" s="73"/>
      <c r="U215" s="14"/>
      <c r="V215" s="14"/>
      <c r="W215" s="14"/>
      <c r="X215" s="69"/>
      <c r="Y215" s="60">
        <f ca="1">Table25[[#This Row],[End Date]]+2-TODAY()</f>
        <v>-46005</v>
      </c>
      <c r="Z215" s="14">
        <f>IF(ISBLANK(Table25[[#This Row],[Roster Received By]]),1,0)</f>
        <v>1</v>
      </c>
      <c r="AA215" s="14">
        <f ca="1">IF(Table25[[#This Row],[Start Date]]&gt;TODAY(),1,)</f>
        <v>0</v>
      </c>
    </row>
    <row r="216" spans="2:27" s="52" customFormat="1" hidden="1" x14ac:dyDescent="0.25">
      <c r="B216" s="69"/>
      <c r="C216" s="70" t="e">
        <v>#N/A</v>
      </c>
      <c r="D216" s="70" t="e">
        <v>#N/A</v>
      </c>
      <c r="E216" s="54"/>
      <c r="F216" s="72"/>
      <c r="G216" s="72"/>
      <c r="H216" s="75"/>
      <c r="I216" s="75"/>
      <c r="J216" s="72"/>
      <c r="K216" s="72"/>
      <c r="L216" s="72"/>
      <c r="M216" s="72"/>
      <c r="N216" s="72"/>
      <c r="O216" s="69"/>
      <c r="P216" s="69"/>
      <c r="Q216" s="14" t="e">
        <v>#N/A</v>
      </c>
      <c r="R216" s="14" t="e">
        <v>#N/A</v>
      </c>
      <c r="S216" s="14"/>
      <c r="T216" s="73"/>
      <c r="U216" s="14"/>
      <c r="V216" s="14"/>
      <c r="W216" s="14"/>
      <c r="X216" s="69"/>
      <c r="Y216" s="60">
        <f ca="1">Table25[[#This Row],[End Date]]+2-TODAY()</f>
        <v>-46005</v>
      </c>
      <c r="Z216" s="14">
        <f>IF(ISBLANK(Table25[[#This Row],[Roster Received By]]),1,0)</f>
        <v>1</v>
      </c>
      <c r="AA216" s="14">
        <f ca="1">IF(Table25[[#This Row],[Start Date]]&gt;TODAY(),1,)</f>
        <v>0</v>
      </c>
    </row>
    <row r="217" spans="2:27" s="52" customFormat="1" hidden="1" x14ac:dyDescent="0.25">
      <c r="B217" s="69"/>
      <c r="C217" s="70" t="e">
        <v>#N/A</v>
      </c>
      <c r="D217" s="70" t="e">
        <v>#N/A</v>
      </c>
      <c r="E217" s="69"/>
      <c r="F217" s="72"/>
      <c r="G217" s="72"/>
      <c r="H217" s="75"/>
      <c r="I217" s="75"/>
      <c r="J217" s="104"/>
      <c r="K217" s="104"/>
      <c r="L217" s="104"/>
      <c r="M217" s="104"/>
      <c r="N217" s="72"/>
      <c r="O217" s="69"/>
      <c r="P217" s="69"/>
      <c r="Q217" s="14" t="e">
        <v>#N/A</v>
      </c>
      <c r="R217" s="14" t="e">
        <v>#N/A</v>
      </c>
      <c r="S217" s="14"/>
      <c r="T217" s="73"/>
      <c r="U217" s="14"/>
      <c r="V217" s="14"/>
      <c r="W217" s="77"/>
      <c r="X217" s="69"/>
      <c r="Y217" s="60">
        <f ca="1">Table25[[#This Row],[End Date]]+2-TODAY()</f>
        <v>-46005</v>
      </c>
      <c r="Z217" s="14">
        <f>IF(ISBLANK(Table25[[#This Row],[Roster Received By]]),1,0)</f>
        <v>1</v>
      </c>
      <c r="AA217" s="14">
        <f ca="1">IF(Table25[[#This Row],[Start Date]]&gt;TODAY(),1,)</f>
        <v>0</v>
      </c>
    </row>
    <row r="218" spans="2:27" s="52" customFormat="1" hidden="1" x14ac:dyDescent="0.25">
      <c r="B218" s="69"/>
      <c r="C218" s="70" t="e">
        <v>#N/A</v>
      </c>
      <c r="D218" s="70" t="e">
        <v>#N/A</v>
      </c>
      <c r="E218" s="69"/>
      <c r="F218" s="72"/>
      <c r="G218" s="72"/>
      <c r="H218" s="72"/>
      <c r="I218" s="71"/>
      <c r="J218" s="71"/>
      <c r="K218" s="71"/>
      <c r="L218" s="71"/>
      <c r="M218" s="71"/>
      <c r="N218" s="71"/>
      <c r="O218" s="69"/>
      <c r="P218" s="69"/>
      <c r="Q218" s="14" t="e">
        <v>#N/A</v>
      </c>
      <c r="R218" s="14" t="e">
        <v>#N/A</v>
      </c>
      <c r="S218" s="14"/>
      <c r="T218" s="73"/>
      <c r="U218" s="14"/>
      <c r="V218" s="14"/>
      <c r="W218" s="14"/>
      <c r="X218" s="69"/>
      <c r="Y218" s="60">
        <f ca="1">Table25[[#This Row],[End Date]]+2-TODAY()</f>
        <v>-46005</v>
      </c>
      <c r="Z218" s="14">
        <f>IF(ISBLANK(Table25[[#This Row],[Roster Received By]]),1,0)</f>
        <v>1</v>
      </c>
      <c r="AA218" s="14">
        <f ca="1">IF(Table25[[#This Row],[Start Date]]&gt;TODAY(),1,)</f>
        <v>0</v>
      </c>
    </row>
    <row r="219" spans="2:27" s="52" customFormat="1" hidden="1" x14ac:dyDescent="0.25">
      <c r="B219" s="69"/>
      <c r="C219" s="70" t="e">
        <v>#N/A</v>
      </c>
      <c r="D219" s="70" t="e">
        <v>#N/A</v>
      </c>
      <c r="E219" s="69"/>
      <c r="F219" s="72"/>
      <c r="G219" s="72"/>
      <c r="H219" s="72"/>
      <c r="I219" s="71"/>
      <c r="J219" s="71"/>
      <c r="K219" s="71"/>
      <c r="L219" s="71"/>
      <c r="M219" s="71"/>
      <c r="N219" s="71"/>
      <c r="O219" s="69"/>
      <c r="P219" s="69"/>
      <c r="Q219" s="14" t="e">
        <v>#N/A</v>
      </c>
      <c r="R219" s="14" t="e">
        <v>#N/A</v>
      </c>
      <c r="S219" s="14"/>
      <c r="T219" s="73"/>
      <c r="U219" s="14"/>
      <c r="V219" s="14"/>
      <c r="W219" s="14"/>
      <c r="X219" s="69"/>
      <c r="Y219" s="60">
        <f ca="1">Table25[[#This Row],[End Date]]+2-TODAY()</f>
        <v>-46005</v>
      </c>
      <c r="Z219" s="14">
        <f>IF(ISBLANK(Table25[[#This Row],[Roster Received By]]),1,0)</f>
        <v>1</v>
      </c>
      <c r="AA219" s="14">
        <f ca="1">IF(Table25[[#This Row],[Start Date]]&gt;TODAY(),1,)</f>
        <v>0</v>
      </c>
    </row>
    <row r="220" spans="2:27" s="52" customFormat="1" hidden="1" x14ac:dyDescent="0.25">
      <c r="B220" s="69"/>
      <c r="C220" s="70" t="e">
        <v>#N/A</v>
      </c>
      <c r="D220" s="70" t="e">
        <v>#N/A</v>
      </c>
      <c r="E220" s="69"/>
      <c r="F220" s="72"/>
      <c r="G220" s="72"/>
      <c r="H220" s="72"/>
      <c r="I220" s="71"/>
      <c r="J220" s="71"/>
      <c r="K220" s="71"/>
      <c r="L220" s="71"/>
      <c r="M220" s="71"/>
      <c r="N220" s="71"/>
      <c r="O220" s="69"/>
      <c r="P220" s="69"/>
      <c r="Q220" s="14" t="e">
        <v>#N/A</v>
      </c>
      <c r="R220" s="14" t="e">
        <v>#N/A</v>
      </c>
      <c r="S220" s="14"/>
      <c r="T220" s="73"/>
      <c r="U220" s="14"/>
      <c r="V220" s="14"/>
      <c r="W220" s="14"/>
      <c r="X220" s="69"/>
      <c r="Y220" s="60">
        <f ca="1">Table25[[#This Row],[End Date]]+2-TODAY()</f>
        <v>-46005</v>
      </c>
      <c r="Z220" s="14">
        <f>IF(ISBLANK(Table25[[#This Row],[Roster Received By]]),1,0)</f>
        <v>1</v>
      </c>
      <c r="AA220" s="14">
        <f ca="1">IF(Table25[[#This Row],[Start Date]]&gt;TODAY(),1,)</f>
        <v>0</v>
      </c>
    </row>
    <row r="221" spans="2:27" s="52" customFormat="1" hidden="1" x14ac:dyDescent="0.25">
      <c r="B221" s="69"/>
      <c r="C221" s="70" t="e">
        <v>#N/A</v>
      </c>
      <c r="D221" s="70" t="e">
        <v>#N/A</v>
      </c>
      <c r="E221" s="54"/>
      <c r="F221" s="72"/>
      <c r="G221" s="72"/>
      <c r="H221" s="78"/>
      <c r="I221" s="78"/>
      <c r="J221" s="72"/>
      <c r="K221" s="72"/>
      <c r="L221" s="72"/>
      <c r="M221" s="72"/>
      <c r="N221" s="72"/>
      <c r="O221" s="69"/>
      <c r="P221" s="69"/>
      <c r="Q221" s="14" t="e">
        <v>#N/A</v>
      </c>
      <c r="R221" s="14" t="e">
        <v>#N/A</v>
      </c>
      <c r="S221" s="14"/>
      <c r="T221" s="73"/>
      <c r="U221" s="14"/>
      <c r="V221" s="14"/>
      <c r="W221" s="73"/>
      <c r="X221" s="69"/>
      <c r="Y221" s="60">
        <f ca="1">Table25[[#This Row],[End Date]]+2-TODAY()</f>
        <v>-46005</v>
      </c>
      <c r="Z221" s="14">
        <f>IF(ISBLANK(Table25[[#This Row],[Roster Received By]]),1,0)</f>
        <v>1</v>
      </c>
      <c r="AA221" s="14">
        <f ca="1">IF(Table25[[#This Row],[Start Date]]&gt;TODAY(),1,)</f>
        <v>0</v>
      </c>
    </row>
    <row r="222" spans="2:27" s="52" customFormat="1" hidden="1" x14ac:dyDescent="0.25">
      <c r="B222" s="69"/>
      <c r="C222" s="70" t="e">
        <v>#N/A</v>
      </c>
      <c r="D222" s="70" t="e">
        <v>#N/A</v>
      </c>
      <c r="E222" s="69"/>
      <c r="F222" s="72"/>
      <c r="G222" s="72"/>
      <c r="H222" s="72"/>
      <c r="I222" s="71"/>
      <c r="J222" s="71"/>
      <c r="K222" s="71"/>
      <c r="L222" s="71"/>
      <c r="M222" s="71"/>
      <c r="N222" s="71"/>
      <c r="O222" s="69"/>
      <c r="P222" s="69"/>
      <c r="Q222" s="14" t="e">
        <v>#N/A</v>
      </c>
      <c r="R222" s="14" t="e">
        <v>#N/A</v>
      </c>
      <c r="S222" s="14"/>
      <c r="T222" s="73"/>
      <c r="U222" s="14"/>
      <c r="V222" s="14"/>
      <c r="W222" s="14"/>
      <c r="X222" s="69"/>
      <c r="Y222" s="60">
        <f ca="1">Table25[[#This Row],[End Date]]+2-TODAY()</f>
        <v>-46005</v>
      </c>
      <c r="Z222" s="14">
        <f>IF(ISBLANK(Table25[[#This Row],[Roster Received By]]),1,0)</f>
        <v>1</v>
      </c>
      <c r="AA222" s="14">
        <f ca="1">IF(Table25[[#This Row],[Start Date]]&gt;TODAY(),1,)</f>
        <v>0</v>
      </c>
    </row>
    <row r="223" spans="2:27" s="52" customFormat="1" hidden="1" x14ac:dyDescent="0.25">
      <c r="B223" s="69"/>
      <c r="C223" s="70" t="e">
        <v>#N/A</v>
      </c>
      <c r="D223" s="70" t="e">
        <v>#N/A</v>
      </c>
      <c r="E223" s="69"/>
      <c r="F223" s="72"/>
      <c r="G223" s="72"/>
      <c r="H223" s="72"/>
      <c r="I223" s="71"/>
      <c r="J223" s="71"/>
      <c r="K223" s="71"/>
      <c r="L223" s="71"/>
      <c r="M223" s="71"/>
      <c r="N223" s="71"/>
      <c r="O223" s="69"/>
      <c r="P223" s="69"/>
      <c r="Q223" s="14" t="e">
        <v>#N/A</v>
      </c>
      <c r="R223" s="14" t="e">
        <v>#N/A</v>
      </c>
      <c r="S223" s="14"/>
      <c r="T223" s="73"/>
      <c r="U223" s="14"/>
      <c r="V223" s="14"/>
      <c r="W223" s="74"/>
      <c r="X223" s="69"/>
      <c r="Y223" s="60">
        <f ca="1">Table25[[#This Row],[End Date]]+2-TODAY()</f>
        <v>-46005</v>
      </c>
      <c r="Z223" s="14">
        <f>IF(ISBLANK(Table25[[#This Row],[Roster Received By]]),1,0)</f>
        <v>1</v>
      </c>
      <c r="AA223" s="14">
        <f ca="1">IF(Table25[[#This Row],[Start Date]]&gt;TODAY(),1,)</f>
        <v>0</v>
      </c>
    </row>
    <row r="224" spans="2:27" s="52" customFormat="1" hidden="1" x14ac:dyDescent="0.25">
      <c r="B224" s="69"/>
      <c r="C224" s="70" t="e">
        <v>#N/A</v>
      </c>
      <c r="D224" s="70" t="e">
        <v>#N/A</v>
      </c>
      <c r="E224" s="54"/>
      <c r="F224" s="72"/>
      <c r="G224" s="72"/>
      <c r="H224" s="75"/>
      <c r="I224" s="75"/>
      <c r="J224" s="72"/>
      <c r="K224" s="72"/>
      <c r="L224" s="72"/>
      <c r="M224" s="72"/>
      <c r="N224" s="72"/>
      <c r="O224" s="69"/>
      <c r="P224" s="69"/>
      <c r="Q224" s="14" t="e">
        <v>#N/A</v>
      </c>
      <c r="R224" s="14" t="e">
        <v>#N/A</v>
      </c>
      <c r="S224" s="14"/>
      <c r="T224" s="73"/>
      <c r="U224" s="14"/>
      <c r="V224" s="14"/>
      <c r="W224" s="70"/>
      <c r="X224" s="69"/>
      <c r="Y224" s="60">
        <f ca="1">Table25[[#This Row],[End Date]]+2-TODAY()</f>
        <v>-46005</v>
      </c>
      <c r="Z224" s="14">
        <f>IF(ISBLANK(Table25[[#This Row],[Roster Received By]]),1,0)</f>
        <v>1</v>
      </c>
      <c r="AA224" s="14">
        <f ca="1">IF(Table25[[#This Row],[Start Date]]&gt;TODAY(),1,)</f>
        <v>0</v>
      </c>
    </row>
    <row r="225" spans="1:27" s="83" customFormat="1" hidden="1" x14ac:dyDescent="0.25">
      <c r="A225" s="52"/>
      <c r="B225" s="69"/>
      <c r="C225" s="70" t="e">
        <v>#N/A</v>
      </c>
      <c r="D225" s="70" t="e">
        <v>#N/A</v>
      </c>
      <c r="E225" s="69"/>
      <c r="F225" s="72"/>
      <c r="G225" s="72"/>
      <c r="H225" s="72"/>
      <c r="I225" s="71"/>
      <c r="J225" s="71"/>
      <c r="K225" s="71"/>
      <c r="L225" s="71"/>
      <c r="M225" s="71"/>
      <c r="N225" s="71"/>
      <c r="O225" s="69"/>
      <c r="P225" s="69"/>
      <c r="Q225" s="14" t="e">
        <v>#N/A</v>
      </c>
      <c r="R225" s="14" t="e">
        <v>#N/A</v>
      </c>
      <c r="S225" s="14"/>
      <c r="T225" s="73"/>
      <c r="U225" s="14"/>
      <c r="V225" s="14"/>
      <c r="W225" s="14"/>
      <c r="X225" s="69"/>
      <c r="Y225" s="60">
        <f ca="1">Table25[[#This Row],[End Date]]+2-TODAY()</f>
        <v>-46005</v>
      </c>
      <c r="Z225" s="14">
        <f>IF(ISBLANK(Table25[[#This Row],[Roster Received By]]),1,0)</f>
        <v>1</v>
      </c>
      <c r="AA225" s="14">
        <f ca="1">IF(Table25[[#This Row],[Start Date]]&gt;TODAY(),1,)</f>
        <v>0</v>
      </c>
    </row>
    <row r="226" spans="1:27" s="52" customFormat="1" hidden="1" x14ac:dyDescent="0.25">
      <c r="A226" s="69"/>
      <c r="B226" s="69"/>
      <c r="C226" s="70" t="e">
        <v>#N/A</v>
      </c>
      <c r="D226" s="70" t="e">
        <v>#N/A</v>
      </c>
      <c r="E226" s="54"/>
      <c r="F226" s="72"/>
      <c r="G226" s="72"/>
      <c r="H226" s="75"/>
      <c r="I226" s="75"/>
      <c r="J226" s="72"/>
      <c r="K226" s="72"/>
      <c r="L226" s="72"/>
      <c r="M226" s="72"/>
      <c r="N226" s="72"/>
      <c r="O226" s="69"/>
      <c r="P226" s="69"/>
      <c r="Q226" s="14" t="e">
        <v>#N/A</v>
      </c>
      <c r="R226" s="14" t="e">
        <v>#N/A</v>
      </c>
      <c r="S226" s="14"/>
      <c r="T226" s="73"/>
      <c r="U226" s="14"/>
      <c r="V226" s="14"/>
      <c r="W226" s="70"/>
      <c r="X226" s="69"/>
      <c r="Y226" s="60">
        <f ca="1">Table25[[#This Row],[End Date]]+2-TODAY()</f>
        <v>-46005</v>
      </c>
      <c r="Z226" s="14">
        <f>IF(ISBLANK(Table25[[#This Row],[Roster Received By]]),1,0)</f>
        <v>1</v>
      </c>
      <c r="AA226" s="14">
        <f ca="1">IF(Table25[[#This Row],[Start Date]]&gt;TODAY(),1,)</f>
        <v>0</v>
      </c>
    </row>
    <row r="227" spans="1:27" s="52" customFormat="1" hidden="1" x14ac:dyDescent="0.25">
      <c r="B227" s="69"/>
      <c r="C227" s="70" t="e">
        <v>#N/A</v>
      </c>
      <c r="D227" s="70" t="e">
        <v>#N/A</v>
      </c>
      <c r="E227" s="69"/>
      <c r="F227" s="72"/>
      <c r="G227" s="72"/>
      <c r="H227" s="75"/>
      <c r="I227" s="75"/>
      <c r="J227" s="72"/>
      <c r="K227" s="72"/>
      <c r="L227" s="72"/>
      <c r="M227" s="72"/>
      <c r="N227" s="72"/>
      <c r="O227" s="69"/>
      <c r="P227" s="69"/>
      <c r="Q227" s="14" t="e">
        <v>#N/A</v>
      </c>
      <c r="R227" s="14" t="e">
        <v>#N/A</v>
      </c>
      <c r="S227" s="14"/>
      <c r="T227" s="73"/>
      <c r="U227" s="14"/>
      <c r="V227" s="14"/>
      <c r="W227" s="70"/>
      <c r="X227" s="69"/>
      <c r="Y227" s="60">
        <f ca="1">Table25[[#This Row],[End Date]]+2-TODAY()</f>
        <v>-46005</v>
      </c>
      <c r="Z227" s="14">
        <f>IF(ISBLANK(Table25[[#This Row],[Roster Received By]]),1,0)</f>
        <v>1</v>
      </c>
      <c r="AA227" s="14">
        <f ca="1">IF(Table25[[#This Row],[Start Date]]&gt;TODAY(),1,)</f>
        <v>0</v>
      </c>
    </row>
    <row r="228" spans="1:27" s="52" customFormat="1" hidden="1" x14ac:dyDescent="0.25">
      <c r="B228" s="69"/>
      <c r="C228" s="70" t="e">
        <v>#N/A</v>
      </c>
      <c r="D228" s="70" t="e">
        <v>#N/A</v>
      </c>
      <c r="E228" s="69"/>
      <c r="F228" s="72"/>
      <c r="G228" s="72"/>
      <c r="H228" s="72"/>
      <c r="I228" s="71"/>
      <c r="J228" s="71"/>
      <c r="K228" s="71"/>
      <c r="L228" s="71"/>
      <c r="M228" s="71"/>
      <c r="N228" s="71"/>
      <c r="O228" s="69"/>
      <c r="P228" s="69"/>
      <c r="Q228" s="14" t="e">
        <v>#N/A</v>
      </c>
      <c r="R228" s="14" t="e">
        <v>#N/A</v>
      </c>
      <c r="S228" s="14"/>
      <c r="T228" s="73"/>
      <c r="U228" s="14"/>
      <c r="V228" s="14"/>
      <c r="W228" s="14"/>
      <c r="X228" s="69"/>
      <c r="Y228" s="60">
        <f ca="1">Table25[[#This Row],[End Date]]+2-TODAY()</f>
        <v>-46005</v>
      </c>
      <c r="Z228" s="14">
        <f>IF(ISBLANK(Table25[[#This Row],[Roster Received By]]),1,0)</f>
        <v>1</v>
      </c>
      <c r="AA228" s="14">
        <f ca="1">IF(Table25[[#This Row],[Start Date]]&gt;TODAY(),1,)</f>
        <v>0</v>
      </c>
    </row>
    <row r="229" spans="1:27" s="52" customFormat="1" hidden="1" x14ac:dyDescent="0.25">
      <c r="B229" s="69"/>
      <c r="C229" s="70" t="e">
        <v>#N/A</v>
      </c>
      <c r="D229" s="70" t="e">
        <v>#N/A</v>
      </c>
      <c r="E229" s="69"/>
      <c r="F229" s="72"/>
      <c r="G229" s="72"/>
      <c r="H229" s="75"/>
      <c r="I229" s="75"/>
      <c r="J229" s="75"/>
      <c r="K229" s="75"/>
      <c r="L229" s="75"/>
      <c r="M229" s="75"/>
      <c r="N229" s="72"/>
      <c r="O229" s="69"/>
      <c r="P229" s="69"/>
      <c r="Q229" s="14" t="e">
        <v>#N/A</v>
      </c>
      <c r="R229" s="14" t="e">
        <v>#N/A</v>
      </c>
      <c r="S229" s="14"/>
      <c r="T229" s="73"/>
      <c r="U229" s="14"/>
      <c r="V229" s="14"/>
      <c r="W229" s="14"/>
      <c r="X229" s="69"/>
      <c r="Y229" s="60">
        <f ca="1">Table25[[#This Row],[End Date]]+2-TODAY()</f>
        <v>-46005</v>
      </c>
      <c r="Z229" s="14">
        <f>IF(ISBLANK(Table25[[#This Row],[Roster Received By]]),1,0)</f>
        <v>1</v>
      </c>
      <c r="AA229" s="14">
        <f ca="1">IF(Table25[[#This Row],[Start Date]]&gt;TODAY(),1,)</f>
        <v>0</v>
      </c>
    </row>
    <row r="230" spans="1:27" s="52" customFormat="1" hidden="1" x14ac:dyDescent="0.25">
      <c r="B230" s="69"/>
      <c r="C230" s="70" t="e">
        <v>#N/A</v>
      </c>
      <c r="D230" s="70" t="e">
        <v>#N/A</v>
      </c>
      <c r="E230" s="69"/>
      <c r="F230" s="72"/>
      <c r="G230" s="72"/>
      <c r="H230" s="75"/>
      <c r="I230" s="75"/>
      <c r="J230" s="75"/>
      <c r="K230" s="75"/>
      <c r="L230" s="75"/>
      <c r="M230" s="75"/>
      <c r="N230" s="72"/>
      <c r="O230" s="69"/>
      <c r="P230" s="69"/>
      <c r="Q230" s="14" t="e">
        <v>#N/A</v>
      </c>
      <c r="R230" s="14" t="e">
        <v>#N/A</v>
      </c>
      <c r="S230" s="14"/>
      <c r="T230" s="73"/>
      <c r="U230" s="14"/>
      <c r="V230" s="14"/>
      <c r="W230" s="14"/>
      <c r="X230" s="69"/>
      <c r="Y230" s="60">
        <f ca="1">Table25[[#This Row],[End Date]]+2-TODAY()</f>
        <v>-46005</v>
      </c>
      <c r="Z230" s="14">
        <f>IF(ISBLANK(Table25[[#This Row],[Roster Received By]]),1,0)</f>
        <v>1</v>
      </c>
      <c r="AA230" s="14">
        <f ca="1">IF(Table25[[#This Row],[Start Date]]&gt;TODAY(),1,)</f>
        <v>0</v>
      </c>
    </row>
    <row r="231" spans="1:27" s="52" customFormat="1" hidden="1" x14ac:dyDescent="0.25">
      <c r="B231" s="69"/>
      <c r="C231" s="70" t="e">
        <v>#N/A</v>
      </c>
      <c r="D231" s="70" t="e">
        <v>#N/A</v>
      </c>
      <c r="E231" s="69"/>
      <c r="F231" s="72"/>
      <c r="G231" s="72"/>
      <c r="H231" s="72"/>
      <c r="I231" s="71"/>
      <c r="J231" s="71"/>
      <c r="K231" s="71"/>
      <c r="L231" s="71"/>
      <c r="M231" s="71"/>
      <c r="N231" s="71"/>
      <c r="O231" s="69"/>
      <c r="P231" s="69"/>
      <c r="Q231" s="14" t="e">
        <v>#N/A</v>
      </c>
      <c r="R231" s="14" t="e">
        <v>#N/A</v>
      </c>
      <c r="S231" s="14"/>
      <c r="T231" s="73"/>
      <c r="U231" s="14"/>
      <c r="V231" s="14"/>
      <c r="W231" s="14"/>
      <c r="X231" s="69"/>
      <c r="Y231" s="60">
        <f ca="1">Table25[[#This Row],[End Date]]+2-TODAY()</f>
        <v>-46005</v>
      </c>
      <c r="Z231" s="14">
        <f>IF(ISBLANK(Table25[[#This Row],[Roster Received By]]),1,0)</f>
        <v>1</v>
      </c>
      <c r="AA231" s="14">
        <f ca="1">IF(Table25[[#This Row],[Start Date]]&gt;TODAY(),1,)</f>
        <v>0</v>
      </c>
    </row>
    <row r="232" spans="1:27" s="52" customFormat="1" hidden="1" x14ac:dyDescent="0.25">
      <c r="B232" s="69"/>
      <c r="C232" s="70" t="e">
        <v>#N/A</v>
      </c>
      <c r="D232" s="70" t="e">
        <v>#N/A</v>
      </c>
      <c r="E232" s="69"/>
      <c r="F232" s="72"/>
      <c r="G232" s="72"/>
      <c r="H232" s="72"/>
      <c r="I232" s="71"/>
      <c r="J232" s="71"/>
      <c r="K232" s="71"/>
      <c r="L232" s="71"/>
      <c r="M232" s="71"/>
      <c r="N232" s="71"/>
      <c r="O232" s="69"/>
      <c r="P232" s="69"/>
      <c r="Q232" s="14" t="e">
        <v>#N/A</v>
      </c>
      <c r="R232" s="14" t="e">
        <v>#N/A</v>
      </c>
      <c r="S232" s="14"/>
      <c r="T232" s="73"/>
      <c r="U232" s="14"/>
      <c r="V232" s="14"/>
      <c r="W232" s="14"/>
      <c r="X232" s="69"/>
      <c r="Y232" s="60">
        <f ca="1">Table25[[#This Row],[End Date]]+2-TODAY()</f>
        <v>-46005</v>
      </c>
      <c r="Z232" s="14">
        <f>IF(ISBLANK(Table25[[#This Row],[Roster Received By]]),1,0)</f>
        <v>1</v>
      </c>
      <c r="AA232" s="14">
        <f ca="1">IF(Table25[[#This Row],[Start Date]]&gt;TODAY(),1,)</f>
        <v>0</v>
      </c>
    </row>
    <row r="233" spans="1:27" s="52" customFormat="1" hidden="1" x14ac:dyDescent="0.25">
      <c r="B233" s="69"/>
      <c r="C233" s="70" t="e">
        <v>#N/A</v>
      </c>
      <c r="D233" s="70" t="e">
        <v>#N/A</v>
      </c>
      <c r="E233" s="69"/>
      <c r="F233" s="72"/>
      <c r="G233" s="72"/>
      <c r="H233" s="72"/>
      <c r="I233" s="71"/>
      <c r="J233" s="71"/>
      <c r="K233" s="71"/>
      <c r="L233" s="71"/>
      <c r="M233" s="71"/>
      <c r="N233" s="71"/>
      <c r="O233" s="69"/>
      <c r="P233" s="69"/>
      <c r="Q233" s="14" t="e">
        <v>#N/A</v>
      </c>
      <c r="R233" s="14" t="e">
        <v>#N/A</v>
      </c>
      <c r="S233" s="14"/>
      <c r="T233" s="73"/>
      <c r="U233" s="14"/>
      <c r="V233" s="14"/>
      <c r="W233" s="14"/>
      <c r="X233" s="69"/>
      <c r="Y233" s="60">
        <f ca="1">Table25[[#This Row],[End Date]]+2-TODAY()</f>
        <v>-46005</v>
      </c>
      <c r="Z233" s="14">
        <f>IF(ISBLANK(Table25[[#This Row],[Roster Received By]]),1,0)</f>
        <v>1</v>
      </c>
      <c r="AA233" s="14">
        <f ca="1">IF(Table25[[#This Row],[Start Date]]&gt;TODAY(),1,)</f>
        <v>0</v>
      </c>
    </row>
    <row r="234" spans="1:27" s="52" customFormat="1" hidden="1" x14ac:dyDescent="0.25">
      <c r="B234" s="69"/>
      <c r="C234" s="70" t="e">
        <v>#N/A</v>
      </c>
      <c r="D234" s="70" t="e">
        <v>#N/A</v>
      </c>
      <c r="E234" s="69"/>
      <c r="F234" s="72"/>
      <c r="G234" s="72"/>
      <c r="H234" s="72"/>
      <c r="I234" s="71"/>
      <c r="J234" s="71"/>
      <c r="K234" s="71"/>
      <c r="L234" s="71"/>
      <c r="M234" s="71"/>
      <c r="N234" s="71"/>
      <c r="O234" s="69"/>
      <c r="P234" s="69"/>
      <c r="Q234" s="14" t="e">
        <v>#N/A</v>
      </c>
      <c r="R234" s="14" t="e">
        <v>#N/A</v>
      </c>
      <c r="S234" s="14"/>
      <c r="T234" s="73"/>
      <c r="U234" s="14"/>
      <c r="V234" s="14"/>
      <c r="W234" s="14"/>
      <c r="X234" s="69"/>
      <c r="Y234" s="60">
        <f ca="1">Table25[[#This Row],[End Date]]+2-TODAY()</f>
        <v>-46005</v>
      </c>
      <c r="Z234" s="14">
        <f>IF(ISBLANK(Table25[[#This Row],[Roster Received By]]),1,0)</f>
        <v>1</v>
      </c>
      <c r="AA234" s="14">
        <f ca="1">IF(Table25[[#This Row],[Start Date]]&gt;TODAY(),1,)</f>
        <v>0</v>
      </c>
    </row>
    <row r="235" spans="1:27" s="52" customFormat="1" hidden="1" x14ac:dyDescent="0.25">
      <c r="B235" s="69"/>
      <c r="C235" s="70" t="e">
        <v>#N/A</v>
      </c>
      <c r="D235" s="70" t="e">
        <v>#N/A</v>
      </c>
      <c r="E235" s="69"/>
      <c r="F235" s="72"/>
      <c r="G235" s="72"/>
      <c r="H235" s="72"/>
      <c r="I235" s="71"/>
      <c r="J235" s="71"/>
      <c r="K235" s="71"/>
      <c r="L235" s="71"/>
      <c r="M235" s="71"/>
      <c r="N235" s="71"/>
      <c r="O235" s="69"/>
      <c r="P235" s="69"/>
      <c r="Q235" s="14" t="e">
        <v>#N/A</v>
      </c>
      <c r="R235" s="14" t="e">
        <v>#N/A</v>
      </c>
      <c r="S235" s="14"/>
      <c r="T235" s="73"/>
      <c r="U235" s="14"/>
      <c r="V235" s="14"/>
      <c r="W235" s="14"/>
      <c r="X235" s="69"/>
      <c r="Y235" s="60">
        <f ca="1">Table25[[#This Row],[End Date]]+2-TODAY()</f>
        <v>-46005</v>
      </c>
      <c r="Z235" s="14">
        <f>IF(ISBLANK(Table25[[#This Row],[Roster Received By]]),1,0)</f>
        <v>1</v>
      </c>
      <c r="AA235" s="14">
        <f ca="1">IF(Table25[[#This Row],[Start Date]]&gt;TODAY(),1,)</f>
        <v>0</v>
      </c>
    </row>
    <row r="236" spans="1:27" s="52" customFormat="1" hidden="1" x14ac:dyDescent="0.25">
      <c r="B236" s="69"/>
      <c r="C236" s="70" t="e">
        <v>#N/A</v>
      </c>
      <c r="D236" s="70" t="e">
        <v>#N/A</v>
      </c>
      <c r="E236" s="69"/>
      <c r="F236" s="72"/>
      <c r="G236" s="72"/>
      <c r="H236" s="78"/>
      <c r="I236" s="75"/>
      <c r="J236" s="72"/>
      <c r="K236" s="72"/>
      <c r="L236" s="72"/>
      <c r="M236" s="72"/>
      <c r="N236" s="72"/>
      <c r="O236" s="69"/>
      <c r="P236" s="69"/>
      <c r="Q236" s="14" t="e">
        <v>#N/A</v>
      </c>
      <c r="R236" s="14" t="e">
        <v>#N/A</v>
      </c>
      <c r="S236" s="73"/>
      <c r="T236" s="73"/>
      <c r="U236" s="14"/>
      <c r="V236" s="14"/>
      <c r="W236" s="14"/>
      <c r="X236" s="69"/>
      <c r="Y236" s="60">
        <f ca="1">Table25[[#This Row],[End Date]]+2-TODAY()</f>
        <v>-46005</v>
      </c>
      <c r="Z236" s="14">
        <f>IF(ISBLANK(Table25[[#This Row],[Roster Received By]]),1,0)</f>
        <v>1</v>
      </c>
      <c r="AA236" s="14">
        <f ca="1">IF(Table25[[#This Row],[Start Date]]&gt;TODAY(),1,)</f>
        <v>0</v>
      </c>
    </row>
    <row r="237" spans="1:27" s="52" customFormat="1" hidden="1" x14ac:dyDescent="0.25">
      <c r="B237" s="86"/>
      <c r="C237" s="70" t="e">
        <v>#N/A</v>
      </c>
      <c r="D237" s="70" t="e">
        <v>#N/A</v>
      </c>
      <c r="E237" s="69"/>
      <c r="F237" s="72"/>
      <c r="G237" s="72"/>
      <c r="H237" s="72"/>
      <c r="I237" s="71"/>
      <c r="J237" s="71"/>
      <c r="K237" s="71"/>
      <c r="L237" s="71"/>
      <c r="M237" s="71"/>
      <c r="N237" s="71"/>
      <c r="O237" s="69"/>
      <c r="P237" s="69"/>
      <c r="Q237" s="14" t="e">
        <v>#N/A</v>
      </c>
      <c r="R237" s="14" t="e">
        <v>#N/A</v>
      </c>
      <c r="S237" s="14"/>
      <c r="T237" s="73"/>
      <c r="U237" s="14"/>
      <c r="V237" s="14"/>
      <c r="W237" s="14"/>
      <c r="X237" s="69"/>
      <c r="Y237" s="60">
        <f ca="1">Table25[[#This Row],[End Date]]+2-TODAY()</f>
        <v>-46005</v>
      </c>
      <c r="Z237" s="14">
        <f>IF(ISBLANK(Table25[[#This Row],[Roster Received By]]),1,0)</f>
        <v>1</v>
      </c>
      <c r="AA237" s="14">
        <f ca="1">IF(Table25[[#This Row],[Start Date]]&gt;TODAY(),1,)</f>
        <v>0</v>
      </c>
    </row>
    <row r="238" spans="1:27" s="52" customFormat="1" hidden="1" x14ac:dyDescent="0.25">
      <c r="B238" s="69"/>
      <c r="C238" s="70" t="e">
        <v>#N/A</v>
      </c>
      <c r="D238" s="70" t="e">
        <v>#N/A</v>
      </c>
      <c r="E238" s="69"/>
      <c r="F238" s="72"/>
      <c r="G238" s="72"/>
      <c r="H238" s="75"/>
      <c r="I238" s="75"/>
      <c r="J238" s="72"/>
      <c r="K238" s="72"/>
      <c r="L238" s="72"/>
      <c r="M238" s="72"/>
      <c r="N238" s="72"/>
      <c r="O238" s="69"/>
      <c r="P238" s="69"/>
      <c r="Q238" s="14" t="e">
        <v>#N/A</v>
      </c>
      <c r="R238" s="14" t="e">
        <v>#N/A</v>
      </c>
      <c r="S238" s="14"/>
      <c r="T238" s="73"/>
      <c r="U238" s="14"/>
      <c r="V238" s="14"/>
      <c r="W238" s="74"/>
      <c r="X238" s="69"/>
      <c r="Y238" s="60">
        <f ca="1">Table25[[#This Row],[End Date]]+2-TODAY()</f>
        <v>-46005</v>
      </c>
      <c r="Z238" s="14">
        <f>IF(ISBLANK(Table25[[#This Row],[Roster Received By]]),1,0)</f>
        <v>1</v>
      </c>
      <c r="AA238" s="14">
        <f ca="1">IF(Table25[[#This Row],[Start Date]]&gt;TODAY(),1,)</f>
        <v>0</v>
      </c>
    </row>
    <row r="239" spans="1:27" s="52" customFormat="1" hidden="1" x14ac:dyDescent="0.25">
      <c r="B239" s="86"/>
      <c r="C239" s="70" t="e">
        <v>#N/A</v>
      </c>
      <c r="D239" s="70" t="e">
        <v>#N/A</v>
      </c>
      <c r="E239" s="69"/>
      <c r="F239" s="72"/>
      <c r="G239" s="72"/>
      <c r="H239" s="75"/>
      <c r="I239" s="75"/>
      <c r="J239" s="75"/>
      <c r="K239" s="75"/>
      <c r="L239" s="75"/>
      <c r="M239" s="75"/>
      <c r="N239" s="72"/>
      <c r="O239" s="69"/>
      <c r="P239" s="69"/>
      <c r="Q239" s="14" t="e">
        <v>#N/A</v>
      </c>
      <c r="R239" s="14" t="e">
        <v>#N/A</v>
      </c>
      <c r="S239" s="14"/>
      <c r="T239" s="73"/>
      <c r="U239" s="14"/>
      <c r="V239" s="14"/>
      <c r="W239" s="14"/>
      <c r="X239" s="69"/>
      <c r="Y239" s="60">
        <f ca="1">Table25[[#This Row],[End Date]]+2-TODAY()</f>
        <v>-46005</v>
      </c>
      <c r="Z239" s="14">
        <f>IF(ISBLANK(Table25[[#This Row],[Roster Received By]]),1,0)</f>
        <v>1</v>
      </c>
      <c r="AA239" s="14">
        <f ca="1">IF(Table25[[#This Row],[Start Date]]&gt;TODAY(),1,)</f>
        <v>0</v>
      </c>
    </row>
    <row r="240" spans="1:27" s="52" customFormat="1" hidden="1" x14ac:dyDescent="0.25">
      <c r="B240" s="86"/>
      <c r="C240" s="70" t="e">
        <v>#N/A</v>
      </c>
      <c r="D240" s="70" t="e">
        <v>#N/A</v>
      </c>
      <c r="E240" s="69"/>
      <c r="F240" s="72"/>
      <c r="G240" s="72"/>
      <c r="H240" s="75"/>
      <c r="I240" s="75"/>
      <c r="J240" s="72"/>
      <c r="K240" s="72"/>
      <c r="L240" s="72"/>
      <c r="M240" s="72"/>
      <c r="N240" s="72"/>
      <c r="O240" s="69"/>
      <c r="P240" s="69"/>
      <c r="Q240" s="14" t="e">
        <v>#N/A</v>
      </c>
      <c r="R240" s="14" t="e">
        <v>#N/A</v>
      </c>
      <c r="S240" s="14"/>
      <c r="T240" s="73"/>
      <c r="U240" s="14"/>
      <c r="V240" s="14"/>
      <c r="W240" s="14"/>
      <c r="X240" s="69"/>
      <c r="Y240" s="60">
        <f ca="1">Table25[[#This Row],[End Date]]+2-TODAY()</f>
        <v>-46005</v>
      </c>
      <c r="Z240" s="14">
        <f>IF(ISBLANK(Table25[[#This Row],[Roster Received By]]),1,0)</f>
        <v>1</v>
      </c>
      <c r="AA240" s="14">
        <f ca="1">IF(Table25[[#This Row],[Start Date]]&gt;TODAY(),1,)</f>
        <v>0</v>
      </c>
    </row>
    <row r="241" spans="1:27" s="52" customFormat="1" hidden="1" x14ac:dyDescent="0.25">
      <c r="B241" s="86"/>
      <c r="C241" s="70" t="e">
        <v>#N/A</v>
      </c>
      <c r="D241" s="70" t="e">
        <v>#N/A</v>
      </c>
      <c r="E241" s="69"/>
      <c r="F241" s="72"/>
      <c r="G241" s="72"/>
      <c r="H241" s="72"/>
      <c r="I241" s="71"/>
      <c r="J241" s="71"/>
      <c r="K241" s="71"/>
      <c r="L241" s="71"/>
      <c r="M241" s="71"/>
      <c r="N241" s="71"/>
      <c r="O241" s="69"/>
      <c r="P241" s="69"/>
      <c r="Q241" s="14" t="e">
        <v>#N/A</v>
      </c>
      <c r="R241" s="14" t="e">
        <v>#N/A</v>
      </c>
      <c r="S241" s="14"/>
      <c r="T241" s="73"/>
      <c r="U241" s="14"/>
      <c r="V241" s="14"/>
      <c r="W241" s="14"/>
      <c r="X241" s="69"/>
      <c r="Y241" s="60">
        <f ca="1">Table25[[#This Row],[End Date]]+2-TODAY()</f>
        <v>-46005</v>
      </c>
      <c r="Z241" s="14">
        <f>IF(ISBLANK(Table25[[#This Row],[Roster Received By]]),1,0)</f>
        <v>1</v>
      </c>
      <c r="AA241" s="14">
        <f ca="1">IF(Table25[[#This Row],[Start Date]]&gt;TODAY(),1,)</f>
        <v>0</v>
      </c>
    </row>
    <row r="242" spans="1:27" s="52" customFormat="1" hidden="1" x14ac:dyDescent="0.25">
      <c r="B242" s="69"/>
      <c r="C242" s="70" t="e">
        <v>#N/A</v>
      </c>
      <c r="D242" s="70" t="e">
        <v>#N/A</v>
      </c>
      <c r="E242" s="69"/>
      <c r="F242" s="72"/>
      <c r="G242" s="72"/>
      <c r="H242" s="78"/>
      <c r="I242" s="78"/>
      <c r="J242" s="72"/>
      <c r="K242" s="72"/>
      <c r="L242" s="72"/>
      <c r="M242" s="72"/>
      <c r="N242" s="72"/>
      <c r="O242" s="69"/>
      <c r="P242" s="69"/>
      <c r="Q242" s="14" t="e">
        <v>#N/A</v>
      </c>
      <c r="R242" s="14" t="e">
        <v>#N/A</v>
      </c>
      <c r="S242" s="14"/>
      <c r="T242" s="73"/>
      <c r="U242" s="14"/>
      <c r="V242" s="14"/>
      <c r="W242" s="14"/>
      <c r="X242" s="69"/>
      <c r="Y242" s="60">
        <f ca="1">Table25[[#This Row],[End Date]]+2-TODAY()</f>
        <v>-46005</v>
      </c>
      <c r="Z242" s="14">
        <f>IF(ISBLANK(Table25[[#This Row],[Roster Received By]]),1,0)</f>
        <v>1</v>
      </c>
      <c r="AA242" s="14">
        <f ca="1">IF(Table25[[#This Row],[Start Date]]&gt;TODAY(),1,)</f>
        <v>0</v>
      </c>
    </row>
    <row r="243" spans="1:27" s="52" customFormat="1" hidden="1" x14ac:dyDescent="0.25">
      <c r="B243" s="69"/>
      <c r="C243" s="70" t="e">
        <v>#N/A</v>
      </c>
      <c r="D243" s="70" t="e">
        <v>#N/A</v>
      </c>
      <c r="E243" s="69"/>
      <c r="F243" s="72"/>
      <c r="G243" s="72"/>
      <c r="H243" s="72"/>
      <c r="I243" s="71"/>
      <c r="J243" s="71"/>
      <c r="K243" s="71"/>
      <c r="L243" s="71"/>
      <c r="M243" s="71"/>
      <c r="N243" s="71"/>
      <c r="O243" s="69"/>
      <c r="P243" s="69"/>
      <c r="Q243" s="14" t="e">
        <v>#N/A</v>
      </c>
      <c r="R243" s="14" t="e">
        <v>#N/A</v>
      </c>
      <c r="S243" s="14"/>
      <c r="T243" s="73"/>
      <c r="U243" s="14"/>
      <c r="V243" s="14"/>
      <c r="W243" s="14"/>
      <c r="X243" s="69"/>
      <c r="Y243" s="60">
        <f ca="1">Table25[[#This Row],[End Date]]+2-TODAY()</f>
        <v>-46005</v>
      </c>
      <c r="Z243" s="14">
        <f>IF(ISBLANK(Table25[[#This Row],[Roster Received By]]),1,0)</f>
        <v>1</v>
      </c>
      <c r="AA243" s="14">
        <f ca="1">IF(Table25[[#This Row],[Start Date]]&gt;TODAY(),1,)</f>
        <v>0</v>
      </c>
    </row>
    <row r="244" spans="1:27" s="52" customFormat="1" hidden="1" x14ac:dyDescent="0.25">
      <c r="B244" s="96"/>
      <c r="C244" s="70" t="e">
        <v>#N/A</v>
      </c>
      <c r="D244" s="70" t="e">
        <v>#N/A</v>
      </c>
      <c r="E244" s="69"/>
      <c r="F244" s="72"/>
      <c r="G244" s="72"/>
      <c r="H244" s="72"/>
      <c r="I244" s="71"/>
      <c r="J244" s="71"/>
      <c r="K244" s="71"/>
      <c r="L244" s="71"/>
      <c r="M244" s="71"/>
      <c r="N244" s="71"/>
      <c r="O244" s="69"/>
      <c r="P244" s="69"/>
      <c r="Q244" s="14" t="e">
        <v>#N/A</v>
      </c>
      <c r="R244" s="14" t="e">
        <v>#N/A</v>
      </c>
      <c r="S244" s="14"/>
      <c r="T244" s="73"/>
      <c r="U244" s="14"/>
      <c r="V244" s="14"/>
      <c r="W244" s="70"/>
      <c r="X244" s="69"/>
      <c r="Y244" s="60">
        <f ca="1">Table25[[#This Row],[End Date]]+2-TODAY()</f>
        <v>-46005</v>
      </c>
      <c r="Z244" s="14">
        <f>IF(ISBLANK(Table25[[#This Row],[Roster Received By]]),1,0)</f>
        <v>1</v>
      </c>
      <c r="AA244" s="14">
        <f ca="1">IF(Table25[[#This Row],[Start Date]]&gt;TODAY(),1,)</f>
        <v>0</v>
      </c>
    </row>
    <row r="245" spans="1:27" s="52" customFormat="1" hidden="1" x14ac:dyDescent="0.25">
      <c r="B245" s="86"/>
      <c r="C245" s="70" t="e">
        <v>#N/A</v>
      </c>
      <c r="D245" s="70" t="e">
        <v>#N/A</v>
      </c>
      <c r="E245" s="69"/>
      <c r="F245" s="72"/>
      <c r="G245" s="72"/>
      <c r="H245" s="72"/>
      <c r="I245" s="71"/>
      <c r="J245" s="71"/>
      <c r="K245" s="71"/>
      <c r="L245" s="71"/>
      <c r="M245" s="71"/>
      <c r="N245" s="71"/>
      <c r="O245" s="69"/>
      <c r="P245" s="69"/>
      <c r="Q245" s="14" t="e">
        <v>#N/A</v>
      </c>
      <c r="R245" s="14" t="e">
        <v>#N/A</v>
      </c>
      <c r="S245" s="14"/>
      <c r="T245" s="73"/>
      <c r="U245" s="14"/>
      <c r="V245" s="14"/>
      <c r="W245" s="14"/>
      <c r="X245" s="69"/>
      <c r="Y245" s="60">
        <f ca="1">Table25[[#This Row],[End Date]]+2-TODAY()</f>
        <v>-46005</v>
      </c>
      <c r="Z245" s="14">
        <f>IF(ISBLANK(Table25[[#This Row],[Roster Received By]]),1,0)</f>
        <v>1</v>
      </c>
      <c r="AA245" s="14">
        <f ca="1">IF(Table25[[#This Row],[Start Date]]&gt;TODAY(),1,)</f>
        <v>0</v>
      </c>
    </row>
    <row r="246" spans="1:27" s="52" customFormat="1" hidden="1" x14ac:dyDescent="0.25">
      <c r="B246" s="86"/>
      <c r="C246" s="70" t="e">
        <v>#N/A</v>
      </c>
      <c r="D246" s="70" t="e">
        <v>#N/A</v>
      </c>
      <c r="E246" s="69"/>
      <c r="F246" s="72"/>
      <c r="G246" s="72"/>
      <c r="H246" s="75"/>
      <c r="I246" s="75"/>
      <c r="J246" s="75"/>
      <c r="K246" s="75"/>
      <c r="L246" s="75"/>
      <c r="M246" s="75"/>
      <c r="N246" s="72"/>
      <c r="O246" s="69"/>
      <c r="P246" s="69"/>
      <c r="Q246" s="14" t="e">
        <v>#N/A</v>
      </c>
      <c r="R246" s="14" t="e">
        <v>#N/A</v>
      </c>
      <c r="S246" s="14"/>
      <c r="T246" s="73"/>
      <c r="U246" s="14"/>
      <c r="V246" s="14"/>
      <c r="W246" s="14"/>
      <c r="X246" s="69"/>
      <c r="Y246" s="60">
        <f ca="1">Table25[[#This Row],[End Date]]+2-TODAY()</f>
        <v>-46005</v>
      </c>
      <c r="Z246" s="14">
        <f>IF(ISBLANK(Table25[[#This Row],[Roster Received By]]),1,0)</f>
        <v>1</v>
      </c>
      <c r="AA246" s="14">
        <f ca="1">IF(Table25[[#This Row],[Start Date]]&gt;TODAY(),1,)</f>
        <v>0</v>
      </c>
    </row>
    <row r="247" spans="1:27" s="52" customFormat="1" hidden="1" x14ac:dyDescent="0.25">
      <c r="B247" s="86"/>
      <c r="C247" s="70" t="e">
        <v>#N/A</v>
      </c>
      <c r="D247" s="70" t="e">
        <v>#N/A</v>
      </c>
      <c r="E247" s="86"/>
      <c r="F247" s="68"/>
      <c r="G247" s="80"/>
      <c r="H247" s="72"/>
      <c r="I247" s="71"/>
      <c r="J247" s="71"/>
      <c r="K247" s="71"/>
      <c r="L247" s="71"/>
      <c r="M247" s="71"/>
      <c r="N247" s="71"/>
      <c r="O247" s="69"/>
      <c r="P247" s="69"/>
      <c r="Q247" s="14" t="e">
        <v>#N/A</v>
      </c>
      <c r="R247" s="14" t="e">
        <v>#N/A</v>
      </c>
      <c r="S247" s="14"/>
      <c r="T247" s="73"/>
      <c r="U247" s="14"/>
      <c r="V247" s="14"/>
      <c r="W247" s="14"/>
      <c r="X247" s="69"/>
      <c r="Y247" s="60">
        <f ca="1">Table25[[#This Row],[End Date]]+2-TODAY()</f>
        <v>-46005</v>
      </c>
      <c r="Z247" s="14">
        <f>IF(ISBLANK(Table25[[#This Row],[Roster Received By]]),1,0)</f>
        <v>1</v>
      </c>
      <c r="AA247" s="14">
        <f ca="1">IF(Table25[[#This Row],[Start Date]]&gt;TODAY(),1,)</f>
        <v>0</v>
      </c>
    </row>
    <row r="248" spans="1:27" s="52" customFormat="1" hidden="1" x14ac:dyDescent="0.25">
      <c r="B248" s="69"/>
      <c r="C248" s="70" t="e">
        <v>#N/A</v>
      </c>
      <c r="D248" s="70" t="e">
        <v>#N/A</v>
      </c>
      <c r="E248" s="69"/>
      <c r="F248" s="72"/>
      <c r="G248" s="72"/>
      <c r="H248" s="75"/>
      <c r="I248" s="75"/>
      <c r="J248" s="72"/>
      <c r="K248" s="72"/>
      <c r="L248" s="72"/>
      <c r="M248" s="72"/>
      <c r="N248" s="72"/>
      <c r="O248" s="69"/>
      <c r="P248" s="69"/>
      <c r="Q248" s="14" t="e">
        <v>#N/A</v>
      </c>
      <c r="R248" s="14" t="e">
        <v>#N/A</v>
      </c>
      <c r="S248" s="14"/>
      <c r="T248" s="73"/>
      <c r="U248" s="14"/>
      <c r="V248" s="14"/>
      <c r="W248" s="14"/>
      <c r="X248" s="69"/>
      <c r="Y248" s="60">
        <f ca="1">Table25[[#This Row],[End Date]]+2-TODAY()</f>
        <v>-46005</v>
      </c>
      <c r="Z248" s="14">
        <f>IF(ISBLANK(Table25[[#This Row],[Roster Received By]]),1,0)</f>
        <v>1</v>
      </c>
      <c r="AA248" s="14">
        <f ca="1">IF(Table25[[#This Row],[Start Date]]&gt;TODAY(),1,)</f>
        <v>0</v>
      </c>
    </row>
    <row r="249" spans="1:27" s="52" customFormat="1" hidden="1" x14ac:dyDescent="0.25">
      <c r="B249" s="86"/>
      <c r="C249" s="70" t="e">
        <v>#N/A</v>
      </c>
      <c r="D249" s="70" t="e">
        <v>#N/A</v>
      </c>
      <c r="E249" s="55"/>
      <c r="F249" s="68"/>
      <c r="G249" s="80"/>
      <c r="H249" s="75"/>
      <c r="I249" s="75"/>
      <c r="J249" s="72"/>
      <c r="K249" s="72"/>
      <c r="L249" s="72"/>
      <c r="M249" s="72"/>
      <c r="N249" s="72"/>
      <c r="O249" s="69"/>
      <c r="P249" s="69"/>
      <c r="Q249" s="14" t="e">
        <v>#N/A</v>
      </c>
      <c r="R249" s="14" t="e">
        <v>#N/A</v>
      </c>
      <c r="S249" s="14"/>
      <c r="T249" s="73"/>
      <c r="U249" s="14"/>
      <c r="V249" s="14"/>
      <c r="W249" s="70"/>
      <c r="X249" s="69"/>
      <c r="Y249" s="60">
        <f ca="1">Table25[[#This Row],[End Date]]+2-TODAY()</f>
        <v>-46005</v>
      </c>
      <c r="Z249" s="14">
        <f>IF(ISBLANK(Table25[[#This Row],[Roster Received By]]),1,0)</f>
        <v>1</v>
      </c>
      <c r="AA249" s="14">
        <f ca="1">IF(Table25[[#This Row],[Start Date]]&gt;TODAY(),1,)</f>
        <v>0</v>
      </c>
    </row>
    <row r="250" spans="1:27" s="52" customFormat="1" hidden="1" x14ac:dyDescent="0.25">
      <c r="B250" s="55"/>
      <c r="C250" s="70" t="e">
        <v>#N/A</v>
      </c>
      <c r="D250" s="70" t="e">
        <v>#N/A</v>
      </c>
      <c r="E250" s="100"/>
      <c r="F250" s="68"/>
      <c r="G250" s="68"/>
      <c r="H250" s="71"/>
      <c r="I250" s="71"/>
      <c r="J250" s="72"/>
      <c r="K250" s="72"/>
      <c r="L250" s="72"/>
      <c r="M250" s="72"/>
      <c r="N250" s="72"/>
      <c r="O250" s="69"/>
      <c r="P250" s="69"/>
      <c r="Q250" s="14" t="e">
        <v>#N/A</v>
      </c>
      <c r="R250" s="14" t="e">
        <v>#N/A</v>
      </c>
      <c r="S250" s="14"/>
      <c r="T250" s="73"/>
      <c r="U250" s="14"/>
      <c r="V250" s="14"/>
      <c r="W250" s="14"/>
      <c r="X250" s="69"/>
      <c r="Y250" s="60">
        <f ca="1">Table25[[#This Row],[End Date]]+2-TODAY()</f>
        <v>-46005</v>
      </c>
      <c r="Z250" s="14">
        <f>IF(ISBLANK(Table25[[#This Row],[Roster Received By]]),1,0)</f>
        <v>1</v>
      </c>
      <c r="AA250" s="14">
        <f ca="1">IF(Table25[[#This Row],[Start Date]]&gt;TODAY(),1,)</f>
        <v>0</v>
      </c>
    </row>
    <row r="251" spans="1:27" s="52" customFormat="1" hidden="1" x14ac:dyDescent="0.25">
      <c r="B251" s="86"/>
      <c r="C251" s="70" t="e">
        <v>#N/A</v>
      </c>
      <c r="D251" s="70" t="e">
        <v>#N/A</v>
      </c>
      <c r="E251" s="86"/>
      <c r="F251" s="80"/>
      <c r="G251" s="80"/>
      <c r="H251" s="72"/>
      <c r="I251" s="71"/>
      <c r="J251" s="71"/>
      <c r="K251" s="71"/>
      <c r="L251" s="71"/>
      <c r="M251" s="71"/>
      <c r="N251" s="71"/>
      <c r="O251" s="69"/>
      <c r="P251" s="69"/>
      <c r="Q251" s="14" t="e">
        <v>#N/A</v>
      </c>
      <c r="R251" s="14" t="e">
        <v>#N/A</v>
      </c>
      <c r="S251" s="14"/>
      <c r="T251" s="73"/>
      <c r="U251" s="14"/>
      <c r="V251" s="14"/>
      <c r="W251" s="14"/>
      <c r="X251" s="69"/>
      <c r="Y251" s="60">
        <f ca="1">Table25[[#This Row],[End Date]]+2-TODAY()</f>
        <v>-46005</v>
      </c>
      <c r="Z251" s="14">
        <f>IF(ISBLANK(Table25[[#This Row],[Roster Received By]]),1,0)</f>
        <v>1</v>
      </c>
      <c r="AA251" s="14">
        <f ca="1">IF(Table25[[#This Row],[Start Date]]&gt;TODAY(),1,)</f>
        <v>0</v>
      </c>
    </row>
    <row r="252" spans="1:27" s="52" customFormat="1" hidden="1" x14ac:dyDescent="0.25">
      <c r="B252" s="86"/>
      <c r="C252" s="70" t="e">
        <v>#N/A</v>
      </c>
      <c r="D252" s="70" t="e">
        <v>#N/A</v>
      </c>
      <c r="E252" s="86"/>
      <c r="F252" s="80"/>
      <c r="G252" s="80"/>
      <c r="H252" s="72"/>
      <c r="I252" s="71"/>
      <c r="J252" s="71"/>
      <c r="K252" s="71"/>
      <c r="L252" s="71"/>
      <c r="M252" s="71"/>
      <c r="N252" s="71"/>
      <c r="O252" s="69"/>
      <c r="P252" s="69"/>
      <c r="Q252" s="14" t="e">
        <v>#N/A</v>
      </c>
      <c r="R252" s="14" t="e">
        <v>#N/A</v>
      </c>
      <c r="S252" s="14"/>
      <c r="T252" s="73"/>
      <c r="U252" s="14"/>
      <c r="V252" s="14"/>
      <c r="W252" s="70"/>
      <c r="X252" s="69"/>
      <c r="Y252" s="60">
        <f ca="1">Table25[[#This Row],[End Date]]+2-TODAY()</f>
        <v>-46005</v>
      </c>
      <c r="Z252" s="14">
        <f>IF(ISBLANK(Table25[[#This Row],[Roster Received By]]),1,0)</f>
        <v>1</v>
      </c>
      <c r="AA252" s="14">
        <f ca="1">IF(Table25[[#This Row],[Start Date]]&gt;TODAY(),1,)</f>
        <v>0</v>
      </c>
    </row>
    <row r="253" spans="1:27" s="52" customFormat="1" hidden="1" x14ac:dyDescent="0.25">
      <c r="B253" s="86"/>
      <c r="C253" s="70" t="e">
        <v>#N/A</v>
      </c>
      <c r="D253" s="70" t="e">
        <v>#N/A</v>
      </c>
      <c r="E253" s="86"/>
      <c r="F253" s="80"/>
      <c r="G253" s="80"/>
      <c r="H253" s="72"/>
      <c r="I253" s="71"/>
      <c r="J253" s="71"/>
      <c r="K253" s="71"/>
      <c r="L253" s="71"/>
      <c r="M253" s="71"/>
      <c r="N253" s="71"/>
      <c r="O253" s="69"/>
      <c r="P253" s="69"/>
      <c r="Q253" s="14" t="e">
        <v>#N/A</v>
      </c>
      <c r="R253" s="14" t="e">
        <v>#N/A</v>
      </c>
      <c r="S253" s="14"/>
      <c r="T253" s="73"/>
      <c r="U253" s="14"/>
      <c r="V253" s="14"/>
      <c r="W253" s="14"/>
      <c r="X253" s="69"/>
      <c r="Y253" s="60">
        <f ca="1">Table25[[#This Row],[End Date]]+2-TODAY()</f>
        <v>-46005</v>
      </c>
      <c r="Z253" s="14">
        <f>IF(ISBLANK(Table25[[#This Row],[Roster Received By]]),1,0)</f>
        <v>1</v>
      </c>
      <c r="AA253" s="14">
        <f ca="1">IF(Table25[[#This Row],[Start Date]]&gt;TODAY(),1,)</f>
        <v>0</v>
      </c>
    </row>
    <row r="254" spans="1:27" s="52" customFormat="1" hidden="1" x14ac:dyDescent="0.25">
      <c r="A254" s="54"/>
      <c r="B254" s="86"/>
      <c r="C254" s="70" t="e">
        <v>#N/A</v>
      </c>
      <c r="D254" s="70" t="e">
        <v>#N/A</v>
      </c>
      <c r="E254" s="86"/>
      <c r="F254" s="80"/>
      <c r="G254" s="80"/>
      <c r="H254" s="72"/>
      <c r="I254" s="71"/>
      <c r="J254" s="71"/>
      <c r="K254" s="71"/>
      <c r="L254" s="71"/>
      <c r="M254" s="71"/>
      <c r="N254" s="71"/>
      <c r="O254" s="69"/>
      <c r="P254" s="69"/>
      <c r="Q254" s="14" t="e">
        <v>#N/A</v>
      </c>
      <c r="R254" s="14" t="e">
        <v>#N/A</v>
      </c>
      <c r="S254" s="14"/>
      <c r="T254" s="73"/>
      <c r="U254" s="14"/>
      <c r="V254" s="14"/>
      <c r="W254" s="14"/>
      <c r="X254" s="69"/>
      <c r="Y254" s="60">
        <f ca="1">Table25[[#This Row],[End Date]]+2-TODAY()</f>
        <v>-46005</v>
      </c>
      <c r="Z254" s="14">
        <f>IF(ISBLANK(Table25[[#This Row],[Roster Received By]]),1,0)</f>
        <v>1</v>
      </c>
      <c r="AA254" s="14">
        <f ca="1">IF(Table25[[#This Row],[Start Date]]&gt;TODAY(),1,)</f>
        <v>0</v>
      </c>
    </row>
    <row r="255" spans="1:27" s="52" customFormat="1" hidden="1" x14ac:dyDescent="0.25">
      <c r="B255" s="86"/>
      <c r="C255" s="70" t="e">
        <v>#N/A</v>
      </c>
      <c r="D255" s="70" t="e">
        <v>#N/A</v>
      </c>
      <c r="E255" s="86"/>
      <c r="F255" s="80"/>
      <c r="G255" s="80"/>
      <c r="H255" s="78"/>
      <c r="I255" s="78"/>
      <c r="J255" s="72"/>
      <c r="K255" s="72"/>
      <c r="L255" s="72"/>
      <c r="M255" s="72"/>
      <c r="N255" s="72"/>
      <c r="O255" s="69"/>
      <c r="P255" s="69"/>
      <c r="Q255" s="14" t="e">
        <v>#N/A</v>
      </c>
      <c r="R255" s="14" t="e">
        <v>#N/A</v>
      </c>
      <c r="S255" s="14"/>
      <c r="T255" s="73"/>
      <c r="U255" s="14"/>
      <c r="V255" s="14"/>
      <c r="W255" s="14"/>
      <c r="X255" s="69"/>
      <c r="Y255" s="60">
        <f ca="1">Table25[[#This Row],[End Date]]+2-TODAY()</f>
        <v>-46005</v>
      </c>
      <c r="Z255" s="14">
        <f>IF(ISBLANK(Table25[[#This Row],[Roster Received By]]),1,0)</f>
        <v>1</v>
      </c>
      <c r="AA255" s="14">
        <f ca="1">IF(Table25[[#This Row],[Start Date]]&gt;TODAY(),1,)</f>
        <v>0</v>
      </c>
    </row>
    <row r="256" spans="1:27" s="52" customFormat="1" hidden="1" x14ac:dyDescent="0.25">
      <c r="B256" s="86"/>
      <c r="C256" s="70" t="e">
        <v>#N/A</v>
      </c>
      <c r="D256" s="70" t="e">
        <v>#N/A</v>
      </c>
      <c r="E256" s="86"/>
      <c r="F256" s="80"/>
      <c r="G256" s="80"/>
      <c r="H256" s="71"/>
      <c r="I256" s="75"/>
      <c r="J256" s="72"/>
      <c r="K256" s="72"/>
      <c r="L256" s="72"/>
      <c r="M256" s="72"/>
      <c r="N256" s="72"/>
      <c r="O256" s="69"/>
      <c r="P256" s="69"/>
      <c r="Q256" s="14" t="e">
        <v>#N/A</v>
      </c>
      <c r="R256" s="14" t="e">
        <v>#N/A</v>
      </c>
      <c r="S256" s="73"/>
      <c r="T256" s="73"/>
      <c r="U256" s="14"/>
      <c r="V256" s="14"/>
      <c r="W256" s="14"/>
      <c r="X256" s="69"/>
      <c r="Y256" s="60">
        <f ca="1">Table25[[#This Row],[End Date]]+2-TODAY()</f>
        <v>-46005</v>
      </c>
      <c r="Z256" s="14">
        <f>IF(ISBLANK(Table25[[#This Row],[Roster Received By]]),1,0)</f>
        <v>1</v>
      </c>
      <c r="AA256" s="14">
        <f ca="1">IF(Table25[[#This Row],[Start Date]]&gt;TODAY(),1,)</f>
        <v>0</v>
      </c>
    </row>
    <row r="257" spans="1:27" s="52" customFormat="1" hidden="1" x14ac:dyDescent="0.25">
      <c r="B257" s="86"/>
      <c r="C257" s="70" t="e">
        <v>#N/A</v>
      </c>
      <c r="D257" s="70" t="e">
        <v>#N/A</v>
      </c>
      <c r="E257" s="86"/>
      <c r="F257" s="80"/>
      <c r="G257" s="80"/>
      <c r="H257" s="75"/>
      <c r="I257" s="75"/>
      <c r="J257" s="75"/>
      <c r="K257" s="75"/>
      <c r="L257" s="75"/>
      <c r="M257" s="75"/>
      <c r="N257" s="75"/>
      <c r="O257" s="69"/>
      <c r="P257" s="69"/>
      <c r="Q257" s="14" t="e">
        <v>#N/A</v>
      </c>
      <c r="R257" s="14" t="e">
        <v>#N/A</v>
      </c>
      <c r="S257" s="73"/>
      <c r="T257" s="73"/>
      <c r="U257" s="14"/>
      <c r="V257" s="14"/>
      <c r="W257" s="14"/>
      <c r="X257" s="69"/>
      <c r="Y257" s="60">
        <f ca="1">Table25[[#This Row],[End Date]]+2-TODAY()</f>
        <v>-46005</v>
      </c>
      <c r="Z257" s="14">
        <f>IF(ISBLANK(Table25[[#This Row],[Roster Received By]]),1,0)</f>
        <v>1</v>
      </c>
      <c r="AA257" s="14">
        <f ca="1">IF(Table25[[#This Row],[Start Date]]&gt;TODAY(),1,)</f>
        <v>0</v>
      </c>
    </row>
    <row r="258" spans="1:27" s="52" customFormat="1" hidden="1" x14ac:dyDescent="0.25">
      <c r="B258" s="86"/>
      <c r="C258" s="70" t="e">
        <v>#N/A</v>
      </c>
      <c r="D258" s="70" t="e">
        <v>#N/A</v>
      </c>
      <c r="E258" s="100"/>
      <c r="F258" s="68"/>
      <c r="G258" s="68"/>
      <c r="H258" s="71"/>
      <c r="I258" s="71"/>
      <c r="J258" s="72"/>
      <c r="K258" s="72"/>
      <c r="L258" s="72"/>
      <c r="M258" s="72"/>
      <c r="N258" s="72"/>
      <c r="O258" s="69"/>
      <c r="P258" s="69"/>
      <c r="Q258" s="14" t="e">
        <v>#N/A</v>
      </c>
      <c r="R258" s="14" t="e">
        <v>#N/A</v>
      </c>
      <c r="S258" s="14"/>
      <c r="T258" s="73"/>
      <c r="U258" s="14"/>
      <c r="V258" s="14"/>
      <c r="W258" s="73"/>
      <c r="X258" s="69"/>
      <c r="Y258" s="60">
        <f ca="1">Table25[[#This Row],[End Date]]+2-TODAY()</f>
        <v>-46005</v>
      </c>
      <c r="Z258" s="14">
        <f>IF(ISBLANK(Table25[[#This Row],[Roster Received By]]),1,0)</f>
        <v>1</v>
      </c>
      <c r="AA258" s="14">
        <f ca="1">IF(Table25[[#This Row],[Start Date]]&gt;TODAY(),1,)</f>
        <v>0</v>
      </c>
    </row>
    <row r="259" spans="1:27" s="52" customFormat="1" hidden="1" x14ac:dyDescent="0.25">
      <c r="B259" s="86"/>
      <c r="C259" s="70" t="e">
        <v>#N/A</v>
      </c>
      <c r="D259" s="70" t="e">
        <v>#N/A</v>
      </c>
      <c r="E259" s="69"/>
      <c r="F259" s="72"/>
      <c r="G259" s="72"/>
      <c r="H259" s="75"/>
      <c r="I259" s="75"/>
      <c r="J259" s="75"/>
      <c r="K259" s="75"/>
      <c r="L259" s="75"/>
      <c r="M259" s="75"/>
      <c r="N259" s="75"/>
      <c r="O259" s="69"/>
      <c r="P259" s="69"/>
      <c r="Q259" s="14" t="e">
        <v>#N/A</v>
      </c>
      <c r="R259" s="14" t="e">
        <v>#N/A</v>
      </c>
      <c r="S259" s="14"/>
      <c r="T259" s="73"/>
      <c r="U259" s="14"/>
      <c r="V259" s="14"/>
      <c r="W259" s="14"/>
      <c r="X259" s="69"/>
      <c r="Y259" s="60">
        <f ca="1">Table25[[#This Row],[End Date]]+2-TODAY()</f>
        <v>-46005</v>
      </c>
      <c r="Z259" s="14">
        <f>IF(ISBLANK(Table25[[#This Row],[Roster Received By]]),1,0)</f>
        <v>1</v>
      </c>
      <c r="AA259" s="14">
        <f ca="1">IF(Table25[[#This Row],[Start Date]]&gt;TODAY(),1,)</f>
        <v>0</v>
      </c>
    </row>
    <row r="260" spans="1:27" s="52" customFormat="1" hidden="1" x14ac:dyDescent="0.25">
      <c r="B260" s="87"/>
      <c r="C260" s="70" t="e">
        <v>#N/A</v>
      </c>
      <c r="D260" s="70" t="e">
        <v>#N/A</v>
      </c>
      <c r="E260" s="69"/>
      <c r="F260" s="72"/>
      <c r="G260" s="72"/>
      <c r="H260" s="72"/>
      <c r="I260" s="71"/>
      <c r="J260" s="71"/>
      <c r="K260" s="71"/>
      <c r="L260" s="71"/>
      <c r="M260" s="71"/>
      <c r="N260" s="71"/>
      <c r="O260" s="69"/>
      <c r="P260" s="69"/>
      <c r="Q260" s="14" t="e">
        <v>#N/A</v>
      </c>
      <c r="R260" s="14" t="e">
        <v>#N/A</v>
      </c>
      <c r="S260" s="14"/>
      <c r="T260" s="73"/>
      <c r="U260" s="14"/>
      <c r="V260" s="14"/>
      <c r="W260" s="14"/>
      <c r="X260" s="69"/>
      <c r="Y260" s="60">
        <f ca="1">Table25[[#This Row],[End Date]]+2-TODAY()</f>
        <v>-46005</v>
      </c>
      <c r="Z260" s="14">
        <f>IF(ISBLANK(Table25[[#This Row],[Roster Received By]]),1,0)</f>
        <v>1</v>
      </c>
      <c r="AA260" s="14">
        <f ca="1">IF(Table25[[#This Row],[Start Date]]&gt;TODAY(),1,)</f>
        <v>0</v>
      </c>
    </row>
    <row r="261" spans="1:27" s="52" customFormat="1" hidden="1" x14ac:dyDescent="0.25">
      <c r="B261" s="87"/>
      <c r="C261" s="70" t="e">
        <v>#N/A</v>
      </c>
      <c r="D261" s="70" t="e">
        <v>#N/A</v>
      </c>
      <c r="E261" s="69"/>
      <c r="F261" s="72"/>
      <c r="G261" s="72"/>
      <c r="H261" s="72"/>
      <c r="I261" s="71"/>
      <c r="J261" s="71"/>
      <c r="K261" s="71"/>
      <c r="L261" s="71"/>
      <c r="M261" s="71"/>
      <c r="N261" s="71"/>
      <c r="O261" s="69"/>
      <c r="P261" s="69"/>
      <c r="Q261" s="14" t="e">
        <v>#N/A</v>
      </c>
      <c r="R261" s="14" t="e">
        <v>#N/A</v>
      </c>
      <c r="S261" s="14"/>
      <c r="T261" s="73"/>
      <c r="U261" s="14"/>
      <c r="V261" s="14"/>
      <c r="W261" s="14"/>
      <c r="X261" s="69"/>
      <c r="Y261" s="60">
        <f ca="1">Table25[[#This Row],[End Date]]+2-TODAY()</f>
        <v>-46005</v>
      </c>
      <c r="Z261" s="14">
        <f>IF(ISBLANK(Table25[[#This Row],[Roster Received By]]),1,0)</f>
        <v>1</v>
      </c>
      <c r="AA261" s="14">
        <f ca="1">IF(Table25[[#This Row],[Start Date]]&gt;TODAY(),1,)</f>
        <v>0</v>
      </c>
    </row>
    <row r="262" spans="1:27" s="52" customFormat="1" hidden="1" x14ac:dyDescent="0.25">
      <c r="B262" s="86"/>
      <c r="C262" s="70" t="e">
        <v>#N/A</v>
      </c>
      <c r="D262" s="70" t="e">
        <v>#N/A</v>
      </c>
      <c r="E262" s="69"/>
      <c r="F262" s="72"/>
      <c r="G262" s="72"/>
      <c r="H262" s="72"/>
      <c r="I262" s="71"/>
      <c r="J262" s="71"/>
      <c r="K262" s="71"/>
      <c r="L262" s="71"/>
      <c r="M262" s="71"/>
      <c r="N262" s="71"/>
      <c r="O262" s="69"/>
      <c r="P262" s="69"/>
      <c r="Q262" s="14" t="e">
        <v>#N/A</v>
      </c>
      <c r="R262" s="14" t="e">
        <v>#N/A</v>
      </c>
      <c r="S262" s="14"/>
      <c r="T262" s="73"/>
      <c r="U262" s="14"/>
      <c r="V262" s="14"/>
      <c r="W262" s="14"/>
      <c r="X262" s="69"/>
      <c r="Y262" s="60">
        <f ca="1">Table25[[#This Row],[End Date]]+2-TODAY()</f>
        <v>-46005</v>
      </c>
      <c r="Z262" s="14">
        <f>IF(ISBLANK(Table25[[#This Row],[Roster Received By]]),1,0)</f>
        <v>1</v>
      </c>
      <c r="AA262" s="14">
        <f ca="1">IF(Table25[[#This Row],[Start Date]]&gt;TODAY(),1,)</f>
        <v>0</v>
      </c>
    </row>
    <row r="263" spans="1:27" s="52" customFormat="1" hidden="1" x14ac:dyDescent="0.25">
      <c r="B263" s="86"/>
      <c r="C263" s="70" t="e">
        <v>#N/A</v>
      </c>
      <c r="D263" s="70" t="e">
        <v>#N/A</v>
      </c>
      <c r="E263" s="69"/>
      <c r="F263" s="72"/>
      <c r="G263" s="72"/>
      <c r="H263" s="72"/>
      <c r="I263" s="71"/>
      <c r="J263" s="71"/>
      <c r="K263" s="71"/>
      <c r="L263" s="71"/>
      <c r="M263" s="71"/>
      <c r="N263" s="71"/>
      <c r="O263" s="69"/>
      <c r="P263" s="69"/>
      <c r="Q263" s="14" t="e">
        <v>#N/A</v>
      </c>
      <c r="R263" s="14" t="e">
        <v>#N/A</v>
      </c>
      <c r="S263" s="14"/>
      <c r="T263" s="73"/>
      <c r="U263" s="14"/>
      <c r="V263" s="14"/>
      <c r="W263" s="14"/>
      <c r="X263" s="69"/>
      <c r="Y263" s="60">
        <f ca="1">Table25[[#This Row],[End Date]]+2-TODAY()</f>
        <v>-46005</v>
      </c>
      <c r="Z263" s="14">
        <f>IF(ISBLANK(Table25[[#This Row],[Roster Received By]]),1,0)</f>
        <v>1</v>
      </c>
      <c r="AA263" s="14">
        <f ca="1">IF(Table25[[#This Row],[Start Date]]&gt;TODAY(),1,)</f>
        <v>0</v>
      </c>
    </row>
    <row r="264" spans="1:27" s="52" customFormat="1" hidden="1" x14ac:dyDescent="0.25">
      <c r="B264" s="86"/>
      <c r="C264" s="70" t="e">
        <v>#N/A</v>
      </c>
      <c r="D264" s="70" t="e">
        <v>#N/A</v>
      </c>
      <c r="E264" s="69"/>
      <c r="F264" s="72"/>
      <c r="G264" s="72"/>
      <c r="H264" s="72"/>
      <c r="I264" s="71"/>
      <c r="J264" s="71"/>
      <c r="K264" s="71"/>
      <c r="L264" s="71"/>
      <c r="M264" s="71"/>
      <c r="N264" s="71"/>
      <c r="O264" s="69"/>
      <c r="P264" s="69"/>
      <c r="Q264" s="14" t="e">
        <v>#N/A</v>
      </c>
      <c r="R264" s="14" t="e">
        <v>#N/A</v>
      </c>
      <c r="S264" s="14"/>
      <c r="T264" s="73"/>
      <c r="U264" s="14"/>
      <c r="V264" s="14"/>
      <c r="W264" s="14"/>
      <c r="X264" s="69"/>
      <c r="Y264" s="60">
        <f ca="1">Table25[[#This Row],[End Date]]+2-TODAY()</f>
        <v>-46005</v>
      </c>
      <c r="Z264" s="14">
        <f>IF(ISBLANK(Table25[[#This Row],[Roster Received By]]),1,0)</f>
        <v>1</v>
      </c>
      <c r="AA264" s="14">
        <f ca="1">IF(Table25[[#This Row],[Start Date]]&gt;TODAY(),1,)</f>
        <v>0</v>
      </c>
    </row>
    <row r="265" spans="1:27" s="52" customFormat="1" hidden="1" x14ac:dyDescent="0.25">
      <c r="B265" s="86"/>
      <c r="C265" s="70" t="e">
        <v>#N/A</v>
      </c>
      <c r="D265" s="70" t="e">
        <v>#N/A</v>
      </c>
      <c r="E265" s="54"/>
      <c r="F265" s="72"/>
      <c r="G265" s="72"/>
      <c r="H265" s="75"/>
      <c r="I265" s="75"/>
      <c r="J265" s="72"/>
      <c r="K265" s="72"/>
      <c r="L265" s="72"/>
      <c r="M265" s="72"/>
      <c r="N265" s="72"/>
      <c r="O265" s="69"/>
      <c r="P265" s="69"/>
      <c r="Q265" s="14" t="e">
        <v>#N/A</v>
      </c>
      <c r="R265" s="14" t="e">
        <v>#N/A</v>
      </c>
      <c r="S265" s="14"/>
      <c r="T265" s="73"/>
      <c r="U265" s="14"/>
      <c r="V265" s="14"/>
      <c r="W265" s="14"/>
      <c r="X265" s="69"/>
      <c r="Y265" s="60">
        <f ca="1">Table25[[#This Row],[End Date]]+2-TODAY()</f>
        <v>-46005</v>
      </c>
      <c r="Z265" s="14">
        <f>IF(ISBLANK(Table25[[#This Row],[Roster Received By]]),1,0)</f>
        <v>1</v>
      </c>
      <c r="AA265" s="14">
        <f ca="1">IF(Table25[[#This Row],[Start Date]]&gt;TODAY(),1,)</f>
        <v>0</v>
      </c>
    </row>
    <row r="266" spans="1:27" s="52" customFormat="1" hidden="1" x14ac:dyDescent="0.25">
      <c r="B266" s="86"/>
      <c r="C266" s="70" t="e">
        <v>#N/A</v>
      </c>
      <c r="D266" s="70" t="e">
        <v>#N/A</v>
      </c>
      <c r="E266" s="69"/>
      <c r="F266" s="72"/>
      <c r="G266" s="72"/>
      <c r="H266" s="72"/>
      <c r="I266" s="71"/>
      <c r="J266" s="71"/>
      <c r="K266" s="71"/>
      <c r="L266" s="71"/>
      <c r="M266" s="71"/>
      <c r="N266" s="71"/>
      <c r="O266" s="69"/>
      <c r="P266" s="69"/>
      <c r="Q266" s="14" t="e">
        <v>#N/A</v>
      </c>
      <c r="R266" s="14" t="e">
        <v>#N/A</v>
      </c>
      <c r="S266" s="14"/>
      <c r="T266" s="73"/>
      <c r="U266" s="14"/>
      <c r="V266" s="14"/>
      <c r="W266" s="14"/>
      <c r="X266" s="69"/>
      <c r="Y266" s="60">
        <f ca="1">Table25[[#This Row],[End Date]]+2-TODAY()</f>
        <v>-46005</v>
      </c>
      <c r="Z266" s="14">
        <f>IF(ISBLANK(Table25[[#This Row],[Roster Received By]]),1,0)</f>
        <v>1</v>
      </c>
      <c r="AA266" s="14">
        <f ca="1">IF(Table25[[#This Row],[Start Date]]&gt;TODAY(),1,)</f>
        <v>0</v>
      </c>
    </row>
    <row r="267" spans="1:27" s="76" customFormat="1" ht="15.75" hidden="1" customHeight="1" x14ac:dyDescent="0.25">
      <c r="A267" s="52"/>
      <c r="B267" s="86"/>
      <c r="C267" s="70" t="e">
        <v>#N/A</v>
      </c>
      <c r="D267" s="70" t="e">
        <v>#N/A</v>
      </c>
      <c r="E267" s="69"/>
      <c r="F267" s="72"/>
      <c r="G267" s="72"/>
      <c r="H267" s="72"/>
      <c r="I267" s="71"/>
      <c r="J267" s="71"/>
      <c r="K267" s="71"/>
      <c r="L267" s="71"/>
      <c r="M267" s="71"/>
      <c r="N267" s="71"/>
      <c r="O267" s="69"/>
      <c r="P267" s="69"/>
      <c r="Q267" s="14" t="e">
        <v>#N/A</v>
      </c>
      <c r="R267" s="14" t="e">
        <v>#N/A</v>
      </c>
      <c r="S267" s="14"/>
      <c r="T267" s="73"/>
      <c r="U267" s="14"/>
      <c r="V267" s="14"/>
      <c r="W267" s="70"/>
      <c r="X267" s="69"/>
      <c r="Y267" s="60">
        <f ca="1">Table25[[#This Row],[End Date]]+2-TODAY()</f>
        <v>-46005</v>
      </c>
      <c r="Z267" s="14">
        <f>IF(ISBLANK(Table25[[#This Row],[Roster Received By]]),1,0)</f>
        <v>1</v>
      </c>
      <c r="AA267" s="14">
        <f ca="1">IF(Table25[[#This Row],[Start Date]]&gt;TODAY(),1,)</f>
        <v>0</v>
      </c>
    </row>
    <row r="268" spans="1:27" s="76" customFormat="1" ht="14.65" hidden="1" customHeight="1" x14ac:dyDescent="0.25">
      <c r="A268" s="52"/>
      <c r="B268" s="86"/>
      <c r="C268" s="70" t="e">
        <v>#N/A</v>
      </c>
      <c r="D268" s="70" t="e">
        <v>#N/A</v>
      </c>
      <c r="E268" s="54"/>
      <c r="F268" s="72"/>
      <c r="G268" s="72"/>
      <c r="H268" s="78"/>
      <c r="I268" s="78"/>
      <c r="J268" s="72"/>
      <c r="K268" s="72"/>
      <c r="L268" s="72"/>
      <c r="M268" s="72"/>
      <c r="N268" s="72"/>
      <c r="O268" s="69"/>
      <c r="P268" s="69"/>
      <c r="Q268" s="14" t="e">
        <v>#N/A</v>
      </c>
      <c r="R268" s="14" t="e">
        <v>#N/A</v>
      </c>
      <c r="S268" s="14"/>
      <c r="T268" s="73"/>
      <c r="U268" s="14"/>
      <c r="V268" s="14"/>
      <c r="W268" s="14"/>
      <c r="X268" s="69"/>
      <c r="Y268" s="60">
        <f ca="1">Table25[[#This Row],[End Date]]+2-TODAY()</f>
        <v>-46005</v>
      </c>
      <c r="Z268" s="14">
        <f>IF(ISBLANK(Table25[[#This Row],[Roster Received By]]),1,0)</f>
        <v>1</v>
      </c>
      <c r="AA268" s="14">
        <f ca="1">IF(Table25[[#This Row],[Start Date]]&gt;TODAY(),1,)</f>
        <v>0</v>
      </c>
    </row>
    <row r="269" spans="1:27" s="76" customFormat="1" ht="15.75" hidden="1" customHeight="1" x14ac:dyDescent="0.25">
      <c r="A269" s="52"/>
      <c r="B269" s="86"/>
      <c r="C269" s="70" t="e">
        <v>#N/A</v>
      </c>
      <c r="D269" s="70" t="e">
        <v>#N/A</v>
      </c>
      <c r="E269" s="81"/>
      <c r="F269" s="56"/>
      <c r="G269" s="56"/>
      <c r="H269" s="78"/>
      <c r="I269" s="78"/>
      <c r="J269" s="72"/>
      <c r="K269" s="72"/>
      <c r="L269" s="72"/>
      <c r="M269" s="72"/>
      <c r="N269" s="72"/>
      <c r="O269" s="69"/>
      <c r="P269" s="69"/>
      <c r="Q269" s="14" t="e">
        <v>#N/A</v>
      </c>
      <c r="R269" s="14" t="e">
        <v>#N/A</v>
      </c>
      <c r="S269" s="14"/>
      <c r="T269" s="73"/>
      <c r="U269" s="14"/>
      <c r="V269" s="14"/>
      <c r="W269" s="14"/>
      <c r="X269" s="69"/>
      <c r="Y269" s="60">
        <f ca="1">Table25[[#This Row],[End Date]]+2-TODAY()</f>
        <v>-46005</v>
      </c>
      <c r="Z269" s="14">
        <f>IF(ISBLANK(Table25[[#This Row],[Roster Received By]]),1,0)</f>
        <v>1</v>
      </c>
      <c r="AA269" s="14">
        <f ca="1">IF(Table25[[#This Row],[Start Date]]&gt;TODAY(),1,)</f>
        <v>0</v>
      </c>
    </row>
    <row r="270" spans="1:27" s="76" customFormat="1" ht="15.75" hidden="1" customHeight="1" x14ac:dyDescent="0.25">
      <c r="A270" s="52"/>
      <c r="B270" s="86"/>
      <c r="C270" s="70" t="e">
        <v>#N/A</v>
      </c>
      <c r="D270" s="70" t="e">
        <v>#N/A</v>
      </c>
      <c r="E270" s="69"/>
      <c r="F270" s="72"/>
      <c r="G270" s="72"/>
      <c r="H270" s="75"/>
      <c r="I270" s="75"/>
      <c r="J270" s="75"/>
      <c r="K270" s="75"/>
      <c r="L270" s="75"/>
      <c r="M270" s="75"/>
      <c r="N270" s="72"/>
      <c r="O270" s="69"/>
      <c r="P270" s="69"/>
      <c r="Q270" s="14" t="e">
        <v>#N/A</v>
      </c>
      <c r="R270" s="14" t="e">
        <v>#N/A</v>
      </c>
      <c r="S270" s="14"/>
      <c r="T270" s="73"/>
      <c r="U270" s="14"/>
      <c r="V270" s="14"/>
      <c r="W270" s="14"/>
      <c r="X270" s="69"/>
      <c r="Y270" s="60">
        <f ca="1">Table25[[#This Row],[End Date]]+2-TODAY()</f>
        <v>-46005</v>
      </c>
      <c r="Z270" s="14">
        <f>IF(ISBLANK(Table25[[#This Row],[Roster Received By]]),1,0)</f>
        <v>1</v>
      </c>
      <c r="AA270" s="14">
        <f ca="1">IF(Table25[[#This Row],[Start Date]]&gt;TODAY(),1,)</f>
        <v>0</v>
      </c>
    </row>
    <row r="271" spans="1:27" s="76" customFormat="1" ht="15.75" hidden="1" customHeight="1" x14ac:dyDescent="0.25">
      <c r="A271" s="54"/>
      <c r="B271" s="86"/>
      <c r="C271" s="70" t="e">
        <v>#N/A</v>
      </c>
      <c r="D271" s="70" t="e">
        <v>#N/A</v>
      </c>
      <c r="E271" s="69"/>
      <c r="F271" s="72"/>
      <c r="G271" s="72"/>
      <c r="H271" s="78"/>
      <c r="I271" s="78"/>
      <c r="J271" s="72"/>
      <c r="K271" s="72"/>
      <c r="L271" s="72"/>
      <c r="M271" s="72"/>
      <c r="N271" s="72"/>
      <c r="O271" s="69"/>
      <c r="P271" s="69"/>
      <c r="Q271" s="14" t="e">
        <v>#N/A</v>
      </c>
      <c r="R271" s="14" t="e">
        <v>#N/A</v>
      </c>
      <c r="S271" s="14"/>
      <c r="T271" s="73"/>
      <c r="U271" s="14"/>
      <c r="V271" s="14"/>
      <c r="W271" s="14"/>
      <c r="X271" s="69"/>
      <c r="Y271" s="60">
        <f ca="1">Table25[[#This Row],[End Date]]+2-TODAY()</f>
        <v>-46005</v>
      </c>
      <c r="Z271" s="14">
        <f>IF(ISBLANK(Table25[[#This Row],[Roster Received By]]),1,0)</f>
        <v>1</v>
      </c>
      <c r="AA271" s="14">
        <f ca="1">IF(Table25[[#This Row],[Start Date]]&gt;TODAY(),1,)</f>
        <v>0</v>
      </c>
    </row>
    <row r="272" spans="1:27" s="76" customFormat="1" ht="15.75" hidden="1" customHeight="1" x14ac:dyDescent="0.25">
      <c r="A272" s="52"/>
      <c r="B272" s="86"/>
      <c r="C272" s="70" t="e">
        <v>#N/A</v>
      </c>
      <c r="D272" s="70" t="e">
        <v>#N/A</v>
      </c>
      <c r="E272" s="54"/>
      <c r="F272" s="72"/>
      <c r="G272" s="72"/>
      <c r="H272" s="75"/>
      <c r="I272" s="75"/>
      <c r="J272" s="72"/>
      <c r="K272" s="72"/>
      <c r="L272" s="72"/>
      <c r="M272" s="72"/>
      <c r="N272" s="72"/>
      <c r="O272" s="69"/>
      <c r="P272" s="69"/>
      <c r="Q272" s="14" t="e">
        <v>#N/A</v>
      </c>
      <c r="R272" s="14" t="e">
        <v>#N/A</v>
      </c>
      <c r="S272" s="14"/>
      <c r="T272" s="73"/>
      <c r="U272" s="14"/>
      <c r="V272" s="14"/>
      <c r="W272" s="14"/>
      <c r="X272" s="69"/>
      <c r="Y272" s="60">
        <f ca="1">Table25[[#This Row],[End Date]]+2-TODAY()</f>
        <v>-46005</v>
      </c>
      <c r="Z272" s="14">
        <f>IF(ISBLANK(Table25[[#This Row],[Roster Received By]]),1,0)</f>
        <v>1</v>
      </c>
      <c r="AA272" s="14">
        <f ca="1">IF(Table25[[#This Row],[Start Date]]&gt;TODAY(),1,)</f>
        <v>0</v>
      </c>
    </row>
    <row r="273" spans="1:27" s="76" customFormat="1" ht="15.75" hidden="1" customHeight="1" x14ac:dyDescent="0.25">
      <c r="A273" s="69"/>
      <c r="B273" s="86"/>
      <c r="C273" s="70" t="e">
        <v>#N/A</v>
      </c>
      <c r="D273" s="70" t="e">
        <v>#N/A</v>
      </c>
      <c r="E273" s="69"/>
      <c r="F273" s="72"/>
      <c r="G273" s="72"/>
      <c r="H273" s="75"/>
      <c r="I273" s="75"/>
      <c r="J273" s="72"/>
      <c r="K273" s="72"/>
      <c r="L273" s="72"/>
      <c r="M273" s="72"/>
      <c r="N273" s="72"/>
      <c r="O273" s="69"/>
      <c r="P273" s="69"/>
      <c r="Q273" s="14" t="e">
        <v>#N/A</v>
      </c>
      <c r="R273" s="14" t="e">
        <v>#N/A</v>
      </c>
      <c r="S273" s="14"/>
      <c r="T273" s="73"/>
      <c r="U273" s="14"/>
      <c r="V273" s="14"/>
      <c r="W273" s="14"/>
      <c r="X273" s="69"/>
      <c r="Y273" s="60">
        <f ca="1">Table25[[#This Row],[End Date]]+2-TODAY()</f>
        <v>-46005</v>
      </c>
      <c r="Z273" s="14">
        <f>IF(ISBLANK(Table25[[#This Row],[Roster Received By]]),1,0)</f>
        <v>1</v>
      </c>
      <c r="AA273" s="14">
        <f ca="1">IF(Table25[[#This Row],[Start Date]]&gt;TODAY(),1,)</f>
        <v>0</v>
      </c>
    </row>
    <row r="274" spans="1:27" s="76" customFormat="1" ht="15.75" hidden="1" customHeight="1" x14ac:dyDescent="0.25">
      <c r="A274" s="52"/>
      <c r="B274" s="86"/>
      <c r="C274" s="70" t="e">
        <v>#N/A</v>
      </c>
      <c r="D274" s="70" t="e">
        <v>#N/A</v>
      </c>
      <c r="E274" s="54"/>
      <c r="F274" s="72"/>
      <c r="G274" s="72"/>
      <c r="H274" s="75"/>
      <c r="I274" s="71"/>
      <c r="J274" s="71"/>
      <c r="K274" s="71"/>
      <c r="L274" s="71"/>
      <c r="M274" s="71"/>
      <c r="N274" s="71"/>
      <c r="O274" s="69"/>
      <c r="P274" s="69"/>
      <c r="Q274" s="14" t="e">
        <v>#N/A</v>
      </c>
      <c r="R274" s="14" t="e">
        <v>#N/A</v>
      </c>
      <c r="S274" s="14"/>
      <c r="T274" s="73"/>
      <c r="U274" s="14"/>
      <c r="V274" s="14"/>
      <c r="W274" s="14"/>
      <c r="X274" s="69"/>
      <c r="Y274" s="60">
        <f ca="1">Table25[[#This Row],[End Date]]+2-TODAY()</f>
        <v>-46005</v>
      </c>
      <c r="Z274" s="14">
        <f>IF(ISBLANK(Table25[[#This Row],[Roster Received By]]),1,0)</f>
        <v>1</v>
      </c>
      <c r="AA274" s="14">
        <f ca="1">IF(Table25[[#This Row],[Start Date]]&gt;TODAY(),1,)</f>
        <v>0</v>
      </c>
    </row>
    <row r="275" spans="1:27" s="76" customFormat="1" ht="15.75" hidden="1" customHeight="1" x14ac:dyDescent="0.25">
      <c r="A275" s="69"/>
      <c r="B275" s="86"/>
      <c r="C275" s="70" t="e">
        <v>#N/A</v>
      </c>
      <c r="D275" s="70" t="e">
        <v>#N/A</v>
      </c>
      <c r="E275" s="69"/>
      <c r="F275" s="72"/>
      <c r="G275" s="72"/>
      <c r="H275" s="75"/>
      <c r="I275" s="75"/>
      <c r="J275" s="72"/>
      <c r="K275" s="72"/>
      <c r="L275" s="72"/>
      <c r="M275" s="72"/>
      <c r="N275" s="72"/>
      <c r="O275" s="69"/>
      <c r="P275" s="69"/>
      <c r="Q275" s="14" t="e">
        <v>#N/A</v>
      </c>
      <c r="R275" s="14" t="e">
        <v>#N/A</v>
      </c>
      <c r="S275" s="14"/>
      <c r="T275" s="73"/>
      <c r="U275" s="14"/>
      <c r="V275" s="14"/>
      <c r="W275" s="70"/>
      <c r="X275" s="69"/>
      <c r="Y275" s="60">
        <f ca="1">Table25[[#This Row],[End Date]]+2-TODAY()</f>
        <v>-46005</v>
      </c>
      <c r="Z275" s="14">
        <f>IF(ISBLANK(Table25[[#This Row],[Roster Received By]]),1,0)</f>
        <v>1</v>
      </c>
      <c r="AA275" s="14">
        <f ca="1">IF(Table25[[#This Row],[Start Date]]&gt;TODAY(),1,)</f>
        <v>0</v>
      </c>
    </row>
    <row r="276" spans="1:27" s="76" customFormat="1" ht="15.75" hidden="1" customHeight="1" x14ac:dyDescent="0.25">
      <c r="A276" s="52"/>
      <c r="B276" s="86"/>
      <c r="C276" s="70" t="e">
        <v>#N/A</v>
      </c>
      <c r="D276" s="70" t="e">
        <v>#N/A</v>
      </c>
      <c r="E276" s="54"/>
      <c r="F276" s="56"/>
      <c r="G276" s="72"/>
      <c r="H276" s="75"/>
      <c r="I276" s="75"/>
      <c r="J276" s="72"/>
      <c r="K276" s="72"/>
      <c r="L276" s="72"/>
      <c r="M276" s="72"/>
      <c r="N276" s="72"/>
      <c r="O276" s="69"/>
      <c r="P276" s="69"/>
      <c r="Q276" s="14" t="e">
        <v>#N/A</v>
      </c>
      <c r="R276" s="14" t="e">
        <v>#N/A</v>
      </c>
      <c r="S276" s="14"/>
      <c r="T276" s="73"/>
      <c r="U276" s="14"/>
      <c r="V276" s="14"/>
      <c r="W276" s="14"/>
      <c r="X276" s="69"/>
      <c r="Y276" s="60">
        <f ca="1">Table25[[#This Row],[End Date]]+2-TODAY()</f>
        <v>-46005</v>
      </c>
      <c r="Z276" s="14">
        <f>IF(ISBLANK(Table25[[#This Row],[Roster Received By]]),1,0)</f>
        <v>1</v>
      </c>
      <c r="AA276" s="14">
        <f ca="1">IF(Table25[[#This Row],[Start Date]]&gt;TODAY(),1,)</f>
        <v>0</v>
      </c>
    </row>
    <row r="277" spans="1:27" s="76" customFormat="1" ht="15.75" hidden="1" customHeight="1" x14ac:dyDescent="0.25">
      <c r="A277" s="69"/>
      <c r="B277" s="86"/>
      <c r="C277" s="70" t="e">
        <v>#N/A</v>
      </c>
      <c r="D277" s="70" t="e">
        <v>#N/A</v>
      </c>
      <c r="E277" s="69"/>
      <c r="F277" s="72"/>
      <c r="G277" s="72"/>
      <c r="H277" s="72"/>
      <c r="I277" s="71"/>
      <c r="J277" s="71"/>
      <c r="K277" s="71"/>
      <c r="L277" s="71"/>
      <c r="M277" s="71"/>
      <c r="N277" s="71"/>
      <c r="O277" s="69"/>
      <c r="P277" s="69"/>
      <c r="Q277" s="14" t="e">
        <v>#N/A</v>
      </c>
      <c r="R277" s="14" t="e">
        <v>#N/A</v>
      </c>
      <c r="S277" s="14"/>
      <c r="T277" s="73"/>
      <c r="U277" s="14"/>
      <c r="V277" s="14"/>
      <c r="W277" s="14"/>
      <c r="X277" s="69"/>
      <c r="Y277" s="60">
        <f ca="1">Table25[[#This Row],[End Date]]+2-TODAY()</f>
        <v>-46005</v>
      </c>
      <c r="Z277" s="14">
        <f>IF(ISBLANK(Table25[[#This Row],[Roster Received By]]),1,0)</f>
        <v>1</v>
      </c>
      <c r="AA277" s="14">
        <f ca="1">IF(Table25[[#This Row],[Start Date]]&gt;TODAY(),1,)</f>
        <v>0</v>
      </c>
    </row>
    <row r="278" spans="1:27" s="76" customFormat="1" ht="15.75" hidden="1" customHeight="1" x14ac:dyDescent="0.25">
      <c r="A278" s="52"/>
      <c r="B278" s="87"/>
      <c r="C278" s="70" t="e">
        <v>#N/A</v>
      </c>
      <c r="D278" s="70" t="e">
        <v>#N/A</v>
      </c>
      <c r="E278" s="69"/>
      <c r="F278" s="72"/>
      <c r="G278" s="72"/>
      <c r="H278" s="72"/>
      <c r="I278" s="71"/>
      <c r="J278" s="71"/>
      <c r="K278" s="71"/>
      <c r="L278" s="71"/>
      <c r="M278" s="71"/>
      <c r="N278" s="71"/>
      <c r="O278" s="69"/>
      <c r="P278" s="69"/>
      <c r="Q278" s="14" t="e">
        <v>#N/A</v>
      </c>
      <c r="R278" s="14" t="e">
        <v>#N/A</v>
      </c>
      <c r="S278" s="14"/>
      <c r="T278" s="73"/>
      <c r="U278" s="14"/>
      <c r="V278" s="14"/>
      <c r="W278" s="14"/>
      <c r="X278" s="69"/>
      <c r="Y278" s="60">
        <f ca="1">Table25[[#This Row],[End Date]]+2-TODAY()</f>
        <v>-46005</v>
      </c>
      <c r="Z278" s="14">
        <f>IF(ISBLANK(Table25[[#This Row],[Roster Received By]]),1,0)</f>
        <v>1</v>
      </c>
      <c r="AA278" s="14">
        <f ca="1">IF(Table25[[#This Row],[Start Date]]&gt;TODAY(),1,)</f>
        <v>0</v>
      </c>
    </row>
    <row r="279" spans="1:27" s="76" customFormat="1" ht="15.75" hidden="1" customHeight="1" x14ac:dyDescent="0.25">
      <c r="A279" s="52"/>
      <c r="B279" s="87"/>
      <c r="C279" s="70" t="e">
        <v>#N/A</v>
      </c>
      <c r="D279" s="70" t="e">
        <v>#N/A</v>
      </c>
      <c r="E279" s="69"/>
      <c r="F279" s="72"/>
      <c r="G279" s="72"/>
      <c r="H279" s="72"/>
      <c r="I279" s="71"/>
      <c r="J279" s="71"/>
      <c r="K279" s="71"/>
      <c r="L279" s="71"/>
      <c r="M279" s="71"/>
      <c r="N279" s="71"/>
      <c r="O279" s="69"/>
      <c r="P279" s="69"/>
      <c r="Q279" s="14" t="e">
        <v>#N/A</v>
      </c>
      <c r="R279" s="14" t="e">
        <v>#N/A</v>
      </c>
      <c r="S279" s="14"/>
      <c r="T279" s="73"/>
      <c r="U279" s="14"/>
      <c r="V279" s="14"/>
      <c r="W279" s="77"/>
      <c r="X279" s="69"/>
      <c r="Y279" s="60">
        <f ca="1">Table25[[#This Row],[End Date]]+2-TODAY()</f>
        <v>-46005</v>
      </c>
      <c r="Z279" s="14">
        <f>IF(ISBLANK(Table25[[#This Row],[Roster Received By]]),1,0)</f>
        <v>1</v>
      </c>
      <c r="AA279" s="14">
        <f ca="1">IF(Table25[[#This Row],[Start Date]]&gt;TODAY(),1,)</f>
        <v>0</v>
      </c>
    </row>
    <row r="280" spans="1:27" s="76" customFormat="1" ht="15.75" hidden="1" customHeight="1" x14ac:dyDescent="0.25">
      <c r="A280" s="52"/>
      <c r="B280" s="87"/>
      <c r="C280" s="70" t="e">
        <v>#N/A</v>
      </c>
      <c r="D280" s="70" t="e">
        <v>#N/A</v>
      </c>
      <c r="E280" s="69"/>
      <c r="F280" s="72"/>
      <c r="G280" s="72"/>
      <c r="H280" s="75"/>
      <c r="I280" s="75"/>
      <c r="J280" s="75"/>
      <c r="K280" s="75"/>
      <c r="L280" s="75"/>
      <c r="M280" s="75"/>
      <c r="N280" s="72"/>
      <c r="O280" s="69"/>
      <c r="P280" s="69"/>
      <c r="Q280" s="14" t="e">
        <v>#N/A</v>
      </c>
      <c r="R280" s="14" t="e">
        <v>#N/A</v>
      </c>
      <c r="S280" s="14"/>
      <c r="T280" s="73"/>
      <c r="U280" s="14"/>
      <c r="V280" s="14"/>
      <c r="W280" s="14"/>
      <c r="X280" s="69"/>
      <c r="Y280" s="60">
        <f ca="1">Table25[[#This Row],[End Date]]+2-TODAY()</f>
        <v>-46005</v>
      </c>
      <c r="Z280" s="14">
        <f>IF(ISBLANK(Table25[[#This Row],[Roster Received By]]),1,0)</f>
        <v>1</v>
      </c>
      <c r="AA280" s="14">
        <f ca="1">IF(Table25[[#This Row],[Start Date]]&gt;TODAY(),1,)</f>
        <v>0</v>
      </c>
    </row>
    <row r="281" spans="1:27" s="52" customFormat="1" hidden="1" x14ac:dyDescent="0.25">
      <c r="B281" s="86"/>
      <c r="C281" s="70" t="e">
        <v>#N/A</v>
      </c>
      <c r="D281" s="70" t="e">
        <v>#N/A</v>
      </c>
      <c r="E281" s="69"/>
      <c r="F281" s="72"/>
      <c r="G281" s="72"/>
      <c r="H281" s="72"/>
      <c r="I281" s="71"/>
      <c r="J281" s="71"/>
      <c r="K281" s="71"/>
      <c r="L281" s="71"/>
      <c r="M281" s="71"/>
      <c r="N281" s="71"/>
      <c r="O281" s="69"/>
      <c r="P281" s="69"/>
      <c r="Q281" s="14" t="e">
        <v>#N/A</v>
      </c>
      <c r="R281" s="14" t="e">
        <v>#N/A</v>
      </c>
      <c r="S281" s="14"/>
      <c r="T281" s="73"/>
      <c r="U281" s="14"/>
      <c r="V281" s="14"/>
      <c r="W281" s="14"/>
      <c r="X281" s="69"/>
      <c r="Y281" s="60">
        <f ca="1">Table25[[#This Row],[End Date]]+2-TODAY()</f>
        <v>-46005</v>
      </c>
      <c r="Z281" s="14">
        <f>IF(ISBLANK(Table25[[#This Row],[Roster Received By]]),1,0)</f>
        <v>1</v>
      </c>
      <c r="AA281" s="14">
        <f ca="1">IF(Table25[[#This Row],[Start Date]]&gt;TODAY(),1,)</f>
        <v>0</v>
      </c>
    </row>
    <row r="282" spans="1:27" s="52" customFormat="1" hidden="1" x14ac:dyDescent="0.25">
      <c r="B282" s="86"/>
      <c r="C282" s="70" t="e">
        <v>#N/A</v>
      </c>
      <c r="D282" s="70" t="e">
        <v>#N/A</v>
      </c>
      <c r="E282" s="69"/>
      <c r="F282" s="72"/>
      <c r="G282" s="72"/>
      <c r="H282" s="72"/>
      <c r="I282" s="71"/>
      <c r="J282" s="71"/>
      <c r="K282" s="71"/>
      <c r="L282" s="71"/>
      <c r="M282" s="71"/>
      <c r="N282" s="71"/>
      <c r="O282" s="69"/>
      <c r="P282" s="69"/>
      <c r="Q282" s="14" t="e">
        <v>#N/A</v>
      </c>
      <c r="R282" s="14" t="e">
        <v>#N/A</v>
      </c>
      <c r="S282" s="14"/>
      <c r="T282" s="73"/>
      <c r="U282" s="14"/>
      <c r="V282" s="14"/>
      <c r="W282" s="14"/>
      <c r="X282" s="69"/>
      <c r="Y282" s="60">
        <f ca="1">Table25[[#This Row],[End Date]]+2-TODAY()</f>
        <v>-46005</v>
      </c>
      <c r="Z282" s="14">
        <f>IF(ISBLANK(Table25[[#This Row],[Roster Received By]]),1,0)</f>
        <v>1</v>
      </c>
      <c r="AA282" s="14">
        <f ca="1">IF(Table25[[#This Row],[Start Date]]&gt;TODAY(),1,)</f>
        <v>0</v>
      </c>
    </row>
    <row r="283" spans="1:27" s="52" customFormat="1" hidden="1" x14ac:dyDescent="0.25">
      <c r="B283" s="87"/>
      <c r="C283" s="70" t="e">
        <v>#N/A</v>
      </c>
      <c r="D283" s="70" t="e">
        <v>#N/A</v>
      </c>
      <c r="E283" s="69"/>
      <c r="F283" s="72"/>
      <c r="G283" s="72"/>
      <c r="H283" s="72"/>
      <c r="I283" s="71"/>
      <c r="J283" s="71"/>
      <c r="K283" s="71"/>
      <c r="L283" s="71"/>
      <c r="M283" s="71"/>
      <c r="N283" s="71"/>
      <c r="O283" s="69"/>
      <c r="P283" s="69"/>
      <c r="Q283" s="14" t="e">
        <v>#N/A</v>
      </c>
      <c r="R283" s="14" t="e">
        <v>#N/A</v>
      </c>
      <c r="S283" s="14"/>
      <c r="T283" s="73"/>
      <c r="U283" s="14"/>
      <c r="V283" s="14"/>
      <c r="W283" s="14"/>
      <c r="X283" s="69"/>
      <c r="Y283" s="60">
        <f ca="1">Table25[[#This Row],[End Date]]+2-TODAY()</f>
        <v>-46005</v>
      </c>
      <c r="Z283" s="14">
        <f>IF(ISBLANK(Table25[[#This Row],[Roster Received By]]),1,0)</f>
        <v>1</v>
      </c>
      <c r="AA283" s="14">
        <f ca="1">IF(Table25[[#This Row],[Start Date]]&gt;TODAY(),1,)</f>
        <v>0</v>
      </c>
    </row>
    <row r="284" spans="1:27" s="52" customFormat="1" hidden="1" x14ac:dyDescent="0.25">
      <c r="B284" s="87"/>
      <c r="C284" s="70" t="e">
        <v>#N/A</v>
      </c>
      <c r="D284" s="70" t="e">
        <v>#N/A</v>
      </c>
      <c r="E284" s="69"/>
      <c r="F284" s="56"/>
      <c r="G284" s="56"/>
      <c r="H284" s="56"/>
      <c r="I284" s="71"/>
      <c r="J284" s="71"/>
      <c r="K284" s="71"/>
      <c r="L284" s="71"/>
      <c r="M284" s="71"/>
      <c r="N284" s="71"/>
      <c r="O284" s="69"/>
      <c r="P284" s="69"/>
      <c r="Q284" s="14" t="e">
        <v>#N/A</v>
      </c>
      <c r="R284" s="14" t="e">
        <v>#N/A</v>
      </c>
      <c r="S284" s="14"/>
      <c r="T284" s="73"/>
      <c r="U284" s="14"/>
      <c r="V284" s="14"/>
      <c r="W284" s="73"/>
      <c r="X284" s="69"/>
      <c r="Y284" s="60">
        <f ca="1">Table25[[#This Row],[End Date]]+2-TODAY()</f>
        <v>-46005</v>
      </c>
      <c r="Z284" s="14">
        <f>IF(ISBLANK(Table25[[#This Row],[Roster Received By]]),1,0)</f>
        <v>1</v>
      </c>
      <c r="AA284" s="14">
        <f ca="1">IF(Table25[[#This Row],[Start Date]]&gt;TODAY(),1,)</f>
        <v>0</v>
      </c>
    </row>
    <row r="285" spans="1:27" s="52" customFormat="1" hidden="1" x14ac:dyDescent="0.25">
      <c r="B285" s="86"/>
      <c r="C285" s="70" t="e">
        <v>#N/A</v>
      </c>
      <c r="D285" s="70" t="e">
        <v>#N/A</v>
      </c>
      <c r="E285" s="69"/>
      <c r="F285" s="72"/>
      <c r="G285" s="72"/>
      <c r="H285" s="75"/>
      <c r="I285" s="75"/>
      <c r="J285" s="75"/>
      <c r="K285" s="75"/>
      <c r="L285" s="75"/>
      <c r="M285" s="75"/>
      <c r="N285" s="75"/>
      <c r="O285" s="69"/>
      <c r="P285" s="69"/>
      <c r="Q285" s="14" t="e">
        <v>#N/A</v>
      </c>
      <c r="R285" s="14" t="e">
        <v>#N/A</v>
      </c>
      <c r="S285" s="14"/>
      <c r="T285" s="73"/>
      <c r="U285" s="14"/>
      <c r="V285" s="14"/>
      <c r="W285" s="14"/>
      <c r="X285" s="69"/>
      <c r="Y285" s="60">
        <f ca="1">Table25[[#This Row],[End Date]]+2-TODAY()</f>
        <v>-46005</v>
      </c>
      <c r="Z285" s="14">
        <f>IF(ISBLANK(Table25[[#This Row],[Roster Received By]]),1,0)</f>
        <v>1</v>
      </c>
      <c r="AA285" s="14">
        <f ca="1">IF(Table25[[#This Row],[Start Date]]&gt;TODAY(),1,)</f>
        <v>0</v>
      </c>
    </row>
    <row r="286" spans="1:27" s="52" customFormat="1" hidden="1" x14ac:dyDescent="0.25">
      <c r="B286" s="86"/>
      <c r="C286" s="70" t="e">
        <v>#N/A</v>
      </c>
      <c r="D286" s="70" t="e">
        <v>#N/A</v>
      </c>
      <c r="E286" s="69"/>
      <c r="F286" s="56"/>
      <c r="G286" s="72"/>
      <c r="H286" s="72"/>
      <c r="I286" s="71"/>
      <c r="J286" s="71"/>
      <c r="K286" s="71"/>
      <c r="L286" s="71"/>
      <c r="M286" s="71"/>
      <c r="N286" s="71"/>
      <c r="O286" s="69"/>
      <c r="P286" s="69"/>
      <c r="Q286" s="14" t="e">
        <v>#N/A</v>
      </c>
      <c r="R286" s="14" t="e">
        <v>#N/A</v>
      </c>
      <c r="S286" s="14"/>
      <c r="T286" s="73"/>
      <c r="U286" s="14"/>
      <c r="V286" s="14"/>
      <c r="W286" s="14"/>
      <c r="X286" s="69"/>
      <c r="Y286" s="60">
        <f ca="1">Table25[[#This Row],[End Date]]+2-TODAY()</f>
        <v>-46005</v>
      </c>
      <c r="Z286" s="14">
        <f>IF(ISBLANK(Table25[[#This Row],[Roster Received By]]),1,0)</f>
        <v>1</v>
      </c>
      <c r="AA286" s="14">
        <f ca="1">IF(Table25[[#This Row],[Start Date]]&gt;TODAY(),1,)</f>
        <v>0</v>
      </c>
    </row>
    <row r="287" spans="1:27" s="52" customFormat="1" hidden="1" x14ac:dyDescent="0.25">
      <c r="B287" s="87"/>
      <c r="C287" s="70" t="e">
        <v>#N/A</v>
      </c>
      <c r="D287" s="70" t="e">
        <v>#N/A</v>
      </c>
      <c r="E287" s="69"/>
      <c r="F287" s="72"/>
      <c r="G287" s="72"/>
      <c r="H287" s="75"/>
      <c r="I287" s="75"/>
      <c r="J287" s="72"/>
      <c r="K287" s="72"/>
      <c r="L287" s="72"/>
      <c r="M287" s="72"/>
      <c r="N287" s="72"/>
      <c r="O287" s="69"/>
      <c r="P287" s="69"/>
      <c r="Q287" s="14" t="e">
        <v>#N/A</v>
      </c>
      <c r="R287" s="14" t="e">
        <v>#N/A</v>
      </c>
      <c r="S287" s="14"/>
      <c r="T287" s="73"/>
      <c r="U287" s="14"/>
      <c r="V287" s="14"/>
      <c r="W287" s="14"/>
      <c r="X287" s="69"/>
      <c r="Y287" s="60">
        <f ca="1">Table25[[#This Row],[End Date]]+2-TODAY()</f>
        <v>-46005</v>
      </c>
      <c r="Z287" s="14">
        <f>IF(ISBLANK(Table25[[#This Row],[Roster Received By]]),1,0)</f>
        <v>1</v>
      </c>
      <c r="AA287" s="14">
        <f ca="1">IF(Table25[[#This Row],[Start Date]]&gt;TODAY(),1,)</f>
        <v>0</v>
      </c>
    </row>
    <row r="288" spans="1:27" s="52" customFormat="1" hidden="1" x14ac:dyDescent="0.25">
      <c r="A288" s="54"/>
      <c r="B288" s="87"/>
      <c r="C288" s="70" t="e">
        <v>#N/A</v>
      </c>
      <c r="D288" s="70" t="e">
        <v>#N/A</v>
      </c>
      <c r="E288" s="54"/>
      <c r="F288" s="72"/>
      <c r="G288" s="72"/>
      <c r="H288" s="75"/>
      <c r="I288" s="75"/>
      <c r="J288" s="72"/>
      <c r="K288" s="72"/>
      <c r="L288" s="72"/>
      <c r="M288" s="72"/>
      <c r="N288" s="72"/>
      <c r="O288" s="69"/>
      <c r="P288" s="69"/>
      <c r="Q288" s="14" t="e">
        <v>#N/A</v>
      </c>
      <c r="R288" s="14" t="e">
        <v>#N/A</v>
      </c>
      <c r="S288" s="14"/>
      <c r="T288" s="73"/>
      <c r="U288" s="14"/>
      <c r="V288" s="14"/>
      <c r="W288" s="14"/>
      <c r="X288" s="69"/>
      <c r="Y288" s="60">
        <f ca="1">Table25[[#This Row],[End Date]]+2-TODAY()</f>
        <v>-46005</v>
      </c>
      <c r="Z288" s="14">
        <f>IF(ISBLANK(Table25[[#This Row],[Roster Received By]]),1,0)</f>
        <v>1</v>
      </c>
      <c r="AA288" s="14">
        <f ca="1">IF(Table25[[#This Row],[Start Date]]&gt;TODAY(),1,)</f>
        <v>0</v>
      </c>
    </row>
    <row r="289" spans="2:27" s="52" customFormat="1" hidden="1" x14ac:dyDescent="0.25">
      <c r="B289" s="86"/>
      <c r="C289" s="70" t="e">
        <v>#N/A</v>
      </c>
      <c r="D289" s="70" t="e">
        <v>#N/A</v>
      </c>
      <c r="E289" s="69"/>
      <c r="F289" s="72"/>
      <c r="G289" s="72"/>
      <c r="H289" s="75"/>
      <c r="I289" s="75"/>
      <c r="J289" s="75"/>
      <c r="K289" s="75"/>
      <c r="L289" s="75"/>
      <c r="M289" s="75"/>
      <c r="N289" s="72"/>
      <c r="O289" s="69"/>
      <c r="P289" s="69"/>
      <c r="Q289" s="14" t="e">
        <v>#N/A</v>
      </c>
      <c r="R289" s="14" t="e">
        <v>#N/A</v>
      </c>
      <c r="S289" s="14"/>
      <c r="T289" s="73"/>
      <c r="U289" s="14"/>
      <c r="V289" s="14"/>
      <c r="W289" s="14"/>
      <c r="X289" s="69"/>
      <c r="Y289" s="60">
        <f ca="1">Table25[[#This Row],[End Date]]+2-TODAY()</f>
        <v>-46005</v>
      </c>
      <c r="Z289" s="14">
        <f>IF(ISBLANK(Table25[[#This Row],[Roster Received By]]),1,0)</f>
        <v>1</v>
      </c>
      <c r="AA289" s="14">
        <f ca="1">IF(Table25[[#This Row],[Start Date]]&gt;TODAY(),1,)</f>
        <v>0</v>
      </c>
    </row>
    <row r="290" spans="2:27" s="52" customFormat="1" hidden="1" x14ac:dyDescent="0.25">
      <c r="B290" s="86"/>
      <c r="C290" s="70" t="e">
        <v>#N/A</v>
      </c>
      <c r="D290" s="70" t="e">
        <v>#N/A</v>
      </c>
      <c r="E290" s="69"/>
      <c r="F290" s="72"/>
      <c r="G290" s="72"/>
      <c r="H290" s="75"/>
      <c r="I290" s="75"/>
      <c r="J290" s="75"/>
      <c r="K290" s="75"/>
      <c r="L290" s="75"/>
      <c r="M290" s="75"/>
      <c r="N290" s="72"/>
      <c r="O290" s="69"/>
      <c r="P290" s="69"/>
      <c r="Q290" s="14" t="e">
        <v>#N/A</v>
      </c>
      <c r="R290" s="14" t="e">
        <v>#N/A</v>
      </c>
      <c r="S290" s="14"/>
      <c r="T290" s="73"/>
      <c r="U290" s="14"/>
      <c r="V290" s="14"/>
      <c r="W290" s="70"/>
      <c r="X290" s="69"/>
      <c r="Y290" s="60">
        <f ca="1">Table25[[#This Row],[End Date]]+2-TODAY()</f>
        <v>-46005</v>
      </c>
      <c r="Z290" s="14">
        <f>IF(ISBLANK(Table25[[#This Row],[Roster Received By]]),1,0)</f>
        <v>1</v>
      </c>
      <c r="AA290" s="14">
        <f ca="1">IF(Table25[[#This Row],[Start Date]]&gt;TODAY(),1,)</f>
        <v>0</v>
      </c>
    </row>
    <row r="291" spans="2:27" s="52" customFormat="1" hidden="1" x14ac:dyDescent="0.25">
      <c r="B291" s="86"/>
      <c r="C291" s="70" t="e">
        <v>#N/A</v>
      </c>
      <c r="D291" s="70" t="e">
        <v>#N/A</v>
      </c>
      <c r="E291" s="69"/>
      <c r="F291" s="72"/>
      <c r="G291" s="72"/>
      <c r="H291" s="72"/>
      <c r="I291" s="71"/>
      <c r="J291" s="71"/>
      <c r="K291" s="71"/>
      <c r="L291" s="71"/>
      <c r="M291" s="71"/>
      <c r="N291" s="71"/>
      <c r="O291" s="69"/>
      <c r="P291" s="69"/>
      <c r="Q291" s="14" t="e">
        <v>#N/A</v>
      </c>
      <c r="R291" s="14" t="e">
        <v>#N/A</v>
      </c>
      <c r="S291" s="14"/>
      <c r="T291" s="73"/>
      <c r="U291" s="14"/>
      <c r="V291" s="14"/>
      <c r="W291" s="14"/>
      <c r="X291" s="69"/>
      <c r="Y291" s="60">
        <f ca="1">Table25[[#This Row],[End Date]]+2-TODAY()</f>
        <v>-46005</v>
      </c>
      <c r="Z291" s="14">
        <f>IF(ISBLANK(Table25[[#This Row],[Roster Received By]]),1,0)</f>
        <v>1</v>
      </c>
      <c r="AA291" s="14">
        <f ca="1">IF(Table25[[#This Row],[Start Date]]&gt;TODAY(),1,)</f>
        <v>0</v>
      </c>
    </row>
    <row r="292" spans="2:27" s="52" customFormat="1" hidden="1" x14ac:dyDescent="0.25">
      <c r="B292" s="86"/>
      <c r="C292" s="70" t="e">
        <v>#N/A</v>
      </c>
      <c r="D292" s="70" t="e">
        <v>#N/A</v>
      </c>
      <c r="E292" s="69"/>
      <c r="F292" s="72"/>
      <c r="G292" s="72"/>
      <c r="H292" s="72"/>
      <c r="I292" s="71"/>
      <c r="J292" s="71"/>
      <c r="K292" s="71"/>
      <c r="L292" s="71"/>
      <c r="M292" s="71"/>
      <c r="N292" s="71"/>
      <c r="O292" s="69"/>
      <c r="P292" s="69"/>
      <c r="Q292" s="14" t="e">
        <v>#N/A</v>
      </c>
      <c r="R292" s="14" t="e">
        <v>#N/A</v>
      </c>
      <c r="S292" s="14"/>
      <c r="T292" s="73"/>
      <c r="U292" s="14"/>
      <c r="V292" s="14"/>
      <c r="W292" s="14"/>
      <c r="X292" s="69"/>
      <c r="Y292" s="60">
        <f ca="1">Table25[[#This Row],[End Date]]+2-TODAY()</f>
        <v>-46005</v>
      </c>
      <c r="Z292" s="14">
        <f>IF(ISBLANK(Table25[[#This Row],[Roster Received By]]),1,0)</f>
        <v>1</v>
      </c>
      <c r="AA292" s="14">
        <f ca="1">IF(Table25[[#This Row],[Start Date]]&gt;TODAY(),1,)</f>
        <v>0</v>
      </c>
    </row>
    <row r="293" spans="2:27" s="52" customFormat="1" hidden="1" x14ac:dyDescent="0.25">
      <c r="B293" s="86"/>
      <c r="C293" s="70" t="e">
        <v>#N/A</v>
      </c>
      <c r="D293" s="70" t="e">
        <v>#N/A</v>
      </c>
      <c r="E293" s="69"/>
      <c r="F293" s="72"/>
      <c r="G293" s="72"/>
      <c r="H293" s="72"/>
      <c r="I293" s="71"/>
      <c r="J293" s="71"/>
      <c r="K293" s="71"/>
      <c r="L293" s="71"/>
      <c r="M293" s="71"/>
      <c r="N293" s="71"/>
      <c r="O293" s="69"/>
      <c r="P293" s="69"/>
      <c r="Q293" s="14" t="e">
        <v>#N/A</v>
      </c>
      <c r="R293" s="14" t="e">
        <v>#N/A</v>
      </c>
      <c r="S293" s="14"/>
      <c r="T293" s="73"/>
      <c r="U293" s="14"/>
      <c r="V293" s="14"/>
      <c r="W293" s="14"/>
      <c r="X293" s="69"/>
      <c r="Y293" s="60">
        <f ca="1">Table25[[#This Row],[End Date]]+2-TODAY()</f>
        <v>-46005</v>
      </c>
      <c r="Z293" s="14">
        <f>IF(ISBLANK(Table25[[#This Row],[Roster Received By]]),1,0)</f>
        <v>1</v>
      </c>
      <c r="AA293" s="14">
        <f ca="1">IF(Table25[[#This Row],[Start Date]]&gt;TODAY(),1,)</f>
        <v>0</v>
      </c>
    </row>
    <row r="294" spans="2:27" s="52" customFormat="1" hidden="1" x14ac:dyDescent="0.25">
      <c r="B294" s="86"/>
      <c r="C294" s="70" t="e">
        <v>#N/A</v>
      </c>
      <c r="D294" s="70" t="e">
        <v>#N/A</v>
      </c>
      <c r="E294" s="69"/>
      <c r="F294" s="72"/>
      <c r="G294" s="72"/>
      <c r="H294" s="72"/>
      <c r="I294" s="71"/>
      <c r="J294" s="71"/>
      <c r="K294" s="71"/>
      <c r="L294" s="71"/>
      <c r="M294" s="71"/>
      <c r="N294" s="71"/>
      <c r="O294" s="69"/>
      <c r="P294" s="69"/>
      <c r="Q294" s="14" t="e">
        <v>#N/A</v>
      </c>
      <c r="R294" s="14" t="e">
        <v>#N/A</v>
      </c>
      <c r="S294" s="14"/>
      <c r="T294" s="73"/>
      <c r="U294" s="14"/>
      <c r="V294" s="14"/>
      <c r="W294" s="14"/>
      <c r="X294" s="69"/>
      <c r="Y294" s="60">
        <f ca="1">Table25[[#This Row],[End Date]]+2-TODAY()</f>
        <v>-46005</v>
      </c>
      <c r="Z294" s="14">
        <f>IF(ISBLANK(Table25[[#This Row],[Roster Received By]]),1,0)</f>
        <v>1</v>
      </c>
      <c r="AA294" s="14">
        <f ca="1">IF(Table25[[#This Row],[Start Date]]&gt;TODAY(),1,)</f>
        <v>0</v>
      </c>
    </row>
    <row r="295" spans="2:27" s="52" customFormat="1" hidden="1" x14ac:dyDescent="0.25">
      <c r="B295" s="87"/>
      <c r="C295" s="70" t="e">
        <v>#N/A</v>
      </c>
      <c r="D295" s="70" t="e">
        <v>#N/A</v>
      </c>
      <c r="E295" s="69"/>
      <c r="F295" s="72"/>
      <c r="G295" s="72"/>
      <c r="H295" s="72"/>
      <c r="I295" s="71"/>
      <c r="J295" s="71"/>
      <c r="K295" s="71"/>
      <c r="L295" s="71"/>
      <c r="M295" s="71"/>
      <c r="N295" s="71"/>
      <c r="O295" s="69"/>
      <c r="P295" s="69"/>
      <c r="Q295" s="14" t="e">
        <v>#N/A</v>
      </c>
      <c r="R295" s="14" t="e">
        <v>#N/A</v>
      </c>
      <c r="S295" s="14"/>
      <c r="T295" s="73"/>
      <c r="U295" s="14"/>
      <c r="V295" s="14"/>
      <c r="W295" s="14"/>
      <c r="X295" s="69"/>
      <c r="Y295" s="60">
        <f ca="1">Table25[[#This Row],[End Date]]+2-TODAY()</f>
        <v>-46005</v>
      </c>
      <c r="Z295" s="14">
        <f>IF(ISBLANK(Table25[[#This Row],[Roster Received By]]),1,0)</f>
        <v>1</v>
      </c>
      <c r="AA295" s="14">
        <f ca="1">IF(Table25[[#This Row],[Start Date]]&gt;TODAY(),1,)</f>
        <v>0</v>
      </c>
    </row>
    <row r="296" spans="2:27" s="52" customFormat="1" hidden="1" x14ac:dyDescent="0.25">
      <c r="B296" s="87"/>
      <c r="C296" s="70" t="e">
        <v>#N/A</v>
      </c>
      <c r="D296" s="70" t="e">
        <v>#N/A</v>
      </c>
      <c r="E296" s="69"/>
      <c r="F296" s="72"/>
      <c r="G296" s="72"/>
      <c r="H296" s="78"/>
      <c r="I296" s="78"/>
      <c r="J296" s="72"/>
      <c r="K296" s="72"/>
      <c r="L296" s="72"/>
      <c r="M296" s="72"/>
      <c r="N296" s="72"/>
      <c r="O296" s="69"/>
      <c r="P296" s="69"/>
      <c r="Q296" s="14" t="e">
        <v>#N/A</v>
      </c>
      <c r="R296" s="14" t="e">
        <v>#N/A</v>
      </c>
      <c r="S296" s="14"/>
      <c r="T296" s="73"/>
      <c r="U296" s="14"/>
      <c r="V296" s="14"/>
      <c r="W296" s="14"/>
      <c r="X296" s="69"/>
      <c r="Y296" s="60">
        <f ca="1">Table25[[#This Row],[End Date]]+2-TODAY()</f>
        <v>-46005</v>
      </c>
      <c r="Z296" s="14">
        <f>IF(ISBLANK(Table25[[#This Row],[Roster Received By]]),1,0)</f>
        <v>1</v>
      </c>
      <c r="AA296" s="14">
        <f ca="1">IF(Table25[[#This Row],[Start Date]]&gt;TODAY(),1,)</f>
        <v>0</v>
      </c>
    </row>
    <row r="297" spans="2:27" s="52" customFormat="1" hidden="1" x14ac:dyDescent="0.25">
      <c r="B297" s="87"/>
      <c r="C297" s="70" t="e">
        <v>#N/A</v>
      </c>
      <c r="D297" s="70" t="e">
        <v>#N/A</v>
      </c>
      <c r="E297" s="69"/>
      <c r="F297" s="72"/>
      <c r="G297" s="72"/>
      <c r="H297" s="72"/>
      <c r="I297" s="71"/>
      <c r="J297" s="71"/>
      <c r="K297" s="71"/>
      <c r="L297" s="71"/>
      <c r="M297" s="71"/>
      <c r="N297" s="71"/>
      <c r="O297" s="69"/>
      <c r="P297" s="69"/>
      <c r="Q297" s="14" t="e">
        <v>#N/A</v>
      </c>
      <c r="R297" s="14" t="e">
        <v>#N/A</v>
      </c>
      <c r="S297" s="14"/>
      <c r="T297" s="73"/>
      <c r="U297" s="14"/>
      <c r="V297" s="14"/>
      <c r="W297" s="14"/>
      <c r="X297" s="69"/>
      <c r="Y297" s="60">
        <f ca="1">Table25[[#This Row],[End Date]]+2-TODAY()</f>
        <v>-46005</v>
      </c>
      <c r="Z297" s="14">
        <f>IF(ISBLANK(Table25[[#This Row],[Roster Received By]]),1,0)</f>
        <v>1</v>
      </c>
      <c r="AA297" s="14">
        <f ca="1">IF(Table25[[#This Row],[Start Date]]&gt;TODAY(),1,)</f>
        <v>0</v>
      </c>
    </row>
    <row r="298" spans="2:27" s="52" customFormat="1" hidden="1" x14ac:dyDescent="0.25">
      <c r="B298" s="87"/>
      <c r="C298" s="70" t="e">
        <v>#N/A</v>
      </c>
      <c r="D298" s="70" t="e">
        <v>#N/A</v>
      </c>
      <c r="E298" s="69"/>
      <c r="F298" s="72"/>
      <c r="G298" s="72"/>
      <c r="H298" s="72"/>
      <c r="I298" s="71"/>
      <c r="J298" s="71"/>
      <c r="K298" s="71"/>
      <c r="L298" s="71"/>
      <c r="M298" s="71"/>
      <c r="N298" s="71"/>
      <c r="O298" s="69"/>
      <c r="P298" s="69"/>
      <c r="Q298" s="14" t="e">
        <v>#N/A</v>
      </c>
      <c r="R298" s="14" t="e">
        <v>#N/A</v>
      </c>
      <c r="S298" s="14"/>
      <c r="T298" s="73"/>
      <c r="U298" s="14"/>
      <c r="V298" s="14"/>
      <c r="W298" s="73"/>
      <c r="X298" s="69"/>
      <c r="Y298" s="60">
        <f ca="1">Table25[[#This Row],[End Date]]+2-TODAY()</f>
        <v>-46005</v>
      </c>
      <c r="Z298" s="14">
        <f>IF(ISBLANK(Table25[[#This Row],[Roster Received By]]),1,0)</f>
        <v>1</v>
      </c>
      <c r="AA298" s="14">
        <f ca="1">IF(Table25[[#This Row],[Start Date]]&gt;TODAY(),1,)</f>
        <v>0</v>
      </c>
    </row>
    <row r="299" spans="2:27" s="52" customFormat="1" hidden="1" x14ac:dyDescent="0.25">
      <c r="B299" s="87"/>
      <c r="C299" s="70" t="e">
        <v>#N/A</v>
      </c>
      <c r="D299" s="70" t="e">
        <v>#N/A</v>
      </c>
      <c r="E299" s="69"/>
      <c r="F299" s="72"/>
      <c r="G299" s="72"/>
      <c r="H299" s="75"/>
      <c r="I299" s="75"/>
      <c r="J299" s="72"/>
      <c r="K299" s="72"/>
      <c r="L299" s="72"/>
      <c r="M299" s="72"/>
      <c r="N299" s="72"/>
      <c r="O299" s="69"/>
      <c r="P299" s="69"/>
      <c r="Q299" s="14" t="e">
        <v>#N/A</v>
      </c>
      <c r="R299" s="14" t="e">
        <v>#N/A</v>
      </c>
      <c r="S299" s="73"/>
      <c r="T299" s="73"/>
      <c r="U299" s="14"/>
      <c r="V299" s="14"/>
      <c r="W299" s="70"/>
      <c r="X299" s="69"/>
      <c r="Y299" s="79">
        <f ca="1">Table25[[#This Row],[End Date]]+2-TODAY()</f>
        <v>-46005</v>
      </c>
      <c r="Z299" s="14">
        <f>IF(ISBLANK(Table25[[#This Row],[Roster Received By]]),1,0)</f>
        <v>1</v>
      </c>
      <c r="AA299" s="70">
        <f ca="1">IF(Table25[[#This Row],[Start Date]]&gt;TODAY(),1,)</f>
        <v>0</v>
      </c>
    </row>
    <row r="300" spans="2:27" s="52" customFormat="1" hidden="1" x14ac:dyDescent="0.25">
      <c r="B300" s="87"/>
      <c r="C300" s="70" t="e">
        <v>#N/A</v>
      </c>
      <c r="D300" s="70" t="e">
        <v>#N/A</v>
      </c>
      <c r="E300" s="69"/>
      <c r="F300" s="72"/>
      <c r="G300" s="72"/>
      <c r="H300" s="75"/>
      <c r="I300" s="75"/>
      <c r="J300" s="72"/>
      <c r="K300" s="72"/>
      <c r="L300" s="72"/>
      <c r="M300" s="72"/>
      <c r="N300" s="72"/>
      <c r="O300" s="69"/>
      <c r="P300" s="69"/>
      <c r="Q300" s="14" t="e">
        <v>#N/A</v>
      </c>
      <c r="R300" s="14" t="e">
        <v>#N/A</v>
      </c>
      <c r="S300" s="14"/>
      <c r="T300" s="73"/>
      <c r="U300" s="14"/>
      <c r="V300" s="14"/>
      <c r="W300" s="14"/>
      <c r="X300" s="69"/>
      <c r="Y300" s="60">
        <f ca="1">Table25[[#This Row],[End Date]]+2-TODAY()</f>
        <v>-46005</v>
      </c>
      <c r="Z300" s="14">
        <f>IF(ISBLANK(Table25[[#This Row],[Roster Received By]]),1,0)</f>
        <v>1</v>
      </c>
      <c r="AA300" s="14">
        <f ca="1">IF(Table25[[#This Row],[Start Date]]&gt;TODAY(),1,)</f>
        <v>0</v>
      </c>
    </row>
    <row r="301" spans="2:27" s="52" customFormat="1" hidden="1" x14ac:dyDescent="0.25">
      <c r="B301" s="87"/>
      <c r="C301" s="70" t="e">
        <v>#N/A</v>
      </c>
      <c r="D301" s="70" t="e">
        <v>#N/A</v>
      </c>
      <c r="E301" s="69"/>
      <c r="F301" s="72"/>
      <c r="G301" s="72"/>
      <c r="H301" s="75"/>
      <c r="I301" s="75"/>
      <c r="J301" s="75"/>
      <c r="K301" s="75"/>
      <c r="L301" s="75"/>
      <c r="M301" s="75"/>
      <c r="N301" s="75"/>
      <c r="O301" s="69"/>
      <c r="P301" s="69"/>
      <c r="Q301" s="14" t="e">
        <v>#N/A</v>
      </c>
      <c r="R301" s="14" t="e">
        <v>#N/A</v>
      </c>
      <c r="S301" s="14"/>
      <c r="T301" s="73"/>
      <c r="U301" s="14"/>
      <c r="V301" s="14"/>
      <c r="W301" s="14"/>
      <c r="X301" s="69"/>
      <c r="Y301" s="60">
        <f ca="1">Table25[[#This Row],[End Date]]+2-TODAY()</f>
        <v>-46005</v>
      </c>
      <c r="Z301" s="14">
        <f>IF(ISBLANK(Table25[[#This Row],[Roster Received By]]),1,0)</f>
        <v>1</v>
      </c>
      <c r="AA301" s="14">
        <f ca="1">IF(Table25[[#This Row],[Start Date]]&gt;TODAY(),1,)</f>
        <v>0</v>
      </c>
    </row>
    <row r="302" spans="2:27" s="52" customFormat="1" hidden="1" x14ac:dyDescent="0.25">
      <c r="B302" s="87"/>
      <c r="C302" s="70" t="e">
        <v>#N/A</v>
      </c>
      <c r="D302" s="70" t="e">
        <v>#N/A</v>
      </c>
      <c r="E302" s="69"/>
      <c r="F302" s="56"/>
      <c r="G302" s="72"/>
      <c r="H302" s="72"/>
      <c r="I302" s="71"/>
      <c r="J302" s="71"/>
      <c r="K302" s="71"/>
      <c r="L302" s="71"/>
      <c r="M302" s="71"/>
      <c r="N302" s="71"/>
      <c r="O302" s="69"/>
      <c r="P302" s="69"/>
      <c r="Q302" s="14" t="e">
        <v>#N/A</v>
      </c>
      <c r="R302" s="14" t="e">
        <v>#N/A</v>
      </c>
      <c r="S302" s="14"/>
      <c r="T302" s="73"/>
      <c r="U302" s="14"/>
      <c r="V302" s="14"/>
      <c r="W302" s="14"/>
      <c r="X302" s="69"/>
      <c r="Y302" s="60">
        <f ca="1">Table25[[#This Row],[End Date]]+2-TODAY()</f>
        <v>-46005</v>
      </c>
      <c r="Z302" s="14">
        <f>IF(ISBLANK(Table25[[#This Row],[Roster Received By]]),1,0)</f>
        <v>1</v>
      </c>
      <c r="AA302" s="14">
        <f ca="1">IF(Table25[[#This Row],[Start Date]]&gt;TODAY(),1,)</f>
        <v>0</v>
      </c>
    </row>
    <row r="303" spans="2:27" s="52" customFormat="1" hidden="1" x14ac:dyDescent="0.25">
      <c r="B303" s="87"/>
      <c r="C303" s="70" t="e">
        <v>#N/A</v>
      </c>
      <c r="D303" s="70" t="e">
        <v>#N/A</v>
      </c>
      <c r="E303" s="69"/>
      <c r="F303" s="72"/>
      <c r="G303" s="72"/>
      <c r="H303" s="72"/>
      <c r="I303" s="71"/>
      <c r="J303" s="71"/>
      <c r="K303" s="71"/>
      <c r="L303" s="71"/>
      <c r="M303" s="71"/>
      <c r="N303" s="71"/>
      <c r="O303" s="69"/>
      <c r="P303" s="69"/>
      <c r="Q303" s="14" t="e">
        <v>#N/A</v>
      </c>
      <c r="R303" s="14" t="e">
        <v>#N/A</v>
      </c>
      <c r="S303" s="14"/>
      <c r="T303" s="73"/>
      <c r="U303" s="14"/>
      <c r="V303" s="14"/>
      <c r="W303" s="14"/>
      <c r="X303" s="69"/>
      <c r="Y303" s="60">
        <f ca="1">Table25[[#This Row],[End Date]]+2-TODAY()</f>
        <v>-46005</v>
      </c>
      <c r="Z303" s="14">
        <f>IF(ISBLANK(Table25[[#This Row],[Roster Received By]]),1,0)</f>
        <v>1</v>
      </c>
      <c r="AA303" s="14">
        <f ca="1">IF(Table25[[#This Row],[Start Date]]&gt;TODAY(),1,)</f>
        <v>0</v>
      </c>
    </row>
    <row r="304" spans="2:27" s="52" customFormat="1" hidden="1" x14ac:dyDescent="0.25">
      <c r="B304" s="87"/>
      <c r="C304" s="70" t="e">
        <v>#N/A</v>
      </c>
      <c r="D304" s="70" t="e">
        <v>#N/A</v>
      </c>
      <c r="E304" s="69"/>
      <c r="F304" s="80"/>
      <c r="G304" s="80"/>
      <c r="H304" s="72"/>
      <c r="I304" s="71"/>
      <c r="J304" s="71"/>
      <c r="K304" s="71"/>
      <c r="L304" s="71"/>
      <c r="M304" s="71"/>
      <c r="N304" s="71"/>
      <c r="O304" s="69"/>
      <c r="P304" s="69"/>
      <c r="Q304" s="14" t="e">
        <v>#N/A</v>
      </c>
      <c r="R304" s="14" t="e">
        <v>#N/A</v>
      </c>
      <c r="S304" s="14"/>
      <c r="T304" s="73"/>
      <c r="U304" s="14"/>
      <c r="V304" s="14"/>
      <c r="W304" s="14"/>
      <c r="X304" s="69"/>
      <c r="Y304" s="60">
        <f ca="1">Table25[[#This Row],[End Date]]+2-TODAY()</f>
        <v>-46005</v>
      </c>
      <c r="Z304" s="14">
        <f>IF(ISBLANK(Table25[[#This Row],[Roster Received By]]),1,0)</f>
        <v>1</v>
      </c>
      <c r="AA304" s="14">
        <f ca="1">IF(Table25[[#This Row],[Start Date]]&gt;TODAY(),1,)</f>
        <v>0</v>
      </c>
    </row>
    <row r="305" spans="1:27" s="52" customFormat="1" hidden="1" x14ac:dyDescent="0.25">
      <c r="B305" s="87"/>
      <c r="C305" s="70" t="e">
        <v>#N/A</v>
      </c>
      <c r="D305" s="70" t="e">
        <v>#N/A</v>
      </c>
      <c r="E305" s="69"/>
      <c r="F305" s="80"/>
      <c r="G305" s="80"/>
      <c r="H305" s="72"/>
      <c r="I305" s="71"/>
      <c r="J305" s="71"/>
      <c r="K305" s="71"/>
      <c r="L305" s="71"/>
      <c r="M305" s="71"/>
      <c r="N305" s="71"/>
      <c r="O305" s="69"/>
      <c r="P305" s="69"/>
      <c r="Q305" s="14" t="e">
        <v>#N/A</v>
      </c>
      <c r="R305" s="14" t="e">
        <v>#N/A</v>
      </c>
      <c r="S305" s="14"/>
      <c r="T305" s="73"/>
      <c r="U305" s="14"/>
      <c r="V305" s="14"/>
      <c r="W305" s="14"/>
      <c r="X305" s="69"/>
      <c r="Y305" s="60">
        <f ca="1">Table25[[#This Row],[End Date]]+2-TODAY()</f>
        <v>-46005</v>
      </c>
      <c r="Z305" s="14">
        <f>IF(ISBLANK(Table25[[#This Row],[Roster Received By]]),1,0)</f>
        <v>1</v>
      </c>
      <c r="AA305" s="14">
        <f ca="1">IF(Table25[[#This Row],[Start Date]]&gt;TODAY(),1,)</f>
        <v>0</v>
      </c>
    </row>
    <row r="306" spans="1:27" s="52" customFormat="1" hidden="1" x14ac:dyDescent="0.25">
      <c r="B306" s="87"/>
      <c r="C306" s="70" t="e">
        <v>#N/A</v>
      </c>
      <c r="D306" s="70" t="e">
        <v>#N/A</v>
      </c>
      <c r="E306" s="69"/>
      <c r="F306" s="80"/>
      <c r="G306" s="80"/>
      <c r="H306" s="72"/>
      <c r="I306" s="71"/>
      <c r="J306" s="71"/>
      <c r="K306" s="71"/>
      <c r="L306" s="71"/>
      <c r="M306" s="71"/>
      <c r="N306" s="71"/>
      <c r="O306" s="69"/>
      <c r="P306" s="69"/>
      <c r="Q306" s="14" t="e">
        <v>#N/A</v>
      </c>
      <c r="R306" s="14" t="e">
        <v>#N/A</v>
      </c>
      <c r="S306" s="14"/>
      <c r="T306" s="73"/>
      <c r="U306" s="14"/>
      <c r="V306" s="14"/>
      <c r="W306" s="14"/>
      <c r="X306" s="69"/>
      <c r="Y306" s="60">
        <f ca="1">Table25[[#This Row],[End Date]]+2-TODAY()</f>
        <v>-46005</v>
      </c>
      <c r="Z306" s="14">
        <f>IF(ISBLANK(Table25[[#This Row],[Roster Received By]]),1,0)</f>
        <v>1</v>
      </c>
      <c r="AA306" s="14">
        <f ca="1">IF(Table25[[#This Row],[Start Date]]&gt;TODAY(),1,)</f>
        <v>0</v>
      </c>
    </row>
    <row r="307" spans="1:27" s="52" customFormat="1" hidden="1" x14ac:dyDescent="0.25">
      <c r="B307" s="87"/>
      <c r="C307" s="70" t="e">
        <v>#N/A</v>
      </c>
      <c r="D307" s="70" t="e">
        <v>#N/A</v>
      </c>
      <c r="E307" s="69"/>
      <c r="F307" s="80"/>
      <c r="G307" s="80"/>
      <c r="H307" s="78"/>
      <c r="I307" s="78"/>
      <c r="J307" s="72"/>
      <c r="K307" s="72"/>
      <c r="L307" s="72"/>
      <c r="M307" s="72"/>
      <c r="N307" s="72"/>
      <c r="O307" s="69"/>
      <c r="P307" s="69"/>
      <c r="Q307" s="14" t="e">
        <v>#N/A</v>
      </c>
      <c r="R307" s="14" t="e">
        <v>#N/A</v>
      </c>
      <c r="S307" s="14"/>
      <c r="T307" s="73"/>
      <c r="U307" s="14"/>
      <c r="V307" s="14"/>
      <c r="W307" s="14"/>
      <c r="X307" s="69"/>
      <c r="Y307" s="60">
        <f ca="1">Table25[[#This Row],[End Date]]+2-TODAY()</f>
        <v>-46005</v>
      </c>
      <c r="Z307" s="14">
        <f>IF(ISBLANK(Table25[[#This Row],[Roster Received By]]),1,0)</f>
        <v>1</v>
      </c>
      <c r="AA307" s="14">
        <f ca="1">IF(Table25[[#This Row],[Start Date]]&gt;TODAY(),1,)</f>
        <v>0</v>
      </c>
    </row>
    <row r="308" spans="1:27" s="52" customFormat="1" hidden="1" x14ac:dyDescent="0.25">
      <c r="B308" s="87"/>
      <c r="C308" s="70" t="e">
        <v>#N/A</v>
      </c>
      <c r="D308" s="70" t="e">
        <v>#N/A</v>
      </c>
      <c r="E308" s="69"/>
      <c r="F308" s="80"/>
      <c r="G308" s="80"/>
      <c r="H308" s="75"/>
      <c r="I308" s="75"/>
      <c r="J308" s="75"/>
      <c r="K308" s="75"/>
      <c r="L308" s="75"/>
      <c r="M308" s="75"/>
      <c r="N308" s="72"/>
      <c r="O308" s="69"/>
      <c r="P308" s="69"/>
      <c r="Q308" s="14" t="e">
        <v>#N/A</v>
      </c>
      <c r="R308" s="14" t="e">
        <v>#N/A</v>
      </c>
      <c r="S308" s="14"/>
      <c r="T308" s="73"/>
      <c r="U308" s="14"/>
      <c r="V308" s="14"/>
      <c r="W308" s="70"/>
      <c r="X308" s="69"/>
      <c r="Y308" s="60">
        <f ca="1">Table25[[#This Row],[End Date]]+2-TODAY()</f>
        <v>-46005</v>
      </c>
      <c r="Z308" s="14">
        <f>IF(ISBLANK(Table25[[#This Row],[Roster Received By]]),1,0)</f>
        <v>1</v>
      </c>
      <c r="AA308" s="14">
        <f ca="1">IF(Table25[[#This Row],[Start Date]]&gt;TODAY(),1,)</f>
        <v>0</v>
      </c>
    </row>
    <row r="309" spans="1:27" s="52" customFormat="1" hidden="1" x14ac:dyDescent="0.25">
      <c r="B309" s="87"/>
      <c r="C309" s="70" t="e">
        <v>#N/A</v>
      </c>
      <c r="D309" s="70" t="e">
        <v>#N/A</v>
      </c>
      <c r="E309" s="54"/>
      <c r="F309" s="80"/>
      <c r="G309" s="80"/>
      <c r="H309" s="75"/>
      <c r="I309" s="75"/>
      <c r="J309" s="72"/>
      <c r="K309" s="72"/>
      <c r="L309" s="72"/>
      <c r="M309" s="72"/>
      <c r="N309" s="72"/>
      <c r="O309" s="69"/>
      <c r="P309" s="69"/>
      <c r="Q309" s="14" t="e">
        <v>#N/A</v>
      </c>
      <c r="R309" s="14" t="e">
        <v>#N/A</v>
      </c>
      <c r="S309" s="14"/>
      <c r="T309" s="73"/>
      <c r="U309" s="14"/>
      <c r="V309" s="14"/>
      <c r="W309" s="14"/>
      <c r="X309" s="69"/>
      <c r="Y309" s="60">
        <f ca="1">Table25[[#This Row],[End Date]]+2-TODAY()</f>
        <v>-46005</v>
      </c>
      <c r="Z309" s="14">
        <f>IF(ISBLANK(Table25[[#This Row],[Roster Received By]]),1,0)</f>
        <v>1</v>
      </c>
      <c r="AA309" s="14">
        <f ca="1">IF(Table25[[#This Row],[Start Date]]&gt;TODAY(),1,)</f>
        <v>0</v>
      </c>
    </row>
    <row r="310" spans="1:27" s="52" customFormat="1" hidden="1" x14ac:dyDescent="0.25">
      <c r="B310" s="87"/>
      <c r="C310" s="70" t="e">
        <v>#N/A</v>
      </c>
      <c r="D310" s="70" t="e">
        <v>#N/A</v>
      </c>
      <c r="E310" s="54"/>
      <c r="F310" s="80"/>
      <c r="G310" s="80"/>
      <c r="H310" s="75"/>
      <c r="I310" s="75"/>
      <c r="J310" s="72"/>
      <c r="K310" s="72"/>
      <c r="L310" s="72"/>
      <c r="M310" s="72"/>
      <c r="N310" s="72"/>
      <c r="O310" s="69"/>
      <c r="P310" s="69"/>
      <c r="Q310" s="14" t="e">
        <v>#N/A</v>
      </c>
      <c r="R310" s="14" t="e">
        <v>#N/A</v>
      </c>
      <c r="S310" s="14"/>
      <c r="T310" s="73"/>
      <c r="U310" s="14"/>
      <c r="V310" s="14"/>
      <c r="W310" s="14"/>
      <c r="X310" s="69"/>
      <c r="Y310" s="60">
        <f ca="1">Table25[[#This Row],[End Date]]+2-TODAY()</f>
        <v>-46005</v>
      </c>
      <c r="Z310" s="14">
        <f>IF(ISBLANK(Table25[[#This Row],[Roster Received By]]),1,0)</f>
        <v>1</v>
      </c>
      <c r="AA310" s="14">
        <f ca="1">IF(Table25[[#This Row],[Start Date]]&gt;TODAY(),1,)</f>
        <v>0</v>
      </c>
    </row>
    <row r="311" spans="1:27" s="52" customFormat="1" hidden="1" x14ac:dyDescent="0.25">
      <c r="B311" s="87"/>
      <c r="C311" s="70" t="e">
        <v>#N/A</v>
      </c>
      <c r="D311" s="70" t="e">
        <v>#N/A</v>
      </c>
      <c r="E311" s="69"/>
      <c r="F311" s="80"/>
      <c r="G311" s="80"/>
      <c r="H311" s="78"/>
      <c r="I311" s="78"/>
      <c r="J311" s="72"/>
      <c r="K311" s="72"/>
      <c r="L311" s="72"/>
      <c r="M311" s="72"/>
      <c r="N311" s="72"/>
      <c r="O311" s="69"/>
      <c r="P311" s="69"/>
      <c r="Q311" s="14" t="e">
        <v>#N/A</v>
      </c>
      <c r="R311" s="14" t="e">
        <v>#N/A</v>
      </c>
      <c r="S311" s="73"/>
      <c r="T311" s="73"/>
      <c r="U311" s="14"/>
      <c r="V311" s="14"/>
      <c r="W311" s="14"/>
      <c r="X311" s="69"/>
      <c r="Y311" s="60">
        <f ca="1">Table25[[#This Row],[End Date]]+2-TODAY()</f>
        <v>-46005</v>
      </c>
      <c r="Z311" s="14">
        <f>IF(ISBLANK(Table25[[#This Row],[Roster Received By]]),1,0)</f>
        <v>1</v>
      </c>
      <c r="AA311" s="14">
        <f ca="1">IF(Table25[[#This Row],[Start Date]]&gt;TODAY(),1,)</f>
        <v>0</v>
      </c>
    </row>
    <row r="312" spans="1:27" s="52" customFormat="1" hidden="1" x14ac:dyDescent="0.25">
      <c r="B312" s="69"/>
      <c r="C312" s="70" t="e">
        <v>#N/A</v>
      </c>
      <c r="D312" s="70" t="e">
        <v>#N/A</v>
      </c>
      <c r="E312" s="69"/>
      <c r="F312" s="80"/>
      <c r="G312" s="80"/>
      <c r="H312" s="75"/>
      <c r="I312" s="75"/>
      <c r="J312" s="72"/>
      <c r="K312" s="72"/>
      <c r="L312" s="72"/>
      <c r="M312" s="72"/>
      <c r="N312" s="72"/>
      <c r="O312" s="69"/>
      <c r="P312" s="69"/>
      <c r="Q312" s="14" t="e">
        <v>#N/A</v>
      </c>
      <c r="R312" s="14" t="e">
        <v>#N/A</v>
      </c>
      <c r="S312" s="73"/>
      <c r="T312" s="73"/>
      <c r="U312" s="14"/>
      <c r="V312" s="14"/>
      <c r="W312" s="70"/>
      <c r="X312" s="69"/>
      <c r="Y312" s="79">
        <f ca="1">Table25[[#This Row],[End Date]]+2-TODAY()</f>
        <v>-46005</v>
      </c>
      <c r="Z312" s="14">
        <f>IF(ISBLANK(Table25[[#This Row],[Roster Received By]]),1,0)</f>
        <v>1</v>
      </c>
      <c r="AA312" s="70">
        <f ca="1">IF(Table25[[#This Row],[Start Date]]&gt;TODAY(),1,)</f>
        <v>0</v>
      </c>
    </row>
    <row r="313" spans="1:27" s="52" customFormat="1" hidden="1" x14ac:dyDescent="0.25">
      <c r="B313" s="88"/>
      <c r="C313" s="70" t="e">
        <v>#N/A</v>
      </c>
      <c r="D313" s="70" t="e">
        <v>#N/A</v>
      </c>
      <c r="E313" s="69"/>
      <c r="F313" s="80"/>
      <c r="G313" s="80"/>
      <c r="H313" s="78"/>
      <c r="I313" s="78"/>
      <c r="J313" s="72"/>
      <c r="K313" s="72"/>
      <c r="L313" s="72"/>
      <c r="M313" s="72"/>
      <c r="N313" s="72"/>
      <c r="O313" s="69"/>
      <c r="P313" s="69"/>
      <c r="Q313" s="14" t="e">
        <v>#N/A</v>
      </c>
      <c r="R313" s="14" t="e">
        <v>#N/A</v>
      </c>
      <c r="S313" s="14"/>
      <c r="T313" s="73"/>
      <c r="U313" s="14"/>
      <c r="V313" s="14"/>
      <c r="W313" s="14"/>
      <c r="X313" s="69"/>
      <c r="Y313" s="60">
        <f ca="1">Table25[[#This Row],[End Date]]+2-TODAY()</f>
        <v>-46005</v>
      </c>
      <c r="Z313" s="14">
        <f>IF(ISBLANK(Table25[[#This Row],[Roster Received By]]),1,0)</f>
        <v>1</v>
      </c>
      <c r="AA313" s="14">
        <f ca="1">IF(Table25[[#This Row],[Start Date]]&gt;TODAY(),1,)</f>
        <v>0</v>
      </c>
    </row>
    <row r="314" spans="1:27" s="52" customFormat="1" hidden="1" x14ac:dyDescent="0.25">
      <c r="B314" s="87"/>
      <c r="C314" s="70" t="e">
        <v>#N/A</v>
      </c>
      <c r="D314" s="70" t="e">
        <v>#N/A</v>
      </c>
      <c r="E314" s="69"/>
      <c r="F314" s="80"/>
      <c r="G314" s="80"/>
      <c r="H314" s="72"/>
      <c r="I314" s="71"/>
      <c r="J314" s="71"/>
      <c r="K314" s="71"/>
      <c r="L314" s="71"/>
      <c r="M314" s="71"/>
      <c r="N314" s="71"/>
      <c r="O314" s="69"/>
      <c r="P314" s="69"/>
      <c r="Q314" s="14" t="e">
        <v>#N/A</v>
      </c>
      <c r="R314" s="14" t="e">
        <v>#N/A</v>
      </c>
      <c r="S314" s="14"/>
      <c r="T314" s="73"/>
      <c r="U314" s="14"/>
      <c r="V314" s="14"/>
      <c r="W314" s="14"/>
      <c r="X314" s="69"/>
      <c r="Y314" s="60">
        <f ca="1">Table25[[#This Row],[End Date]]+2-TODAY()</f>
        <v>-46005</v>
      </c>
      <c r="Z314" s="14">
        <f>IF(ISBLANK(Table25[[#This Row],[Roster Received By]]),1,0)</f>
        <v>1</v>
      </c>
      <c r="AA314" s="14">
        <f ca="1">IF(Table25[[#This Row],[Start Date]]&gt;TODAY(),1,)</f>
        <v>0</v>
      </c>
    </row>
    <row r="315" spans="1:27" s="52" customFormat="1" hidden="1" x14ac:dyDescent="0.25">
      <c r="B315" s="88"/>
      <c r="C315" s="70" t="e">
        <v>#N/A</v>
      </c>
      <c r="D315" s="70" t="e">
        <v>#N/A</v>
      </c>
      <c r="E315" s="69"/>
      <c r="F315" s="80"/>
      <c r="G315" s="80"/>
      <c r="H315" s="75"/>
      <c r="I315" s="75"/>
      <c r="J315" s="72"/>
      <c r="K315" s="72"/>
      <c r="L315" s="72"/>
      <c r="M315" s="72"/>
      <c r="N315" s="72"/>
      <c r="O315" s="69"/>
      <c r="P315" s="69"/>
      <c r="Q315" s="14" t="e">
        <v>#N/A</v>
      </c>
      <c r="R315" s="14" t="e">
        <v>#N/A</v>
      </c>
      <c r="S315" s="14"/>
      <c r="T315" s="73"/>
      <c r="U315" s="14"/>
      <c r="V315" s="14"/>
      <c r="W315" s="14"/>
      <c r="X315" s="69"/>
      <c r="Y315" s="60">
        <f ca="1">Table25[[#This Row],[End Date]]+2-TODAY()</f>
        <v>-46005</v>
      </c>
      <c r="Z315" s="14">
        <f>IF(ISBLANK(Table25[[#This Row],[Roster Received By]]),1,0)</f>
        <v>1</v>
      </c>
      <c r="AA315" s="14">
        <f ca="1">IF(Table25[[#This Row],[Start Date]]&gt;TODAY(),1,)</f>
        <v>0</v>
      </c>
    </row>
    <row r="316" spans="1:27" s="52" customFormat="1" hidden="1" x14ac:dyDescent="0.25">
      <c r="B316" s="88"/>
      <c r="C316" s="70" t="e">
        <v>#N/A</v>
      </c>
      <c r="D316" s="70" t="e">
        <v>#N/A</v>
      </c>
      <c r="E316" s="69"/>
      <c r="F316" s="80"/>
      <c r="G316" s="80"/>
      <c r="H316" s="75"/>
      <c r="I316" s="75"/>
      <c r="J316" s="72"/>
      <c r="K316" s="72"/>
      <c r="L316" s="72"/>
      <c r="M316" s="72"/>
      <c r="N316" s="72"/>
      <c r="O316" s="69"/>
      <c r="P316" s="69"/>
      <c r="Q316" s="14" t="e">
        <v>#N/A</v>
      </c>
      <c r="R316" s="14" t="e">
        <v>#N/A</v>
      </c>
      <c r="S316" s="14"/>
      <c r="T316" s="73"/>
      <c r="U316" s="14"/>
      <c r="V316" s="14"/>
      <c r="W316" s="14"/>
      <c r="X316" s="69"/>
      <c r="Y316" s="60">
        <f ca="1">Table25[[#This Row],[End Date]]+2-TODAY()</f>
        <v>-46005</v>
      </c>
      <c r="Z316" s="14">
        <f>IF(ISBLANK(Table25[[#This Row],[Roster Received By]]),1,0)</f>
        <v>1</v>
      </c>
      <c r="AA316" s="14">
        <f ca="1">IF(Table25[[#This Row],[Start Date]]&gt;TODAY(),1,)</f>
        <v>0</v>
      </c>
    </row>
    <row r="317" spans="1:27" s="52" customFormat="1" hidden="1" x14ac:dyDescent="0.25">
      <c r="A317" s="112"/>
      <c r="B317" s="88"/>
      <c r="C317" s="70" t="e">
        <v>#N/A</v>
      </c>
      <c r="D317" s="70" t="e">
        <v>#N/A</v>
      </c>
      <c r="E317" s="69"/>
      <c r="F317" s="102"/>
      <c r="G317" s="102"/>
      <c r="H317" s="75"/>
      <c r="I317" s="75"/>
      <c r="J317" s="72"/>
      <c r="K317" s="72"/>
      <c r="L317" s="72"/>
      <c r="M317" s="72"/>
      <c r="N317" s="72"/>
      <c r="O317" s="69"/>
      <c r="P317" s="69"/>
      <c r="Q317" s="14" t="e">
        <v>#N/A</v>
      </c>
      <c r="R317" s="14" t="e">
        <v>#N/A</v>
      </c>
      <c r="S317" s="73"/>
      <c r="T317" s="73"/>
      <c r="U317" s="14"/>
      <c r="V317" s="14"/>
      <c r="W317" s="14"/>
      <c r="X317" s="69"/>
      <c r="Y317" s="60">
        <f ca="1">Table25[[#This Row],[End Date]]+2-TODAY()</f>
        <v>-46005</v>
      </c>
      <c r="Z317" s="14">
        <f>IF(ISBLANK(Table25[[#This Row],[Roster Received By]]),1,0)</f>
        <v>1</v>
      </c>
      <c r="AA317" s="14">
        <f ca="1">IF(Table25[[#This Row],[Start Date]]&gt;TODAY(),1,)</f>
        <v>0</v>
      </c>
    </row>
    <row r="318" spans="1:27" s="52" customFormat="1" hidden="1" x14ac:dyDescent="0.25">
      <c r="A318" s="69"/>
      <c r="B318" s="88"/>
      <c r="C318" s="70" t="e">
        <v>#N/A</v>
      </c>
      <c r="D318" s="70" t="e">
        <v>#N/A</v>
      </c>
      <c r="E318" s="88"/>
      <c r="F318" s="103"/>
      <c r="G318" s="103"/>
      <c r="H318" s="56"/>
      <c r="I318" s="71"/>
      <c r="J318" s="71"/>
      <c r="K318" s="71"/>
      <c r="L318" s="71"/>
      <c r="M318" s="71"/>
      <c r="N318" s="71"/>
      <c r="O318" s="69"/>
      <c r="P318" s="69"/>
      <c r="Q318" s="14" t="e">
        <v>#N/A</v>
      </c>
      <c r="R318" s="14" t="e">
        <v>#N/A</v>
      </c>
      <c r="S318" s="14"/>
      <c r="T318" s="73"/>
      <c r="U318" s="14"/>
      <c r="V318" s="14"/>
      <c r="W318" s="14"/>
      <c r="X318" s="69"/>
      <c r="Y318" s="60">
        <f ca="1">Table25[[#This Row],[End Date]]+2-TODAY()</f>
        <v>-46005</v>
      </c>
      <c r="Z318" s="14">
        <f>IF(ISBLANK(Table25[[#This Row],[Roster Received By]]),1,0)</f>
        <v>1</v>
      </c>
      <c r="AA318" s="14">
        <f ca="1">IF(Table25[[#This Row],[Start Date]]&gt;TODAY(),1,)</f>
        <v>0</v>
      </c>
    </row>
    <row r="319" spans="1:27" s="52" customFormat="1" hidden="1" x14ac:dyDescent="0.25">
      <c r="B319" s="88"/>
      <c r="C319" s="70" t="e">
        <v>#N/A</v>
      </c>
      <c r="D319" s="70" t="e">
        <v>#N/A</v>
      </c>
      <c r="E319" s="88"/>
      <c r="F319" s="102"/>
      <c r="G319" s="102"/>
      <c r="H319" s="72"/>
      <c r="I319" s="71"/>
      <c r="J319" s="71"/>
      <c r="K319" s="71"/>
      <c r="L319" s="71"/>
      <c r="M319" s="71"/>
      <c r="N319" s="71"/>
      <c r="O319" s="69"/>
      <c r="P319" s="69"/>
      <c r="Q319" s="14" t="e">
        <v>#N/A</v>
      </c>
      <c r="R319" s="14" t="e">
        <v>#N/A</v>
      </c>
      <c r="S319" s="14"/>
      <c r="T319" s="73"/>
      <c r="U319" s="14"/>
      <c r="V319" s="14"/>
      <c r="W319" s="14"/>
      <c r="X319" s="69"/>
      <c r="Y319" s="60">
        <f ca="1">Table25[[#This Row],[End Date]]+2-TODAY()</f>
        <v>-46005</v>
      </c>
      <c r="Z319" s="14">
        <f>IF(ISBLANK(Table25[[#This Row],[Roster Received By]]),1,0)</f>
        <v>1</v>
      </c>
      <c r="AA319" s="14">
        <f ca="1">IF(Table25[[#This Row],[Start Date]]&gt;TODAY(),1,)</f>
        <v>0</v>
      </c>
    </row>
    <row r="320" spans="1:27" s="52" customFormat="1" hidden="1" x14ac:dyDescent="0.25">
      <c r="B320" s="88"/>
      <c r="C320" s="70" t="e">
        <v>#N/A</v>
      </c>
      <c r="D320" s="70" t="e">
        <v>#N/A</v>
      </c>
      <c r="E320" s="69"/>
      <c r="F320" s="72"/>
      <c r="G320" s="72"/>
      <c r="H320" s="75"/>
      <c r="I320" s="75"/>
      <c r="J320" s="75"/>
      <c r="K320" s="75"/>
      <c r="L320" s="75"/>
      <c r="M320" s="75"/>
      <c r="N320" s="72"/>
      <c r="O320" s="69"/>
      <c r="P320" s="69"/>
      <c r="Q320" s="14" t="e">
        <v>#N/A</v>
      </c>
      <c r="R320" s="14" t="e">
        <v>#N/A</v>
      </c>
      <c r="S320" s="14"/>
      <c r="T320" s="73"/>
      <c r="U320" s="14"/>
      <c r="V320" s="14"/>
      <c r="W320" s="14"/>
      <c r="X320" s="69"/>
      <c r="Y320" s="60">
        <f ca="1">Table25[[#This Row],[End Date]]+2-TODAY()</f>
        <v>-46005</v>
      </c>
      <c r="Z320" s="14">
        <f>IF(ISBLANK(Table25[[#This Row],[Roster Received By]]),1,0)</f>
        <v>1</v>
      </c>
      <c r="AA320" s="14">
        <f ca="1">IF(Table25[[#This Row],[Start Date]]&gt;TODAY(),1,)</f>
        <v>0</v>
      </c>
    </row>
    <row r="321" spans="1:27" s="52" customFormat="1" hidden="1" x14ac:dyDescent="0.25">
      <c r="B321" s="88"/>
      <c r="C321" s="70" t="e">
        <v>#N/A</v>
      </c>
      <c r="D321" s="70" t="e">
        <v>#N/A</v>
      </c>
      <c r="E321" s="55"/>
      <c r="F321" s="80"/>
      <c r="G321" s="80"/>
      <c r="H321" s="75"/>
      <c r="I321" s="75"/>
      <c r="J321" s="72"/>
      <c r="K321" s="72"/>
      <c r="L321" s="72"/>
      <c r="M321" s="72"/>
      <c r="N321" s="72"/>
      <c r="O321" s="69"/>
      <c r="P321" s="69"/>
      <c r="Q321" s="14" t="e">
        <v>#N/A</v>
      </c>
      <c r="R321" s="14" t="e">
        <v>#N/A</v>
      </c>
      <c r="S321" s="14"/>
      <c r="T321" s="73"/>
      <c r="U321" s="14"/>
      <c r="V321" s="14"/>
      <c r="W321" s="14"/>
      <c r="X321" s="69"/>
      <c r="Y321" s="60">
        <f ca="1">Table25[[#This Row],[End Date]]+2-TODAY()</f>
        <v>-46005</v>
      </c>
      <c r="Z321" s="14">
        <f>IF(ISBLANK(Table25[[#This Row],[Roster Received By]]),1,0)</f>
        <v>1</v>
      </c>
      <c r="AA321" s="14">
        <f ca="1">IF(Table25[[#This Row],[Start Date]]&gt;TODAY(),1,)</f>
        <v>0</v>
      </c>
    </row>
    <row r="322" spans="1:27" s="52" customFormat="1" hidden="1" x14ac:dyDescent="0.25">
      <c r="B322" s="88"/>
      <c r="C322" s="70" t="e">
        <v>#N/A</v>
      </c>
      <c r="D322" s="70" t="e">
        <v>#N/A</v>
      </c>
      <c r="E322" s="86"/>
      <c r="F322" s="80"/>
      <c r="G322" s="80"/>
      <c r="H322" s="78"/>
      <c r="I322" s="78"/>
      <c r="J322" s="72"/>
      <c r="K322" s="72"/>
      <c r="L322" s="72"/>
      <c r="M322" s="72"/>
      <c r="N322" s="72"/>
      <c r="O322" s="69"/>
      <c r="P322" s="69"/>
      <c r="Q322" s="14" t="e">
        <v>#N/A</v>
      </c>
      <c r="R322" s="14" t="e">
        <v>#N/A</v>
      </c>
      <c r="S322" s="14"/>
      <c r="T322" s="73"/>
      <c r="U322" s="14"/>
      <c r="V322" s="14"/>
      <c r="W322" s="14"/>
      <c r="X322" s="69"/>
      <c r="Y322" s="60">
        <f ca="1">Table25[[#This Row],[End Date]]+2-TODAY()</f>
        <v>-46005</v>
      </c>
      <c r="Z322" s="14">
        <f>IF(ISBLANK(Table25[[#This Row],[Roster Received By]]),1,0)</f>
        <v>1</v>
      </c>
      <c r="AA322" s="14">
        <f ca="1">IF(Table25[[#This Row],[Start Date]]&gt;TODAY(),1,)</f>
        <v>0</v>
      </c>
    </row>
    <row r="323" spans="1:27" s="52" customFormat="1" hidden="1" x14ac:dyDescent="0.25">
      <c r="B323" s="88"/>
      <c r="C323" s="70" t="e">
        <v>#N/A</v>
      </c>
      <c r="D323" s="70" t="e">
        <v>#N/A</v>
      </c>
      <c r="E323" s="86"/>
      <c r="F323" s="80"/>
      <c r="G323" s="80"/>
      <c r="H323" s="72"/>
      <c r="I323" s="71"/>
      <c r="J323" s="71"/>
      <c r="K323" s="71"/>
      <c r="L323" s="71"/>
      <c r="M323" s="71"/>
      <c r="N323" s="71"/>
      <c r="O323" s="69"/>
      <c r="P323" s="69"/>
      <c r="Q323" s="14" t="e">
        <v>#N/A</v>
      </c>
      <c r="R323" s="14" t="e">
        <v>#N/A</v>
      </c>
      <c r="S323" s="14"/>
      <c r="T323" s="73"/>
      <c r="U323" s="14"/>
      <c r="V323" s="14"/>
      <c r="W323" s="14"/>
      <c r="X323" s="69"/>
      <c r="Y323" s="60">
        <f ca="1">Table25[[#This Row],[End Date]]+2-TODAY()</f>
        <v>-46005</v>
      </c>
      <c r="Z323" s="14">
        <f>IF(ISBLANK(Table25[[#This Row],[Roster Received By]]),1,0)</f>
        <v>1</v>
      </c>
      <c r="AA323" s="14">
        <f ca="1">IF(Table25[[#This Row],[Start Date]]&gt;TODAY(),1,)</f>
        <v>0</v>
      </c>
    </row>
    <row r="324" spans="1:27" s="52" customFormat="1" hidden="1" x14ac:dyDescent="0.25">
      <c r="A324" s="69"/>
      <c r="B324" s="88"/>
      <c r="C324" s="70" t="e">
        <v>#N/A</v>
      </c>
      <c r="D324" s="70" t="e">
        <v>#N/A</v>
      </c>
      <c r="E324" s="86"/>
      <c r="F324" s="80"/>
      <c r="G324" s="80"/>
      <c r="H324" s="75"/>
      <c r="I324" s="75"/>
      <c r="J324" s="72"/>
      <c r="K324" s="72"/>
      <c r="L324" s="72"/>
      <c r="M324" s="72"/>
      <c r="N324" s="72"/>
      <c r="O324" s="69"/>
      <c r="P324" s="69"/>
      <c r="Q324" s="14" t="e">
        <v>#N/A</v>
      </c>
      <c r="R324" s="14" t="e">
        <v>#N/A</v>
      </c>
      <c r="S324" s="14"/>
      <c r="T324" s="73"/>
      <c r="U324" s="14"/>
      <c r="V324" s="14"/>
      <c r="W324" s="73"/>
      <c r="X324" s="69"/>
      <c r="Y324" s="60">
        <f ca="1">Table25[[#This Row],[End Date]]+2-TODAY()</f>
        <v>-46005</v>
      </c>
      <c r="Z324" s="14">
        <f>IF(ISBLANK(Table25[[#This Row],[Roster Received By]]),1,0)</f>
        <v>1</v>
      </c>
      <c r="AA324" s="14">
        <f ca="1">IF(Table25[[#This Row],[Start Date]]&gt;TODAY(),1,)</f>
        <v>0</v>
      </c>
    </row>
    <row r="325" spans="1:27" s="52" customFormat="1" hidden="1" x14ac:dyDescent="0.25">
      <c r="B325" s="88"/>
      <c r="C325" s="70" t="e">
        <v>#N/A</v>
      </c>
      <c r="D325" s="70" t="e">
        <v>#N/A</v>
      </c>
      <c r="E325" s="86"/>
      <c r="F325" s="80"/>
      <c r="G325" s="80"/>
      <c r="H325" s="75"/>
      <c r="I325" s="75"/>
      <c r="J325" s="72"/>
      <c r="K325" s="72"/>
      <c r="L325" s="72"/>
      <c r="M325" s="72"/>
      <c r="N325" s="72"/>
      <c r="O325" s="69"/>
      <c r="P325" s="69"/>
      <c r="Q325" s="14" t="e">
        <v>#N/A</v>
      </c>
      <c r="R325" s="14" t="e">
        <v>#N/A</v>
      </c>
      <c r="S325" s="14"/>
      <c r="T325" s="73"/>
      <c r="U325" s="14"/>
      <c r="V325" s="14"/>
      <c r="W325" s="14"/>
      <c r="X325" s="69"/>
      <c r="Y325" s="60">
        <f ca="1">Table25[[#This Row],[End Date]]+2-TODAY()</f>
        <v>-46005</v>
      </c>
      <c r="Z325" s="14">
        <f>IF(ISBLANK(Table25[[#This Row],[Roster Received By]]),1,0)</f>
        <v>1</v>
      </c>
      <c r="AA325" s="14">
        <f ca="1">IF(Table25[[#This Row],[Start Date]]&gt;TODAY(),1,)</f>
        <v>0</v>
      </c>
    </row>
    <row r="326" spans="1:27" s="52" customFormat="1" hidden="1" x14ac:dyDescent="0.25">
      <c r="B326" s="88"/>
      <c r="C326" s="70" t="e">
        <v>#N/A</v>
      </c>
      <c r="D326" s="70" t="e">
        <v>#N/A</v>
      </c>
      <c r="E326" s="86"/>
      <c r="F326" s="80"/>
      <c r="G326" s="80"/>
      <c r="H326" s="72"/>
      <c r="I326" s="71"/>
      <c r="J326" s="71"/>
      <c r="K326" s="71"/>
      <c r="L326" s="71"/>
      <c r="M326" s="71"/>
      <c r="N326" s="71"/>
      <c r="O326" s="69"/>
      <c r="P326" s="69"/>
      <c r="Q326" s="14" t="e">
        <v>#N/A</v>
      </c>
      <c r="R326" s="14" t="e">
        <v>#N/A</v>
      </c>
      <c r="S326" s="14"/>
      <c r="T326" s="73"/>
      <c r="U326" s="14"/>
      <c r="V326" s="14"/>
      <c r="W326" s="70"/>
      <c r="X326" s="69"/>
      <c r="Y326" s="60">
        <f ca="1">Table25[[#This Row],[End Date]]+2-TODAY()</f>
        <v>-46005</v>
      </c>
      <c r="Z326" s="14">
        <f>IF(ISBLANK(Table25[[#This Row],[Roster Received By]]),1,0)</f>
        <v>1</v>
      </c>
      <c r="AA326" s="14">
        <f ca="1">IF(Table25[[#This Row],[Start Date]]&gt;TODAY(),1,)</f>
        <v>0</v>
      </c>
    </row>
    <row r="327" spans="1:27" s="52" customFormat="1" hidden="1" x14ac:dyDescent="0.25">
      <c r="B327" s="88"/>
      <c r="C327" s="70" t="e">
        <v>#N/A</v>
      </c>
      <c r="D327" s="70" t="e">
        <v>#N/A</v>
      </c>
      <c r="E327" s="69"/>
      <c r="F327" s="80"/>
      <c r="G327" s="80"/>
      <c r="H327" s="72"/>
      <c r="I327" s="71"/>
      <c r="J327" s="71"/>
      <c r="K327" s="71"/>
      <c r="L327" s="71"/>
      <c r="M327" s="71"/>
      <c r="N327" s="71"/>
      <c r="O327" s="69"/>
      <c r="P327" s="69"/>
      <c r="Q327" s="14" t="e">
        <v>#N/A</v>
      </c>
      <c r="R327" s="14" t="e">
        <v>#N/A</v>
      </c>
      <c r="S327" s="14"/>
      <c r="T327" s="73"/>
      <c r="U327" s="14"/>
      <c r="V327" s="14"/>
      <c r="W327" s="14"/>
      <c r="X327" s="69"/>
      <c r="Y327" s="60">
        <f ca="1">Table25[[#This Row],[End Date]]+2-TODAY()</f>
        <v>-46005</v>
      </c>
      <c r="Z327" s="14">
        <f>IF(ISBLANK(Table25[[#This Row],[Roster Received By]]),1,0)</f>
        <v>1</v>
      </c>
      <c r="AA327" s="14">
        <f ca="1">IF(Table25[[#This Row],[Start Date]]&gt;TODAY(),1,)</f>
        <v>0</v>
      </c>
    </row>
    <row r="328" spans="1:27" s="52" customFormat="1" hidden="1" x14ac:dyDescent="0.25">
      <c r="B328" s="89"/>
      <c r="C328" s="70" t="e">
        <v>#N/A</v>
      </c>
      <c r="D328" s="70" t="e">
        <v>#N/A</v>
      </c>
      <c r="E328" s="86"/>
      <c r="F328" s="68"/>
      <c r="G328" s="68"/>
      <c r="H328" s="56"/>
      <c r="I328" s="71"/>
      <c r="J328" s="71"/>
      <c r="K328" s="71"/>
      <c r="L328" s="71"/>
      <c r="M328" s="71"/>
      <c r="N328" s="71"/>
      <c r="O328" s="69"/>
      <c r="P328" s="69"/>
      <c r="Q328" s="14" t="e">
        <v>#N/A</v>
      </c>
      <c r="R328" s="14" t="e">
        <v>#N/A</v>
      </c>
      <c r="S328" s="14"/>
      <c r="T328" s="73"/>
      <c r="U328" s="14"/>
      <c r="V328" s="14"/>
      <c r="W328" s="14"/>
      <c r="X328" s="69"/>
      <c r="Y328" s="60">
        <f ca="1">Table25[[#This Row],[End Date]]+2-TODAY()</f>
        <v>-46005</v>
      </c>
      <c r="Z328" s="14">
        <f>IF(ISBLANK(Table25[[#This Row],[Roster Received By]]),1,0)</f>
        <v>1</v>
      </c>
      <c r="AA328" s="14">
        <f ca="1">IF(Table25[[#This Row],[Start Date]]&gt;TODAY(),1,)</f>
        <v>0</v>
      </c>
    </row>
    <row r="329" spans="1:27" s="52" customFormat="1" hidden="1" x14ac:dyDescent="0.25">
      <c r="A329" s="69"/>
      <c r="B329" s="88"/>
      <c r="C329" s="70" t="e">
        <v>#N/A</v>
      </c>
      <c r="D329" s="70" t="e">
        <v>#N/A</v>
      </c>
      <c r="E329" s="86"/>
      <c r="F329" s="80"/>
      <c r="G329" s="80"/>
      <c r="H329" s="72"/>
      <c r="I329" s="71"/>
      <c r="J329" s="71"/>
      <c r="K329" s="71"/>
      <c r="L329" s="71"/>
      <c r="M329" s="71"/>
      <c r="N329" s="71"/>
      <c r="O329" s="69"/>
      <c r="P329" s="69"/>
      <c r="Q329" s="14" t="e">
        <v>#N/A</v>
      </c>
      <c r="R329" s="14" t="e">
        <v>#N/A</v>
      </c>
      <c r="S329" s="14"/>
      <c r="T329" s="73"/>
      <c r="U329" s="14"/>
      <c r="V329" s="14"/>
      <c r="W329" s="14"/>
      <c r="X329" s="69"/>
      <c r="Y329" s="60">
        <f ca="1">Table25[[#This Row],[End Date]]+2-TODAY()</f>
        <v>-46005</v>
      </c>
      <c r="Z329" s="14">
        <f>IF(ISBLANK(Table25[[#This Row],[Roster Received By]]),1,0)</f>
        <v>1</v>
      </c>
      <c r="AA329" s="14">
        <f ca="1">IF(Table25[[#This Row],[Start Date]]&gt;TODAY(),1,)</f>
        <v>0</v>
      </c>
    </row>
    <row r="330" spans="1:27" s="52" customFormat="1" hidden="1" x14ac:dyDescent="0.25">
      <c r="B330" s="88"/>
      <c r="C330" s="70" t="e">
        <v>#N/A</v>
      </c>
      <c r="D330" s="70" t="e">
        <v>#N/A</v>
      </c>
      <c r="E330" s="88"/>
      <c r="F330" s="80"/>
      <c r="G330" s="80"/>
      <c r="H330" s="72"/>
      <c r="I330" s="71"/>
      <c r="J330" s="71"/>
      <c r="K330" s="71"/>
      <c r="L330" s="71"/>
      <c r="M330" s="71"/>
      <c r="N330" s="71"/>
      <c r="O330" s="69"/>
      <c r="P330" s="69"/>
      <c r="Q330" s="14" t="e">
        <v>#N/A</v>
      </c>
      <c r="R330" s="14" t="e">
        <v>#N/A</v>
      </c>
      <c r="S330" s="14"/>
      <c r="T330" s="73"/>
      <c r="U330" s="14"/>
      <c r="V330" s="14"/>
      <c r="W330" s="14"/>
      <c r="X330" s="69"/>
      <c r="Y330" s="60">
        <f ca="1">Table25[[#This Row],[End Date]]+2-TODAY()</f>
        <v>-46005</v>
      </c>
      <c r="Z330" s="14">
        <f>IF(ISBLANK(Table25[[#This Row],[Roster Received By]]),1,0)</f>
        <v>1</v>
      </c>
      <c r="AA330" s="14">
        <f ca="1">IF(Table25[[#This Row],[Start Date]]&gt;TODAY(),1,)</f>
        <v>0</v>
      </c>
    </row>
    <row r="331" spans="1:27" s="52" customFormat="1" hidden="1" x14ac:dyDescent="0.25">
      <c r="B331" s="88"/>
      <c r="C331" s="70" t="e">
        <v>#N/A</v>
      </c>
      <c r="D331" s="70" t="e">
        <v>#N/A</v>
      </c>
      <c r="E331" s="88"/>
      <c r="F331" s="80"/>
      <c r="G331" s="80"/>
      <c r="H331" s="72"/>
      <c r="I331" s="71"/>
      <c r="J331" s="71"/>
      <c r="K331" s="71"/>
      <c r="L331" s="71"/>
      <c r="M331" s="71"/>
      <c r="N331" s="71"/>
      <c r="O331" s="69"/>
      <c r="P331" s="69"/>
      <c r="Q331" s="14" t="e">
        <v>#N/A</v>
      </c>
      <c r="R331" s="14" t="e">
        <v>#N/A</v>
      </c>
      <c r="S331" s="14"/>
      <c r="T331" s="73"/>
      <c r="U331" s="14"/>
      <c r="V331" s="14"/>
      <c r="W331" s="14"/>
      <c r="X331" s="69"/>
      <c r="Y331" s="60">
        <f ca="1">Table25[[#This Row],[End Date]]+2-TODAY()</f>
        <v>-46005</v>
      </c>
      <c r="Z331" s="14">
        <f>IF(ISBLANK(Table25[[#This Row],[Roster Received By]]),1,0)</f>
        <v>1</v>
      </c>
      <c r="AA331" s="14">
        <f ca="1">IF(Table25[[#This Row],[Start Date]]&gt;TODAY(),1,)</f>
        <v>0</v>
      </c>
    </row>
    <row r="332" spans="1:27" s="52" customFormat="1" hidden="1" x14ac:dyDescent="0.25">
      <c r="B332" s="88"/>
      <c r="C332" s="70" t="e">
        <v>#N/A</v>
      </c>
      <c r="D332" s="70" t="e">
        <v>#N/A</v>
      </c>
      <c r="E332" s="88"/>
      <c r="F332" s="80"/>
      <c r="G332" s="80"/>
      <c r="H332" s="72"/>
      <c r="I332" s="71"/>
      <c r="J332" s="71"/>
      <c r="K332" s="71"/>
      <c r="L332" s="71"/>
      <c r="M332" s="71"/>
      <c r="N332" s="71"/>
      <c r="O332" s="69"/>
      <c r="P332" s="69"/>
      <c r="Q332" s="14" t="e">
        <v>#N/A</v>
      </c>
      <c r="R332" s="14" t="e">
        <v>#N/A</v>
      </c>
      <c r="S332" s="14"/>
      <c r="T332" s="73"/>
      <c r="U332" s="14"/>
      <c r="V332" s="14"/>
      <c r="W332" s="14"/>
      <c r="X332" s="69"/>
      <c r="Y332" s="60">
        <f ca="1">Table25[[#This Row],[End Date]]+2-TODAY()</f>
        <v>-46005</v>
      </c>
      <c r="Z332" s="14">
        <f>IF(ISBLANK(Table25[[#This Row],[Roster Received By]]),1,0)</f>
        <v>1</v>
      </c>
      <c r="AA332" s="14">
        <f ca="1">IF(Table25[[#This Row],[Start Date]]&gt;TODAY(),1,)</f>
        <v>0</v>
      </c>
    </row>
    <row r="333" spans="1:27" s="76" customFormat="1" ht="15.75" hidden="1" customHeight="1" x14ac:dyDescent="0.25">
      <c r="A333" s="52"/>
      <c r="B333" s="88"/>
      <c r="C333" s="70" t="e">
        <v>#N/A</v>
      </c>
      <c r="D333" s="70" t="e">
        <v>#N/A</v>
      </c>
      <c r="E333" s="99"/>
      <c r="F333" s="80"/>
      <c r="G333" s="80"/>
      <c r="H333" s="75"/>
      <c r="I333" s="75"/>
      <c r="J333" s="75"/>
      <c r="K333" s="75"/>
      <c r="L333" s="75"/>
      <c r="M333" s="75"/>
      <c r="N333" s="72"/>
      <c r="O333" s="69"/>
      <c r="P333" s="69"/>
      <c r="Q333" s="14" t="e">
        <v>#N/A</v>
      </c>
      <c r="R333" s="14" t="e">
        <v>#N/A</v>
      </c>
      <c r="S333" s="14"/>
      <c r="T333" s="73"/>
      <c r="U333" s="14"/>
      <c r="V333" s="14"/>
      <c r="W333" s="14"/>
      <c r="X333" s="69"/>
      <c r="Y333" s="60">
        <f ca="1">Table25[[#This Row],[End Date]]+2-TODAY()</f>
        <v>-46005</v>
      </c>
      <c r="Z333" s="14">
        <f>IF(ISBLANK(Table25[[#This Row],[Roster Received By]]),1,0)</f>
        <v>1</v>
      </c>
      <c r="AA333" s="14">
        <f ca="1">IF(Table25[[#This Row],[Start Date]]&gt;TODAY(),1,)</f>
        <v>0</v>
      </c>
    </row>
    <row r="334" spans="1:27" s="76" customFormat="1" ht="15.75" hidden="1" customHeight="1" x14ac:dyDescent="0.25">
      <c r="A334" s="69"/>
      <c r="B334" s="88"/>
      <c r="C334" s="70" t="e">
        <v>#N/A</v>
      </c>
      <c r="D334" s="70" t="e">
        <v>#N/A</v>
      </c>
      <c r="E334" s="99"/>
      <c r="F334" s="80"/>
      <c r="G334" s="80"/>
      <c r="H334" s="75"/>
      <c r="I334" s="75"/>
      <c r="J334" s="72"/>
      <c r="K334" s="72"/>
      <c r="L334" s="72"/>
      <c r="M334" s="72"/>
      <c r="N334" s="72"/>
      <c r="O334" s="69"/>
      <c r="P334" s="69"/>
      <c r="Q334" s="14" t="e">
        <v>#N/A</v>
      </c>
      <c r="R334" s="14" t="e">
        <v>#N/A</v>
      </c>
      <c r="S334" s="14"/>
      <c r="T334" s="73"/>
      <c r="U334" s="14"/>
      <c r="V334" s="14"/>
      <c r="W334" s="14"/>
      <c r="X334" s="69"/>
      <c r="Y334" s="60">
        <f ca="1">Table25[[#This Row],[End Date]]+2-TODAY()</f>
        <v>-46005</v>
      </c>
      <c r="Z334" s="14">
        <f>IF(ISBLANK(Table25[[#This Row],[Roster Received By]]),1,0)</f>
        <v>1</v>
      </c>
      <c r="AA334" s="14">
        <f ca="1">IF(Table25[[#This Row],[Start Date]]&gt;TODAY(),1,)</f>
        <v>0</v>
      </c>
    </row>
    <row r="335" spans="1:27" s="76" customFormat="1" ht="15.75" hidden="1" customHeight="1" x14ac:dyDescent="0.25">
      <c r="A335" s="52"/>
      <c r="B335" s="88"/>
      <c r="C335" s="70" t="e">
        <v>#N/A</v>
      </c>
      <c r="D335" s="70" t="e">
        <v>#N/A</v>
      </c>
      <c r="E335" s="88"/>
      <c r="F335" s="80"/>
      <c r="G335" s="80"/>
      <c r="H335" s="72"/>
      <c r="I335" s="71"/>
      <c r="J335" s="71"/>
      <c r="K335" s="71"/>
      <c r="L335" s="71"/>
      <c r="M335" s="71"/>
      <c r="N335" s="71"/>
      <c r="O335" s="69"/>
      <c r="P335" s="69"/>
      <c r="Q335" s="14" t="e">
        <v>#N/A</v>
      </c>
      <c r="R335" s="14" t="e">
        <v>#N/A</v>
      </c>
      <c r="S335" s="14"/>
      <c r="T335" s="73"/>
      <c r="U335" s="14"/>
      <c r="V335" s="14"/>
      <c r="W335" s="77"/>
      <c r="X335" s="69"/>
      <c r="Y335" s="60">
        <f ca="1">Table25[[#This Row],[End Date]]+2-TODAY()</f>
        <v>-46005</v>
      </c>
      <c r="Z335" s="14">
        <f>IF(ISBLANK(Table25[[#This Row],[Roster Received By]]),1,0)</f>
        <v>1</v>
      </c>
      <c r="AA335" s="14">
        <f ca="1">IF(Table25[[#This Row],[Start Date]]&gt;TODAY(),1,)</f>
        <v>0</v>
      </c>
    </row>
    <row r="336" spans="1:27" s="76" customFormat="1" ht="15.75" hidden="1" customHeight="1" x14ac:dyDescent="0.25">
      <c r="A336" s="52"/>
      <c r="B336" s="88"/>
      <c r="C336" s="70" t="e">
        <v>#N/A</v>
      </c>
      <c r="D336" s="70" t="e">
        <v>#N/A</v>
      </c>
      <c r="E336" s="88"/>
      <c r="F336" s="80"/>
      <c r="G336" s="80"/>
      <c r="H336" s="75"/>
      <c r="I336" s="75"/>
      <c r="J336" s="75"/>
      <c r="K336" s="75"/>
      <c r="L336" s="75"/>
      <c r="M336" s="75"/>
      <c r="N336" s="72"/>
      <c r="O336" s="69"/>
      <c r="P336" s="69"/>
      <c r="Q336" s="14" t="e">
        <v>#N/A</v>
      </c>
      <c r="R336" s="14" t="e">
        <v>#N/A</v>
      </c>
      <c r="S336" s="14"/>
      <c r="T336" s="73"/>
      <c r="U336" s="14"/>
      <c r="V336" s="14"/>
      <c r="W336" s="14"/>
      <c r="X336" s="69"/>
      <c r="Y336" s="60">
        <f ca="1">Table25[[#This Row],[End Date]]+2-TODAY()</f>
        <v>-46005</v>
      </c>
      <c r="Z336" s="14">
        <f>IF(ISBLANK(Table25[[#This Row],[Roster Received By]]),1,0)</f>
        <v>1</v>
      </c>
      <c r="AA336" s="14">
        <f ca="1">IF(Table25[[#This Row],[Start Date]]&gt;TODAY(),1,)</f>
        <v>0</v>
      </c>
    </row>
    <row r="337" spans="1:27" s="76" customFormat="1" ht="15.75" hidden="1" customHeight="1" x14ac:dyDescent="0.25">
      <c r="A337" s="52"/>
      <c r="B337" s="86"/>
      <c r="C337" s="70" t="e">
        <v>#N/A</v>
      </c>
      <c r="D337" s="70" t="e">
        <v>#N/A</v>
      </c>
      <c r="E337" s="86"/>
      <c r="F337" s="80"/>
      <c r="G337" s="80"/>
      <c r="H337" s="78"/>
      <c r="I337" s="78"/>
      <c r="J337" s="72"/>
      <c r="K337" s="72"/>
      <c r="L337" s="72"/>
      <c r="M337" s="72"/>
      <c r="N337" s="72"/>
      <c r="O337" s="69"/>
      <c r="P337" s="69"/>
      <c r="Q337" s="14" t="e">
        <v>#N/A</v>
      </c>
      <c r="R337" s="14" t="e">
        <v>#N/A</v>
      </c>
      <c r="S337" s="14"/>
      <c r="T337" s="73"/>
      <c r="U337" s="14"/>
      <c r="V337" s="14"/>
      <c r="W337" s="70"/>
      <c r="X337" s="69"/>
      <c r="Y337" s="60">
        <f ca="1">Table25[[#This Row],[End Date]]+2-TODAY()</f>
        <v>-46005</v>
      </c>
      <c r="Z337" s="14">
        <f>IF(ISBLANK(Table25[[#This Row],[Roster Received By]]),1,0)</f>
        <v>1</v>
      </c>
      <c r="AA337" s="14">
        <f ca="1">IF(Table25[[#This Row],[Start Date]]&gt;TODAY(),1,)</f>
        <v>0</v>
      </c>
    </row>
    <row r="338" spans="1:27" s="76" customFormat="1" ht="15.75" hidden="1" customHeight="1" x14ac:dyDescent="0.25">
      <c r="A338" s="52"/>
      <c r="B338" s="86"/>
      <c r="C338" s="70" t="e">
        <v>#N/A</v>
      </c>
      <c r="D338" s="70" t="e">
        <v>#N/A</v>
      </c>
      <c r="E338" s="69"/>
      <c r="F338" s="80"/>
      <c r="G338" s="80"/>
      <c r="H338" s="78"/>
      <c r="I338" s="78"/>
      <c r="J338" s="72"/>
      <c r="K338" s="72"/>
      <c r="L338" s="72"/>
      <c r="M338" s="72"/>
      <c r="N338" s="72"/>
      <c r="O338" s="69"/>
      <c r="P338" s="69"/>
      <c r="Q338" s="14" t="e">
        <v>#N/A</v>
      </c>
      <c r="R338" s="14" t="e">
        <v>#N/A</v>
      </c>
      <c r="S338" s="14"/>
      <c r="T338" s="73"/>
      <c r="U338" s="14"/>
      <c r="V338" s="14"/>
      <c r="W338" s="14"/>
      <c r="X338" s="69"/>
      <c r="Y338" s="60">
        <f ca="1">Table25[[#This Row],[End Date]]+2-TODAY()</f>
        <v>-46005</v>
      </c>
      <c r="Z338" s="14">
        <f>IF(ISBLANK(Table25[[#This Row],[Roster Received By]]),1,0)</f>
        <v>1</v>
      </c>
      <c r="AA338" s="14">
        <f ca="1">IF(Table25[[#This Row],[Start Date]]&gt;TODAY(),1,)</f>
        <v>0</v>
      </c>
    </row>
    <row r="339" spans="1:27" s="76" customFormat="1" ht="15.75" hidden="1" customHeight="1" x14ac:dyDescent="0.25">
      <c r="A339" s="52"/>
      <c r="B339" s="88"/>
      <c r="C339" s="70" t="e">
        <v>#N/A</v>
      </c>
      <c r="D339" s="70" t="e">
        <v>#N/A</v>
      </c>
      <c r="E339" s="86"/>
      <c r="F339" s="80"/>
      <c r="G339" s="80"/>
      <c r="H339" s="72"/>
      <c r="I339" s="71"/>
      <c r="J339" s="71"/>
      <c r="K339" s="71"/>
      <c r="L339" s="71"/>
      <c r="M339" s="71"/>
      <c r="N339" s="71"/>
      <c r="O339" s="69"/>
      <c r="P339" s="69"/>
      <c r="Q339" s="14" t="e">
        <v>#N/A</v>
      </c>
      <c r="R339" s="14" t="e">
        <v>#N/A</v>
      </c>
      <c r="S339" s="14"/>
      <c r="T339" s="73"/>
      <c r="U339" s="14"/>
      <c r="V339" s="14"/>
      <c r="W339" s="14"/>
      <c r="X339" s="69"/>
      <c r="Y339" s="60">
        <f ca="1">Table25[[#This Row],[End Date]]+2-TODAY()</f>
        <v>-46005</v>
      </c>
      <c r="Z339" s="14">
        <f>IF(ISBLANK(Table25[[#This Row],[Roster Received By]]),1,0)</f>
        <v>1</v>
      </c>
      <c r="AA339" s="14">
        <f ca="1">IF(Table25[[#This Row],[Start Date]]&gt;TODAY(),1,)</f>
        <v>0</v>
      </c>
    </row>
    <row r="340" spans="1:27" s="76" customFormat="1" ht="15.75" hidden="1" customHeight="1" x14ac:dyDescent="0.25">
      <c r="A340" s="52"/>
      <c r="B340" s="86"/>
      <c r="C340" s="70" t="e">
        <v>#N/A</v>
      </c>
      <c r="D340" s="70" t="e">
        <v>#N/A</v>
      </c>
      <c r="E340" s="86"/>
      <c r="F340" s="90"/>
      <c r="G340" s="91"/>
      <c r="H340" s="78"/>
      <c r="I340" s="78"/>
      <c r="J340" s="72"/>
      <c r="K340" s="72"/>
      <c r="L340" s="72"/>
      <c r="M340" s="72"/>
      <c r="N340" s="72"/>
      <c r="O340" s="69"/>
      <c r="P340" s="69"/>
      <c r="Q340" s="14" t="e">
        <v>#N/A</v>
      </c>
      <c r="R340" s="14" t="e">
        <v>#N/A</v>
      </c>
      <c r="S340" s="14"/>
      <c r="T340" s="73"/>
      <c r="U340" s="14"/>
      <c r="V340" s="14"/>
      <c r="W340" s="14"/>
      <c r="X340" s="69"/>
      <c r="Y340" s="60">
        <f ca="1">Table25[[#This Row],[End Date]]+2-TODAY()</f>
        <v>-46005</v>
      </c>
      <c r="Z340" s="14">
        <f>IF(ISBLANK(Table25[[#This Row],[Roster Received By]]),1,0)</f>
        <v>1</v>
      </c>
      <c r="AA340" s="14">
        <f ca="1">IF(Table25[[#This Row],[Start Date]]&gt;TODAY(),1,)</f>
        <v>0</v>
      </c>
    </row>
    <row r="341" spans="1:27" s="76" customFormat="1" ht="15.75" hidden="1" customHeight="1" x14ac:dyDescent="0.25">
      <c r="A341" s="69"/>
      <c r="B341" s="86"/>
      <c r="C341" s="70" t="e">
        <v>#N/A</v>
      </c>
      <c r="D341" s="70" t="e">
        <v>#N/A</v>
      </c>
      <c r="E341" s="86"/>
      <c r="F341" s="102"/>
      <c r="G341" s="102"/>
      <c r="H341" s="78"/>
      <c r="I341" s="78"/>
      <c r="J341" s="72"/>
      <c r="K341" s="72"/>
      <c r="L341" s="72"/>
      <c r="M341" s="72"/>
      <c r="N341" s="72"/>
      <c r="O341" s="69"/>
      <c r="P341" s="69"/>
      <c r="Q341" s="14" t="e">
        <v>#N/A</v>
      </c>
      <c r="R341" s="14" t="e">
        <v>#N/A</v>
      </c>
      <c r="S341" s="14"/>
      <c r="T341" s="73"/>
      <c r="U341" s="14"/>
      <c r="V341" s="14"/>
      <c r="W341" s="14"/>
      <c r="X341" s="69"/>
      <c r="Y341" s="60">
        <f ca="1">Table25[[#This Row],[End Date]]+2-TODAY()</f>
        <v>-46005</v>
      </c>
      <c r="Z341" s="14">
        <f>IF(ISBLANK(Table25[[#This Row],[Roster Received By]]),1,0)</f>
        <v>1</v>
      </c>
      <c r="AA341" s="14">
        <f ca="1">IF(Table25[[#This Row],[Start Date]]&gt;TODAY(),1,)</f>
        <v>0</v>
      </c>
    </row>
    <row r="342" spans="1:27" s="76" customFormat="1" ht="15.75" hidden="1" customHeight="1" x14ac:dyDescent="0.25">
      <c r="A342" s="52"/>
      <c r="B342" s="86"/>
      <c r="C342" s="70" t="e">
        <v>#N/A</v>
      </c>
      <c r="D342" s="70" t="e">
        <v>#N/A</v>
      </c>
      <c r="E342" s="55"/>
      <c r="F342" s="103"/>
      <c r="G342" s="103"/>
      <c r="H342" s="71"/>
      <c r="I342" s="71"/>
      <c r="J342" s="72"/>
      <c r="K342" s="72"/>
      <c r="L342" s="72"/>
      <c r="M342" s="72"/>
      <c r="N342" s="72"/>
      <c r="O342" s="69"/>
      <c r="P342" s="69"/>
      <c r="Q342" s="14" t="e">
        <v>#N/A</v>
      </c>
      <c r="R342" s="14" t="e">
        <v>#N/A</v>
      </c>
      <c r="S342" s="14"/>
      <c r="T342" s="73"/>
      <c r="U342" s="14"/>
      <c r="V342" s="14"/>
      <c r="W342" s="14"/>
      <c r="X342" s="69"/>
      <c r="Y342" s="60">
        <f ca="1">Table25[[#This Row],[End Date]]+2-TODAY()</f>
        <v>-46005</v>
      </c>
      <c r="Z342" s="14">
        <f>IF(ISBLANK(Table25[[#This Row],[Roster Received By]]),1,0)</f>
        <v>1</v>
      </c>
      <c r="AA342" s="14">
        <f ca="1">IF(Table25[[#This Row],[Start Date]]&gt;TODAY(),1,)</f>
        <v>0</v>
      </c>
    </row>
    <row r="343" spans="1:27" s="76" customFormat="1" ht="15.75" hidden="1" customHeight="1" x14ac:dyDescent="0.25">
      <c r="A343" s="69"/>
      <c r="B343" s="88"/>
      <c r="C343" s="70" t="e">
        <v>#N/A</v>
      </c>
      <c r="D343" s="70" t="e">
        <v>#N/A</v>
      </c>
      <c r="E343" s="86"/>
      <c r="F343" s="102"/>
      <c r="G343" s="102"/>
      <c r="H343" s="72"/>
      <c r="I343" s="71"/>
      <c r="J343" s="71"/>
      <c r="K343" s="71"/>
      <c r="L343" s="71"/>
      <c r="M343" s="71"/>
      <c r="N343" s="71"/>
      <c r="O343" s="69"/>
      <c r="P343" s="69"/>
      <c r="Q343" s="14" t="e">
        <v>#N/A</v>
      </c>
      <c r="R343" s="14" t="e">
        <v>#N/A</v>
      </c>
      <c r="S343" s="14"/>
      <c r="T343" s="73"/>
      <c r="U343" s="14"/>
      <c r="V343" s="14"/>
      <c r="W343" s="14"/>
      <c r="X343" s="69"/>
      <c r="Y343" s="60">
        <f ca="1">Table25[[#This Row],[End Date]]+2-TODAY()</f>
        <v>-46005</v>
      </c>
      <c r="Z343" s="14">
        <f>IF(ISBLANK(Table25[[#This Row],[Roster Received By]]),1,0)</f>
        <v>1</v>
      </c>
      <c r="AA343" s="14">
        <f ca="1">IF(Table25[[#This Row],[Start Date]]&gt;TODAY(),1,)</f>
        <v>0</v>
      </c>
    </row>
    <row r="344" spans="1:27" s="76" customFormat="1" ht="15.75" hidden="1" customHeight="1" x14ac:dyDescent="0.25">
      <c r="A344" s="69"/>
      <c r="B344" s="86"/>
      <c r="C344" s="70" t="e">
        <v>#N/A</v>
      </c>
      <c r="D344" s="70" t="e">
        <v>#N/A</v>
      </c>
      <c r="E344" s="86"/>
      <c r="F344" s="102"/>
      <c r="G344" s="102"/>
      <c r="H344" s="75"/>
      <c r="I344" s="75"/>
      <c r="J344" s="72"/>
      <c r="K344" s="72"/>
      <c r="L344" s="72"/>
      <c r="M344" s="72"/>
      <c r="N344" s="72"/>
      <c r="O344" s="69"/>
      <c r="P344" s="69"/>
      <c r="Q344" s="14" t="e">
        <v>#N/A</v>
      </c>
      <c r="R344" s="14" t="e">
        <v>#N/A</v>
      </c>
      <c r="S344" s="14"/>
      <c r="T344" s="73"/>
      <c r="U344" s="14"/>
      <c r="V344" s="14"/>
      <c r="W344" s="14"/>
      <c r="X344" s="69"/>
      <c r="Y344" s="60">
        <f ca="1">Table25[[#This Row],[End Date]]+2-TODAY()</f>
        <v>-46005</v>
      </c>
      <c r="Z344" s="14">
        <f>IF(ISBLANK(Table25[[#This Row],[Roster Received By]]),1,0)</f>
        <v>1</v>
      </c>
      <c r="AA344" s="14">
        <f ca="1">IF(Table25[[#This Row],[Start Date]]&gt;TODAY(),1,)</f>
        <v>0</v>
      </c>
    </row>
    <row r="345" spans="1:27" s="76" customFormat="1" ht="15.75" hidden="1" customHeight="1" x14ac:dyDescent="0.25">
      <c r="A345" s="52"/>
      <c r="B345" s="86"/>
      <c r="C345" s="70" t="e">
        <v>#N/A</v>
      </c>
      <c r="D345" s="70" t="e">
        <v>#N/A</v>
      </c>
      <c r="E345" s="55"/>
      <c r="F345" s="102"/>
      <c r="G345" s="102"/>
      <c r="H345" s="75"/>
      <c r="I345" s="75"/>
      <c r="J345" s="72"/>
      <c r="K345" s="72"/>
      <c r="L345" s="72"/>
      <c r="M345" s="72"/>
      <c r="N345" s="72"/>
      <c r="O345" s="69"/>
      <c r="P345" s="69"/>
      <c r="Q345" s="14" t="e">
        <v>#N/A</v>
      </c>
      <c r="R345" s="14" t="e">
        <v>#N/A</v>
      </c>
      <c r="S345" s="14"/>
      <c r="T345" s="73"/>
      <c r="U345" s="14"/>
      <c r="V345" s="14"/>
      <c r="W345" s="14"/>
      <c r="X345" s="69"/>
      <c r="Y345" s="60">
        <f ca="1">Table25[[#This Row],[End Date]]+2-TODAY()</f>
        <v>-46005</v>
      </c>
      <c r="Z345" s="14">
        <f>IF(ISBLANK(Table25[[#This Row],[Roster Received By]]),1,0)</f>
        <v>1</v>
      </c>
      <c r="AA345" s="14">
        <f ca="1">IF(Table25[[#This Row],[Start Date]]&gt;TODAY(),1,)</f>
        <v>0</v>
      </c>
    </row>
    <row r="346" spans="1:27" s="76" customFormat="1" ht="15.75" hidden="1" customHeight="1" x14ac:dyDescent="0.25">
      <c r="A346" s="52"/>
      <c r="B346" s="86"/>
      <c r="C346" s="70" t="e">
        <v>#N/A</v>
      </c>
      <c r="D346" s="70" t="e">
        <v>#N/A</v>
      </c>
      <c r="E346" s="55"/>
      <c r="F346" s="68"/>
      <c r="G346" s="68"/>
      <c r="H346" s="71"/>
      <c r="I346" s="71"/>
      <c r="J346" s="72"/>
      <c r="K346" s="72"/>
      <c r="L346" s="72"/>
      <c r="M346" s="72"/>
      <c r="N346" s="72"/>
      <c r="O346" s="69"/>
      <c r="P346" s="69"/>
      <c r="Q346" s="14" t="e">
        <v>#N/A</v>
      </c>
      <c r="R346" s="14" t="e">
        <v>#N/A</v>
      </c>
      <c r="S346" s="14"/>
      <c r="T346" s="73"/>
      <c r="U346" s="14"/>
      <c r="V346" s="14"/>
      <c r="W346" s="14"/>
      <c r="X346" s="69"/>
      <c r="Y346" s="60">
        <f ca="1">Table25[[#This Row],[End Date]]+2-TODAY()</f>
        <v>-46005</v>
      </c>
      <c r="Z346" s="14">
        <f>IF(ISBLANK(Table25[[#This Row],[Roster Received By]]),1,0)</f>
        <v>1</v>
      </c>
      <c r="AA346" s="14">
        <f ca="1">IF(Table25[[#This Row],[Start Date]]&gt;TODAY(),1,)</f>
        <v>0</v>
      </c>
    </row>
    <row r="347" spans="1:27" s="76" customFormat="1" ht="15.75" hidden="1" customHeight="1" x14ac:dyDescent="0.25">
      <c r="A347" s="52"/>
      <c r="B347" s="86"/>
      <c r="C347" s="70" t="e">
        <v>#N/A</v>
      </c>
      <c r="D347" s="70" t="e">
        <v>#N/A</v>
      </c>
      <c r="E347" s="86"/>
      <c r="F347" s="80"/>
      <c r="G347" s="80"/>
      <c r="H347" s="72"/>
      <c r="I347" s="71"/>
      <c r="J347" s="71"/>
      <c r="K347" s="71"/>
      <c r="L347" s="71"/>
      <c r="M347" s="71"/>
      <c r="N347" s="71"/>
      <c r="O347" s="69"/>
      <c r="P347" s="69"/>
      <c r="Q347" s="14" t="e">
        <v>#N/A</v>
      </c>
      <c r="R347" s="14" t="e">
        <v>#N/A</v>
      </c>
      <c r="S347" s="14"/>
      <c r="T347" s="73"/>
      <c r="U347" s="14"/>
      <c r="V347" s="14"/>
      <c r="W347" s="14"/>
      <c r="X347" s="69"/>
      <c r="Y347" s="60">
        <f ca="1">Table25[[#This Row],[End Date]]+2-TODAY()</f>
        <v>-46005</v>
      </c>
      <c r="Z347" s="14">
        <f>IF(ISBLANK(Table25[[#This Row],[Roster Received By]]),1,0)</f>
        <v>1</v>
      </c>
      <c r="AA347" s="14">
        <f ca="1">IF(Table25[[#This Row],[Start Date]]&gt;TODAY(),1,)</f>
        <v>0</v>
      </c>
    </row>
    <row r="348" spans="1:27" s="70" customFormat="1" hidden="1" x14ac:dyDescent="0.25">
      <c r="A348" s="52"/>
      <c r="B348" s="88"/>
      <c r="C348" s="70" t="e">
        <v>#N/A</v>
      </c>
      <c r="D348" s="70" t="e">
        <v>#N/A</v>
      </c>
      <c r="E348" s="86"/>
      <c r="F348" s="80"/>
      <c r="G348" s="80"/>
      <c r="H348" s="72"/>
      <c r="I348" s="71"/>
      <c r="J348" s="71"/>
      <c r="K348" s="71"/>
      <c r="L348" s="71"/>
      <c r="M348" s="71"/>
      <c r="N348" s="71"/>
      <c r="O348" s="69"/>
      <c r="P348" s="69"/>
      <c r="Q348" s="14" t="e">
        <v>#N/A</v>
      </c>
      <c r="R348" s="14" t="e">
        <v>#N/A</v>
      </c>
      <c r="S348" s="14"/>
      <c r="T348" s="73"/>
      <c r="U348" s="14"/>
      <c r="V348" s="14"/>
      <c r="W348" s="14"/>
      <c r="X348" s="69"/>
      <c r="Y348" s="60">
        <f ca="1">Table25[[#This Row],[End Date]]+2-TODAY()</f>
        <v>-46005</v>
      </c>
      <c r="Z348" s="14">
        <f>IF(ISBLANK(Table25[[#This Row],[Roster Received By]]),1,0)</f>
        <v>1</v>
      </c>
      <c r="AA348" s="14">
        <f ca="1">IF(Table25[[#This Row],[Start Date]]&gt;TODAY(),1,)</f>
        <v>0</v>
      </c>
    </row>
    <row r="349" spans="1:27" s="52" customFormat="1" hidden="1" x14ac:dyDescent="0.25">
      <c r="B349" s="88"/>
      <c r="C349" s="70" t="e">
        <v>#N/A</v>
      </c>
      <c r="D349" s="70" t="e">
        <v>#N/A</v>
      </c>
      <c r="E349" s="55"/>
      <c r="F349" s="68"/>
      <c r="G349" s="68"/>
      <c r="H349" s="71"/>
      <c r="I349" s="71"/>
      <c r="J349" s="72"/>
      <c r="K349" s="72"/>
      <c r="L349" s="72"/>
      <c r="M349" s="72"/>
      <c r="N349" s="72"/>
      <c r="O349" s="69"/>
      <c r="P349" s="69"/>
      <c r="Q349" s="14" t="e">
        <v>#N/A</v>
      </c>
      <c r="R349" s="14" t="e">
        <v>#N/A</v>
      </c>
      <c r="S349" s="14"/>
      <c r="T349" s="73"/>
      <c r="U349" s="14"/>
      <c r="V349" s="14"/>
      <c r="W349" s="70"/>
      <c r="X349" s="69"/>
      <c r="Y349" s="79">
        <f ca="1">Table25[[#This Row],[End Date]]+2-TODAY()</f>
        <v>-46005</v>
      </c>
      <c r="Z349" s="14">
        <f>IF(ISBLANK(Table25[[#This Row],[Roster Received By]]),1,0)</f>
        <v>1</v>
      </c>
      <c r="AA349" s="70">
        <f ca="1">IF(Table25[[#This Row],[Start Date]]&gt;TODAY(),1,)</f>
        <v>0</v>
      </c>
    </row>
    <row r="350" spans="1:27" s="52" customFormat="1" hidden="1" x14ac:dyDescent="0.25">
      <c r="B350" s="86"/>
      <c r="C350" s="70" t="e">
        <v>#N/A</v>
      </c>
      <c r="D350" s="70" t="e">
        <v>#N/A</v>
      </c>
      <c r="E350" s="98"/>
      <c r="F350" s="101"/>
      <c r="G350" s="101"/>
      <c r="H350" s="138"/>
      <c r="I350" s="71"/>
      <c r="J350" s="71"/>
      <c r="K350" s="71"/>
      <c r="L350" s="71"/>
      <c r="M350" s="71"/>
      <c r="N350" s="71"/>
      <c r="O350" s="69"/>
      <c r="P350" s="69"/>
      <c r="Q350" s="14" t="e">
        <v>#N/A</v>
      </c>
      <c r="R350" s="14" t="e">
        <v>#N/A</v>
      </c>
      <c r="S350" s="14"/>
      <c r="T350" s="73"/>
      <c r="U350" s="14"/>
      <c r="V350" s="14"/>
      <c r="W350" s="70"/>
      <c r="X350" s="69"/>
      <c r="Y350" s="79">
        <f ca="1">Table25[[#This Row],[End Date]]+2-TODAY()</f>
        <v>-46005</v>
      </c>
      <c r="Z350" s="14">
        <f>IF(ISBLANK(Table25[[#This Row],[Roster Received By]]),1,0)</f>
        <v>1</v>
      </c>
      <c r="AA350" s="70">
        <f ca="1">IF(Table25[[#This Row],[Start Date]]&gt;TODAY(),1,)</f>
        <v>0</v>
      </c>
    </row>
    <row r="351" spans="1:27" s="52" customFormat="1" hidden="1" x14ac:dyDescent="0.25">
      <c r="B351" s="86"/>
      <c r="C351" s="70" t="e">
        <v>#N/A</v>
      </c>
      <c r="D351" s="70" t="e">
        <v>#N/A</v>
      </c>
      <c r="E351" s="86"/>
      <c r="F351" s="80"/>
      <c r="G351" s="80"/>
      <c r="H351" s="72"/>
      <c r="I351" s="71"/>
      <c r="J351" s="71"/>
      <c r="K351" s="71"/>
      <c r="L351" s="71"/>
      <c r="M351" s="71"/>
      <c r="N351" s="71"/>
      <c r="O351" s="69"/>
      <c r="P351" s="69"/>
      <c r="Q351" s="14" t="e">
        <v>#N/A</v>
      </c>
      <c r="R351" s="14" t="e">
        <v>#N/A</v>
      </c>
      <c r="S351" s="14"/>
      <c r="T351" s="73"/>
      <c r="U351" s="14"/>
      <c r="V351" s="14"/>
      <c r="W351" s="70"/>
      <c r="X351" s="69"/>
      <c r="Y351" s="79">
        <f ca="1">Table25[[#This Row],[End Date]]+2-TODAY()</f>
        <v>-46005</v>
      </c>
      <c r="Z351" s="14">
        <f>IF(ISBLANK(Table25[[#This Row],[Roster Received By]]),1,0)</f>
        <v>1</v>
      </c>
      <c r="AA351" s="70">
        <f ca="1">IF(Table25[[#This Row],[Start Date]]&gt;TODAY(),1,)</f>
        <v>0</v>
      </c>
    </row>
    <row r="352" spans="1:27" s="52" customFormat="1" hidden="1" x14ac:dyDescent="0.25">
      <c r="B352" s="86"/>
      <c r="C352" s="70" t="e">
        <v>#N/A</v>
      </c>
      <c r="D352" s="70" t="e">
        <v>#N/A</v>
      </c>
      <c r="E352" s="86"/>
      <c r="F352" s="80"/>
      <c r="G352" s="80"/>
      <c r="H352" s="72"/>
      <c r="I352" s="71"/>
      <c r="J352" s="71"/>
      <c r="K352" s="71"/>
      <c r="L352" s="71"/>
      <c r="M352" s="71"/>
      <c r="N352" s="71"/>
      <c r="O352" s="69"/>
      <c r="P352" s="69"/>
      <c r="Q352" s="14" t="e">
        <v>#N/A</v>
      </c>
      <c r="R352" s="14" t="e">
        <v>#N/A</v>
      </c>
      <c r="S352" s="14"/>
      <c r="T352" s="73"/>
      <c r="U352" s="14"/>
      <c r="V352" s="14"/>
      <c r="W352" s="70"/>
      <c r="X352" s="69"/>
      <c r="Y352" s="79">
        <f ca="1">Table25[[#This Row],[End Date]]+2-TODAY()</f>
        <v>-46005</v>
      </c>
      <c r="Z352" s="14">
        <f>IF(ISBLANK(Table25[[#This Row],[Roster Received By]]),1,0)</f>
        <v>1</v>
      </c>
      <c r="AA352" s="70">
        <f ca="1">IF(Table25[[#This Row],[Start Date]]&gt;TODAY(),1,)</f>
        <v>0</v>
      </c>
    </row>
    <row r="353" spans="1:27" s="52" customFormat="1" hidden="1" x14ac:dyDescent="0.25">
      <c r="B353" s="86"/>
      <c r="C353" s="70" t="e">
        <v>#N/A</v>
      </c>
      <c r="D353" s="70" t="e">
        <v>#N/A</v>
      </c>
      <c r="E353" s="86"/>
      <c r="F353" s="80"/>
      <c r="G353" s="80"/>
      <c r="H353" s="75"/>
      <c r="I353" s="75"/>
      <c r="J353" s="75"/>
      <c r="K353" s="75"/>
      <c r="L353" s="75"/>
      <c r="M353" s="75"/>
      <c r="N353" s="72"/>
      <c r="O353" s="69"/>
      <c r="P353" s="69"/>
      <c r="Q353" s="14" t="e">
        <v>#N/A</v>
      </c>
      <c r="R353" s="14" t="e">
        <v>#N/A</v>
      </c>
      <c r="S353" s="14"/>
      <c r="T353" s="73"/>
      <c r="U353" s="14"/>
      <c r="V353" s="14"/>
      <c r="W353" s="70"/>
      <c r="X353" s="69"/>
      <c r="Y353" s="79">
        <f ca="1">Table25[[#This Row],[End Date]]+2-TODAY()</f>
        <v>-46005</v>
      </c>
      <c r="Z353" s="14">
        <f>IF(ISBLANK(Table25[[#This Row],[Roster Received By]]),1,0)</f>
        <v>1</v>
      </c>
      <c r="AA353" s="70">
        <f ca="1">IF(Table25[[#This Row],[Start Date]]&gt;TODAY(),1,)</f>
        <v>0</v>
      </c>
    </row>
    <row r="354" spans="1:27" s="52" customFormat="1" hidden="1" x14ac:dyDescent="0.25">
      <c r="A354" s="69"/>
      <c r="B354" s="88"/>
      <c r="C354" s="70" t="e">
        <v>#N/A</v>
      </c>
      <c r="D354" s="70" t="e">
        <v>#N/A</v>
      </c>
      <c r="E354" s="86"/>
      <c r="F354" s="80"/>
      <c r="G354" s="80"/>
      <c r="H354" s="75"/>
      <c r="I354" s="75"/>
      <c r="J354" s="72"/>
      <c r="K354" s="72"/>
      <c r="L354" s="72"/>
      <c r="M354" s="72"/>
      <c r="N354" s="72"/>
      <c r="O354" s="69"/>
      <c r="P354" s="69"/>
      <c r="Q354" s="14" t="e">
        <v>#N/A</v>
      </c>
      <c r="R354" s="14" t="e">
        <v>#N/A</v>
      </c>
      <c r="S354" s="14"/>
      <c r="T354" s="73"/>
      <c r="U354" s="14"/>
      <c r="V354" s="14"/>
      <c r="W354" s="70"/>
      <c r="X354" s="69"/>
      <c r="Y354" s="79">
        <f ca="1">Table25[[#This Row],[End Date]]+2-TODAY()</f>
        <v>-46005</v>
      </c>
      <c r="Z354" s="14">
        <f>IF(ISBLANK(Table25[[#This Row],[Roster Received By]]),1,0)</f>
        <v>1</v>
      </c>
      <c r="AA354" s="70">
        <f ca="1">IF(Table25[[#This Row],[Start Date]]&gt;TODAY(),1,)</f>
        <v>0</v>
      </c>
    </row>
    <row r="355" spans="1:27" s="52" customFormat="1" hidden="1" x14ac:dyDescent="0.25">
      <c r="B355" s="86"/>
      <c r="C355" s="70" t="e">
        <v>#N/A</v>
      </c>
      <c r="D355" s="70" t="e">
        <v>#N/A</v>
      </c>
      <c r="E355" s="86"/>
      <c r="F355" s="80"/>
      <c r="G355" s="80"/>
      <c r="H355" s="75"/>
      <c r="I355" s="75"/>
      <c r="J355" s="72"/>
      <c r="K355" s="72"/>
      <c r="L355" s="72"/>
      <c r="M355" s="72"/>
      <c r="N355" s="72"/>
      <c r="O355" s="69"/>
      <c r="P355" s="69"/>
      <c r="Q355" s="14" t="e">
        <v>#N/A</v>
      </c>
      <c r="R355" s="14" t="e">
        <v>#N/A</v>
      </c>
      <c r="S355" s="73"/>
      <c r="T355" s="73"/>
      <c r="U355" s="14"/>
      <c r="V355" s="14"/>
      <c r="W355" s="70"/>
      <c r="X355" s="69"/>
      <c r="Y355" s="79">
        <f ca="1">Table25[[#This Row],[End Date]]+2-TODAY()</f>
        <v>-46005</v>
      </c>
      <c r="Z355" s="14">
        <f>IF(ISBLANK(Table25[[#This Row],[Roster Received By]]),1,0)</f>
        <v>1</v>
      </c>
      <c r="AA355" s="70">
        <f ca="1">IF(Table25[[#This Row],[Start Date]]&gt;TODAY(),1,)</f>
        <v>0</v>
      </c>
    </row>
    <row r="356" spans="1:27" s="52" customFormat="1" hidden="1" x14ac:dyDescent="0.25">
      <c r="B356" s="86"/>
      <c r="C356" s="70" t="e">
        <v>#N/A</v>
      </c>
      <c r="D356" s="70" t="e">
        <v>#N/A</v>
      </c>
      <c r="E356" s="55"/>
      <c r="F356" s="80"/>
      <c r="G356" s="80"/>
      <c r="H356" s="75"/>
      <c r="I356" s="75"/>
      <c r="J356" s="72"/>
      <c r="K356" s="72"/>
      <c r="L356" s="72"/>
      <c r="M356" s="72"/>
      <c r="N356" s="72"/>
      <c r="O356" s="69"/>
      <c r="P356" s="69"/>
      <c r="Q356" s="14" t="e">
        <v>#N/A</v>
      </c>
      <c r="R356" s="14" t="e">
        <v>#N/A</v>
      </c>
      <c r="S356" s="14"/>
      <c r="T356" s="73"/>
      <c r="U356" s="14"/>
      <c r="V356" s="14"/>
      <c r="W356" s="70"/>
      <c r="X356" s="69"/>
      <c r="Y356" s="79">
        <f ca="1">Table25[[#This Row],[End Date]]+2-TODAY()</f>
        <v>-46005</v>
      </c>
      <c r="Z356" s="14">
        <f>IF(ISBLANK(Table25[[#This Row],[Roster Received By]]),1,0)</f>
        <v>1</v>
      </c>
      <c r="AA356" s="70">
        <f ca="1">IF(Table25[[#This Row],[Start Date]]&gt;TODAY(),1,)</f>
        <v>0</v>
      </c>
    </row>
    <row r="357" spans="1:27" s="52" customFormat="1" hidden="1" x14ac:dyDescent="0.25">
      <c r="A357" s="69"/>
      <c r="B357" s="88"/>
      <c r="C357" s="70" t="e">
        <v>#N/A</v>
      </c>
      <c r="D357" s="70" t="e">
        <v>#N/A</v>
      </c>
      <c r="E357" s="86"/>
      <c r="F357" s="72"/>
      <c r="G357" s="72"/>
      <c r="H357" s="75"/>
      <c r="I357" s="75"/>
      <c r="J357" s="72"/>
      <c r="K357" s="72"/>
      <c r="L357" s="72"/>
      <c r="M357" s="72"/>
      <c r="N357" s="72"/>
      <c r="O357" s="69"/>
      <c r="P357" s="69"/>
      <c r="Q357" s="14" t="e">
        <v>#N/A</v>
      </c>
      <c r="R357" s="14" t="e">
        <v>#N/A</v>
      </c>
      <c r="S357" s="14"/>
      <c r="T357" s="73"/>
      <c r="U357" s="14"/>
      <c r="V357" s="14"/>
      <c r="W357" s="70"/>
      <c r="X357" s="69"/>
      <c r="Y357" s="79">
        <f ca="1">Table25[[#This Row],[End Date]]+2-TODAY()</f>
        <v>-46005</v>
      </c>
      <c r="Z357" s="14">
        <f>IF(ISBLANK(Table25[[#This Row],[Roster Received By]]),1,0)</f>
        <v>1</v>
      </c>
      <c r="AA357" s="70">
        <f ca="1">IF(Table25[[#This Row],[Start Date]]&gt;TODAY(),1,)</f>
        <v>0</v>
      </c>
    </row>
    <row r="358" spans="1:27" s="52" customFormat="1" hidden="1" x14ac:dyDescent="0.25">
      <c r="B358" s="97"/>
      <c r="C358" s="70" t="e">
        <v>#N/A</v>
      </c>
      <c r="D358" s="70" t="e">
        <v>#N/A</v>
      </c>
      <c r="E358" s="86"/>
      <c r="F358" s="72"/>
      <c r="G358" s="72"/>
      <c r="H358" s="72"/>
      <c r="I358" s="71"/>
      <c r="J358" s="71"/>
      <c r="K358" s="71"/>
      <c r="L358" s="71"/>
      <c r="M358" s="71"/>
      <c r="N358" s="71"/>
      <c r="O358" s="69"/>
      <c r="P358" s="69"/>
      <c r="Q358" s="14" t="e">
        <v>#N/A</v>
      </c>
      <c r="R358" s="14" t="e">
        <v>#N/A</v>
      </c>
      <c r="S358" s="14"/>
      <c r="T358" s="73"/>
      <c r="U358" s="14"/>
      <c r="V358" s="14"/>
      <c r="W358" s="70"/>
      <c r="X358" s="69"/>
      <c r="Y358" s="79">
        <f ca="1">Table25[[#This Row],[End Date]]+2-TODAY()</f>
        <v>-46005</v>
      </c>
      <c r="Z358" s="14">
        <f>IF(ISBLANK(Table25[[#This Row],[Roster Received By]]),1,0)</f>
        <v>1</v>
      </c>
      <c r="AA358" s="70">
        <f ca="1">IF(Table25[[#This Row],[Start Date]]&gt;TODAY(),1,)</f>
        <v>0</v>
      </c>
    </row>
    <row r="359" spans="1:27" s="52" customFormat="1" hidden="1" x14ac:dyDescent="0.25">
      <c r="B359" s="88"/>
      <c r="C359" s="70" t="e">
        <v>#N/A</v>
      </c>
      <c r="D359" s="70" t="e">
        <v>#N/A</v>
      </c>
      <c r="E359" s="86"/>
      <c r="F359" s="72"/>
      <c r="G359" s="72"/>
      <c r="H359" s="75"/>
      <c r="I359" s="75"/>
      <c r="J359" s="72"/>
      <c r="K359" s="72"/>
      <c r="L359" s="72"/>
      <c r="M359" s="72"/>
      <c r="N359" s="72"/>
      <c r="O359" s="69"/>
      <c r="P359" s="69"/>
      <c r="Q359" s="14" t="e">
        <v>#N/A</v>
      </c>
      <c r="R359" s="14" t="e">
        <v>#N/A</v>
      </c>
      <c r="S359" s="14"/>
      <c r="T359" s="73"/>
      <c r="U359" s="14"/>
      <c r="V359" s="14"/>
      <c r="W359" s="70"/>
      <c r="X359" s="69"/>
      <c r="Y359" s="79">
        <f ca="1">Table25[[#This Row],[End Date]]+2-TODAY()</f>
        <v>-46005</v>
      </c>
      <c r="Z359" s="14">
        <f>IF(ISBLANK(Table25[[#This Row],[Roster Received By]]),1,0)</f>
        <v>1</v>
      </c>
      <c r="AA359" s="70">
        <f ca="1">IF(Table25[[#This Row],[Start Date]]&gt;TODAY(),1,)</f>
        <v>0</v>
      </c>
    </row>
    <row r="360" spans="1:27" s="52" customFormat="1" hidden="1" x14ac:dyDescent="0.25">
      <c r="B360" s="86"/>
      <c r="C360" s="70" t="e">
        <v>#N/A</v>
      </c>
      <c r="D360" s="70" t="e">
        <v>#N/A</v>
      </c>
      <c r="E360" s="69"/>
      <c r="F360" s="72"/>
      <c r="G360" s="72"/>
      <c r="H360" s="75"/>
      <c r="I360" s="82"/>
      <c r="J360" s="82"/>
      <c r="K360" s="82"/>
      <c r="L360" s="82"/>
      <c r="M360" s="82"/>
      <c r="N360" s="82"/>
      <c r="O360" s="69"/>
      <c r="P360" s="69"/>
      <c r="Q360" s="14" t="e">
        <v>#N/A</v>
      </c>
      <c r="R360" s="14" t="e">
        <v>#N/A</v>
      </c>
      <c r="S360" s="73"/>
      <c r="T360" s="83"/>
      <c r="U360" s="83"/>
      <c r="V360" s="83"/>
      <c r="W360" s="83"/>
      <c r="X360" s="69"/>
      <c r="Y360" s="83"/>
    </row>
    <row r="361" spans="1:27" s="52" customFormat="1" hidden="1" x14ac:dyDescent="0.25">
      <c r="A361" s="54"/>
      <c r="B361" s="86"/>
      <c r="C361" s="70" t="e">
        <v>#N/A</v>
      </c>
      <c r="D361" s="70" t="e">
        <v>#N/A</v>
      </c>
      <c r="E361" s="86"/>
      <c r="F361" s="72"/>
      <c r="G361" s="72"/>
      <c r="H361" s="72"/>
      <c r="I361" s="71"/>
      <c r="J361" s="71"/>
      <c r="K361" s="71"/>
      <c r="L361" s="71"/>
      <c r="M361" s="71"/>
      <c r="N361" s="71"/>
      <c r="O361" s="69"/>
      <c r="P361" s="69"/>
      <c r="Q361" s="14" t="e">
        <v>#N/A</v>
      </c>
      <c r="R361" s="14" t="e">
        <v>#N/A</v>
      </c>
      <c r="S361" s="14"/>
      <c r="T361" s="73"/>
      <c r="U361" s="14"/>
      <c r="V361" s="14"/>
      <c r="W361" s="70"/>
      <c r="X361" s="69"/>
      <c r="Y361" s="79">
        <f ca="1">Table25[[#This Row],[End Date]]+2-TODAY()</f>
        <v>-46005</v>
      </c>
      <c r="Z361" s="14">
        <f>IF(ISBLANK(Table25[[#This Row],[Roster Received By]]),1,0)</f>
        <v>1</v>
      </c>
      <c r="AA361" s="70">
        <f ca="1">IF(Table25[[#This Row],[Start Date]]&gt;TODAY(),1,)</f>
        <v>0</v>
      </c>
    </row>
    <row r="362" spans="1:27" s="52" customFormat="1" hidden="1" x14ac:dyDescent="0.25">
      <c r="B362" s="86"/>
      <c r="C362" s="70" t="e">
        <v>#N/A</v>
      </c>
      <c r="D362" s="70" t="e">
        <v>#N/A</v>
      </c>
      <c r="E362" s="86"/>
      <c r="F362" s="72"/>
      <c r="G362" s="72"/>
      <c r="H362" s="75"/>
      <c r="I362" s="75"/>
      <c r="J362" s="72"/>
      <c r="K362" s="72"/>
      <c r="L362" s="72"/>
      <c r="M362" s="72"/>
      <c r="N362" s="72"/>
      <c r="O362" s="69"/>
      <c r="P362" s="69"/>
      <c r="Q362" s="14" t="e">
        <v>#N/A</v>
      </c>
      <c r="R362" s="14" t="e">
        <v>#N/A</v>
      </c>
      <c r="S362" s="14"/>
      <c r="T362" s="73"/>
      <c r="U362" s="14"/>
      <c r="V362" s="14"/>
      <c r="W362" s="70"/>
      <c r="X362" s="69"/>
      <c r="Y362" s="79">
        <f ca="1">Table25[[#This Row],[End Date]]+2-TODAY()</f>
        <v>-46005</v>
      </c>
      <c r="Z362" s="14">
        <f>IF(ISBLANK(Table25[[#This Row],[Roster Received By]]),1,0)</f>
        <v>1</v>
      </c>
      <c r="AA362" s="70">
        <f ca="1">IF(Table25[[#This Row],[Start Date]]&gt;TODAY(),1,)</f>
        <v>0</v>
      </c>
    </row>
    <row r="363" spans="1:27" s="52" customFormat="1" hidden="1" x14ac:dyDescent="0.25">
      <c r="A363" s="69"/>
      <c r="B363" s="88"/>
      <c r="C363" s="70" t="e">
        <v>#N/A</v>
      </c>
      <c r="D363" s="70" t="e">
        <v>#N/A</v>
      </c>
      <c r="E363" s="86"/>
      <c r="F363" s="72"/>
      <c r="G363" s="72"/>
      <c r="H363" s="75"/>
      <c r="I363" s="75"/>
      <c r="J363" s="72"/>
      <c r="K363" s="72"/>
      <c r="L363" s="72"/>
      <c r="M363" s="72"/>
      <c r="N363" s="72"/>
      <c r="O363" s="69"/>
      <c r="P363" s="69"/>
      <c r="Q363" s="14" t="e">
        <v>#N/A</v>
      </c>
      <c r="R363" s="14" t="e">
        <v>#N/A</v>
      </c>
      <c r="S363" s="14"/>
      <c r="T363" s="73"/>
      <c r="U363" s="14"/>
      <c r="V363" s="14"/>
      <c r="W363" s="70"/>
      <c r="X363" s="69"/>
      <c r="Y363" s="79">
        <f ca="1">Table25[[#This Row],[End Date]]+2-TODAY()</f>
        <v>-46005</v>
      </c>
      <c r="Z363" s="14">
        <f>IF(ISBLANK(Table25[[#This Row],[Roster Received By]]),1,0)</f>
        <v>1</v>
      </c>
      <c r="AA363" s="70">
        <f ca="1">IF(Table25[[#This Row],[Start Date]]&gt;TODAY(),1,)</f>
        <v>0</v>
      </c>
    </row>
    <row r="364" spans="1:27" s="52" customFormat="1" hidden="1" x14ac:dyDescent="0.25">
      <c r="B364" s="86"/>
      <c r="C364" s="70" t="e">
        <v>#N/A</v>
      </c>
      <c r="D364" s="70" t="e">
        <v>#N/A</v>
      </c>
      <c r="E364" s="86"/>
      <c r="F364" s="72"/>
      <c r="G364" s="72"/>
      <c r="H364" s="72"/>
      <c r="I364" s="71"/>
      <c r="J364" s="71"/>
      <c r="K364" s="71"/>
      <c r="L364" s="71"/>
      <c r="M364" s="71"/>
      <c r="N364" s="71"/>
      <c r="O364" s="69"/>
      <c r="P364" s="69"/>
      <c r="Q364" s="14" t="e">
        <v>#N/A</v>
      </c>
      <c r="R364" s="14" t="e">
        <v>#N/A</v>
      </c>
      <c r="S364" s="14"/>
      <c r="T364" s="73"/>
      <c r="U364" s="14"/>
      <c r="V364" s="14"/>
      <c r="W364" s="70"/>
      <c r="X364" s="69"/>
      <c r="Y364" s="79">
        <f ca="1">Table25[[#This Row],[End Date]]+2-TODAY()</f>
        <v>-46005</v>
      </c>
      <c r="Z364" s="14">
        <f>IF(ISBLANK(Table25[[#This Row],[Roster Received By]]),1,0)</f>
        <v>1</v>
      </c>
      <c r="AA364" s="70">
        <f ca="1">IF(Table25[[#This Row],[Start Date]]&gt;TODAY(),1,)</f>
        <v>0</v>
      </c>
    </row>
    <row r="365" spans="1:27" s="52" customFormat="1" hidden="1" x14ac:dyDescent="0.25">
      <c r="B365" s="86"/>
      <c r="C365" s="70" t="e">
        <v>#N/A</v>
      </c>
      <c r="D365" s="70" t="e">
        <v>#N/A</v>
      </c>
      <c r="E365" s="86"/>
      <c r="F365" s="72"/>
      <c r="G365" s="72"/>
      <c r="H365" s="72"/>
      <c r="I365" s="71"/>
      <c r="J365" s="71"/>
      <c r="K365" s="71"/>
      <c r="L365" s="71"/>
      <c r="M365" s="71"/>
      <c r="N365" s="71"/>
      <c r="O365" s="69"/>
      <c r="P365" s="69"/>
      <c r="Q365" s="14" t="e">
        <v>#N/A</v>
      </c>
      <c r="R365" s="14" t="e">
        <v>#N/A</v>
      </c>
      <c r="S365" s="14"/>
      <c r="T365" s="73"/>
      <c r="U365" s="14"/>
      <c r="V365" s="14"/>
      <c r="W365" s="70"/>
      <c r="X365" s="69"/>
      <c r="Y365" s="79">
        <f ca="1">Table25[[#This Row],[End Date]]+2-TODAY()</f>
        <v>-46005</v>
      </c>
      <c r="Z365" s="14">
        <f>IF(ISBLANK(Table25[[#This Row],[Roster Received By]]),1,0)</f>
        <v>1</v>
      </c>
      <c r="AA365" s="70">
        <f ca="1">IF(Table25[[#This Row],[Start Date]]&gt;TODAY(),1,)</f>
        <v>0</v>
      </c>
    </row>
    <row r="366" spans="1:27" s="52" customFormat="1" hidden="1" x14ac:dyDescent="0.25">
      <c r="B366" s="86"/>
      <c r="C366" s="70" t="e">
        <v>#N/A</v>
      </c>
      <c r="D366" s="70" t="e">
        <v>#N/A</v>
      </c>
      <c r="E366" s="86"/>
      <c r="F366" s="72"/>
      <c r="G366" s="72"/>
      <c r="H366" s="72"/>
      <c r="I366" s="71"/>
      <c r="J366" s="71"/>
      <c r="K366" s="71"/>
      <c r="L366" s="71"/>
      <c r="M366" s="71"/>
      <c r="N366" s="71"/>
      <c r="O366" s="69"/>
      <c r="P366" s="69"/>
      <c r="Q366" s="14" t="e">
        <v>#N/A</v>
      </c>
      <c r="R366" s="14" t="e">
        <v>#N/A</v>
      </c>
      <c r="S366" s="14"/>
      <c r="T366" s="73"/>
      <c r="U366" s="14"/>
      <c r="V366" s="14"/>
      <c r="W366" s="70"/>
      <c r="X366" s="69"/>
      <c r="Y366" s="79">
        <f ca="1">Table25[[#This Row],[End Date]]+2-TODAY()</f>
        <v>-46005</v>
      </c>
      <c r="Z366" s="14">
        <f>IF(ISBLANK(Table25[[#This Row],[Roster Received By]]),1,0)</f>
        <v>1</v>
      </c>
      <c r="AA366" s="70">
        <f ca="1">IF(Table25[[#This Row],[Start Date]]&gt;TODAY(),1,)</f>
        <v>0</v>
      </c>
    </row>
    <row r="367" spans="1:27" s="52" customFormat="1" hidden="1" x14ac:dyDescent="0.25">
      <c r="B367" s="86"/>
      <c r="C367" s="70" t="e">
        <v>#N/A</v>
      </c>
      <c r="D367" s="70" t="e">
        <v>#N/A</v>
      </c>
      <c r="E367" s="69"/>
      <c r="F367" s="72"/>
      <c r="G367" s="72"/>
      <c r="H367" s="72"/>
      <c r="I367" s="71"/>
      <c r="J367" s="71"/>
      <c r="K367" s="71"/>
      <c r="L367" s="71"/>
      <c r="M367" s="71"/>
      <c r="N367" s="71"/>
      <c r="O367" s="69"/>
      <c r="P367" s="69"/>
      <c r="Q367" s="14" t="e">
        <v>#N/A</v>
      </c>
      <c r="R367" s="14" t="e">
        <v>#N/A</v>
      </c>
      <c r="S367" s="14"/>
      <c r="T367" s="73"/>
      <c r="U367" s="14"/>
      <c r="V367" s="14"/>
      <c r="W367" s="70"/>
      <c r="X367" s="69"/>
      <c r="Y367" s="79">
        <f ca="1">Table25[[#This Row],[End Date]]+2-TODAY()</f>
        <v>-46005</v>
      </c>
      <c r="Z367" s="14">
        <f>IF(ISBLANK(Table25[[#This Row],[Roster Received By]]),1,0)</f>
        <v>1</v>
      </c>
      <c r="AA367" s="70">
        <f ca="1">IF(Table25[[#This Row],[Start Date]]&gt;TODAY(),1,)</f>
        <v>0</v>
      </c>
    </row>
    <row r="368" spans="1:27" s="52" customFormat="1" hidden="1" x14ac:dyDescent="0.25">
      <c r="B368" s="86"/>
      <c r="C368" s="70" t="e">
        <v>#N/A</v>
      </c>
      <c r="D368" s="70" t="e">
        <v>#N/A</v>
      </c>
      <c r="E368" s="86"/>
      <c r="F368" s="72"/>
      <c r="G368" s="72"/>
      <c r="H368" s="75"/>
      <c r="I368" s="75"/>
      <c r="J368" s="72"/>
      <c r="K368" s="72"/>
      <c r="L368" s="72"/>
      <c r="M368" s="72"/>
      <c r="N368" s="72"/>
      <c r="O368" s="69"/>
      <c r="P368" s="69"/>
      <c r="Q368" s="14" t="e">
        <v>#N/A</v>
      </c>
      <c r="R368" s="14" t="e">
        <v>#N/A</v>
      </c>
      <c r="S368" s="14"/>
      <c r="T368" s="73"/>
      <c r="U368" s="14"/>
      <c r="V368" s="14"/>
      <c r="W368" s="70"/>
      <c r="X368" s="69"/>
      <c r="Y368" s="79">
        <f ca="1">Table25[[#This Row],[End Date]]+2-TODAY()</f>
        <v>-46005</v>
      </c>
      <c r="Z368" s="14">
        <f>IF(ISBLANK(Table25[[#This Row],[Roster Received By]]),1,0)</f>
        <v>1</v>
      </c>
      <c r="AA368" s="70">
        <f ca="1">IF(Table25[[#This Row],[Start Date]]&gt;TODAY(),1,)</f>
        <v>0</v>
      </c>
    </row>
    <row r="369" spans="1:27" s="52" customFormat="1" hidden="1" x14ac:dyDescent="0.25">
      <c r="B369" s="86"/>
      <c r="C369" s="70" t="e">
        <v>#N/A</v>
      </c>
      <c r="D369" s="70" t="e">
        <v>#N/A</v>
      </c>
      <c r="E369" s="86"/>
      <c r="F369" s="72"/>
      <c r="G369" s="72"/>
      <c r="H369" s="75"/>
      <c r="I369" s="75"/>
      <c r="J369" s="72"/>
      <c r="K369" s="72"/>
      <c r="L369" s="72"/>
      <c r="M369" s="72"/>
      <c r="N369" s="72"/>
      <c r="O369" s="69"/>
      <c r="P369" s="69"/>
      <c r="Q369" s="14" t="e">
        <v>#N/A</v>
      </c>
      <c r="R369" s="14" t="e">
        <v>#N/A</v>
      </c>
      <c r="S369" s="14"/>
      <c r="T369" s="73"/>
      <c r="U369" s="14"/>
      <c r="V369" s="14"/>
      <c r="W369" s="70"/>
      <c r="X369" s="69"/>
      <c r="Y369" s="79">
        <f ca="1">Table25[[#This Row],[End Date]]+2-TODAY()</f>
        <v>-46005</v>
      </c>
      <c r="Z369" s="14">
        <f>IF(ISBLANK(Table25[[#This Row],[Roster Received By]]),1,0)</f>
        <v>1</v>
      </c>
      <c r="AA369" s="70">
        <f ca="1">IF(Table25[[#This Row],[Start Date]]&gt;TODAY(),1,)</f>
        <v>0</v>
      </c>
    </row>
    <row r="370" spans="1:27" s="52" customFormat="1" hidden="1" x14ac:dyDescent="0.25">
      <c r="B370" s="86"/>
      <c r="C370" s="70" t="e">
        <v>#N/A</v>
      </c>
      <c r="D370" s="70" t="e">
        <v>#N/A</v>
      </c>
      <c r="E370" s="86"/>
      <c r="F370" s="72"/>
      <c r="G370" s="72"/>
      <c r="H370" s="75"/>
      <c r="I370" s="75"/>
      <c r="J370" s="72"/>
      <c r="K370" s="72"/>
      <c r="L370" s="72"/>
      <c r="M370" s="72"/>
      <c r="N370" s="72"/>
      <c r="O370" s="69"/>
      <c r="P370" s="69"/>
      <c r="Q370" s="14" t="e">
        <v>#N/A</v>
      </c>
      <c r="R370" s="14" t="e">
        <v>#N/A</v>
      </c>
      <c r="S370" s="14"/>
      <c r="T370" s="73"/>
      <c r="U370" s="14"/>
      <c r="V370" s="14"/>
      <c r="W370" s="70"/>
      <c r="X370" s="69"/>
      <c r="Y370" s="79">
        <f ca="1">Table25[[#This Row],[End Date]]+2-TODAY()</f>
        <v>-46005</v>
      </c>
      <c r="Z370" s="14">
        <f>IF(ISBLANK(Table25[[#This Row],[Roster Received By]]),1,0)</f>
        <v>1</v>
      </c>
      <c r="AA370" s="70">
        <f ca="1">IF(Table25[[#This Row],[Start Date]]&gt;TODAY(),1,)</f>
        <v>0</v>
      </c>
    </row>
    <row r="371" spans="1:27" s="52" customFormat="1" hidden="1" x14ac:dyDescent="0.25">
      <c r="B371" s="86"/>
      <c r="C371" s="70" t="e">
        <v>#N/A</v>
      </c>
      <c r="D371" s="70" t="e">
        <v>#N/A</v>
      </c>
      <c r="E371" s="86"/>
      <c r="F371" s="72"/>
      <c r="G371" s="72"/>
      <c r="H371" s="75"/>
      <c r="I371" s="75"/>
      <c r="J371" s="72"/>
      <c r="K371" s="72"/>
      <c r="L371" s="72"/>
      <c r="M371" s="72"/>
      <c r="N371" s="72"/>
      <c r="O371" s="69"/>
      <c r="P371" s="69"/>
      <c r="Q371" s="14" t="e">
        <v>#N/A</v>
      </c>
      <c r="R371" s="14" t="e">
        <v>#N/A</v>
      </c>
      <c r="S371" s="14"/>
      <c r="T371" s="73"/>
      <c r="U371" s="14"/>
      <c r="V371" s="14"/>
      <c r="W371" s="70"/>
      <c r="X371" s="69"/>
      <c r="Y371" s="79">
        <f ca="1">Table25[[#This Row],[End Date]]+2-TODAY()</f>
        <v>-46005</v>
      </c>
      <c r="Z371" s="14">
        <f>IF(ISBLANK(Table25[[#This Row],[Roster Received By]]),1,0)</f>
        <v>1</v>
      </c>
      <c r="AA371" s="70">
        <f ca="1">IF(Table25[[#This Row],[Start Date]]&gt;TODAY(),1,)</f>
        <v>0</v>
      </c>
    </row>
    <row r="372" spans="1:27" s="52" customFormat="1" hidden="1" x14ac:dyDescent="0.25">
      <c r="B372" s="86"/>
      <c r="C372" s="70" t="e">
        <v>#N/A</v>
      </c>
      <c r="D372" s="70" t="e">
        <v>#N/A</v>
      </c>
      <c r="E372" s="55"/>
      <c r="F372" s="68"/>
      <c r="G372" s="68"/>
      <c r="H372" s="56"/>
      <c r="I372" s="71"/>
      <c r="J372" s="71"/>
      <c r="K372" s="71"/>
      <c r="L372" s="71"/>
      <c r="M372" s="71"/>
      <c r="N372" s="71"/>
      <c r="O372" s="69"/>
      <c r="P372" s="69"/>
      <c r="Q372" s="14" t="e">
        <v>#N/A</v>
      </c>
      <c r="R372" s="14" t="e">
        <v>#N/A</v>
      </c>
      <c r="S372" s="14"/>
      <c r="T372" s="73"/>
      <c r="U372" s="14"/>
      <c r="V372" s="14"/>
      <c r="W372" s="70"/>
      <c r="X372" s="69"/>
      <c r="Y372" s="79">
        <f ca="1">Table25[[#This Row],[End Date]]+2-TODAY()</f>
        <v>-46005</v>
      </c>
      <c r="Z372" s="14">
        <f>IF(ISBLANK(Table25[[#This Row],[Roster Received By]]),1,0)</f>
        <v>1</v>
      </c>
      <c r="AA372" s="70">
        <f ca="1">IF(Table25[[#This Row],[Start Date]]&gt;TODAY(),1,)</f>
        <v>0</v>
      </c>
    </row>
    <row r="373" spans="1:27" s="52" customFormat="1" hidden="1" x14ac:dyDescent="0.25">
      <c r="B373" s="86"/>
      <c r="C373" s="70" t="e">
        <v>#N/A</v>
      </c>
      <c r="D373" s="70" t="e">
        <v>#N/A</v>
      </c>
      <c r="E373" s="86"/>
      <c r="F373" s="80"/>
      <c r="G373" s="80"/>
      <c r="H373" s="75"/>
      <c r="I373" s="75"/>
      <c r="J373" s="72"/>
      <c r="K373" s="72"/>
      <c r="L373" s="72"/>
      <c r="M373" s="72"/>
      <c r="N373" s="72"/>
      <c r="O373" s="69"/>
      <c r="P373" s="69"/>
      <c r="Q373" s="14" t="e">
        <v>#N/A</v>
      </c>
      <c r="R373" s="14" t="e">
        <v>#N/A</v>
      </c>
      <c r="S373" s="14"/>
      <c r="T373" s="73"/>
      <c r="U373" s="14"/>
      <c r="V373" s="14"/>
      <c r="W373" s="70"/>
      <c r="X373" s="69"/>
      <c r="Y373" s="79">
        <f ca="1">Table25[[#This Row],[End Date]]+2-TODAY()</f>
        <v>-46005</v>
      </c>
      <c r="Z373" s="14">
        <f>IF(ISBLANK(Table25[[#This Row],[Roster Received By]]),1,0)</f>
        <v>1</v>
      </c>
      <c r="AA373" s="70">
        <f ca="1">IF(Table25[[#This Row],[Start Date]]&gt;TODAY(),1,)</f>
        <v>0</v>
      </c>
    </row>
    <row r="374" spans="1:27" s="52" customFormat="1" hidden="1" x14ac:dyDescent="0.25">
      <c r="A374" s="69"/>
      <c r="B374" s="86"/>
      <c r="C374" s="70" t="e">
        <v>#N/A</v>
      </c>
      <c r="D374" s="70" t="e">
        <v>#N/A</v>
      </c>
      <c r="E374" s="86"/>
      <c r="F374" s="80"/>
      <c r="G374" s="80"/>
      <c r="H374" s="75"/>
      <c r="I374" s="75"/>
      <c r="J374" s="72"/>
      <c r="K374" s="72"/>
      <c r="L374" s="72"/>
      <c r="M374" s="72"/>
      <c r="N374" s="72"/>
      <c r="O374" s="69"/>
      <c r="P374" s="69"/>
      <c r="Q374" s="14" t="e">
        <v>#N/A</v>
      </c>
      <c r="R374" s="14" t="e">
        <v>#N/A</v>
      </c>
      <c r="S374" s="14"/>
      <c r="T374" s="73"/>
      <c r="U374" s="14"/>
      <c r="V374" s="14"/>
      <c r="W374" s="70"/>
      <c r="X374" s="69"/>
      <c r="Y374" s="79">
        <f ca="1">Table25[[#This Row],[End Date]]+2-TODAY()</f>
        <v>-46005</v>
      </c>
      <c r="Z374" s="14">
        <f>IF(ISBLANK(Table25[[#This Row],[Roster Received By]]),1,0)</f>
        <v>1</v>
      </c>
      <c r="AA374" s="70">
        <f ca="1">IF(Table25[[#This Row],[Start Date]]&gt;TODAY(),1,)</f>
        <v>0</v>
      </c>
    </row>
    <row r="375" spans="1:27" s="52" customFormat="1" hidden="1" x14ac:dyDescent="0.25">
      <c r="B375" s="86"/>
      <c r="C375" s="70" t="e">
        <v>#N/A</v>
      </c>
      <c r="D375" s="70" t="e">
        <v>#N/A</v>
      </c>
      <c r="E375" s="55"/>
      <c r="F375" s="80"/>
      <c r="G375" s="80"/>
      <c r="H375" s="75"/>
      <c r="I375" s="75"/>
      <c r="J375" s="72"/>
      <c r="K375" s="72"/>
      <c r="L375" s="72"/>
      <c r="M375" s="72"/>
      <c r="N375" s="72"/>
      <c r="O375" s="69"/>
      <c r="P375" s="69"/>
      <c r="Q375" s="14" t="e">
        <v>#N/A</v>
      </c>
      <c r="R375" s="14" t="e">
        <v>#N/A</v>
      </c>
      <c r="S375" s="14"/>
      <c r="T375" s="73"/>
      <c r="U375" s="14"/>
      <c r="V375" s="14"/>
      <c r="W375" s="70"/>
      <c r="X375" s="69"/>
      <c r="Y375" s="79">
        <f ca="1">Table25[[#This Row],[End Date]]+2-TODAY()</f>
        <v>-46005</v>
      </c>
      <c r="Z375" s="14">
        <f>IF(ISBLANK(Table25[[#This Row],[Roster Received By]]),1,0)</f>
        <v>1</v>
      </c>
      <c r="AA375" s="70">
        <f ca="1">IF(Table25[[#This Row],[Start Date]]&gt;TODAY(),1,)</f>
        <v>0</v>
      </c>
    </row>
    <row r="376" spans="1:27" s="52" customFormat="1" hidden="1" x14ac:dyDescent="0.25">
      <c r="B376" s="86"/>
      <c r="C376" s="70" t="e">
        <v>#N/A</v>
      </c>
      <c r="D376" s="70" t="e">
        <v>#N/A</v>
      </c>
      <c r="E376" s="86"/>
      <c r="F376" s="80"/>
      <c r="G376" s="80"/>
      <c r="H376" s="75"/>
      <c r="I376" s="75"/>
      <c r="J376" s="72"/>
      <c r="K376" s="72"/>
      <c r="L376" s="72"/>
      <c r="M376" s="72"/>
      <c r="N376" s="72"/>
      <c r="O376" s="69"/>
      <c r="P376" s="69"/>
      <c r="Q376" s="14" t="e">
        <v>#N/A</v>
      </c>
      <c r="R376" s="14" t="e">
        <v>#N/A</v>
      </c>
      <c r="S376" s="14"/>
      <c r="T376" s="73"/>
      <c r="U376" s="14"/>
      <c r="V376" s="14"/>
      <c r="W376" s="70"/>
      <c r="X376" s="69"/>
      <c r="Y376" s="79">
        <f ca="1">Table25[[#This Row],[End Date]]+2-TODAY()</f>
        <v>-46005</v>
      </c>
      <c r="Z376" s="14">
        <f>IF(ISBLANK(Table25[[#This Row],[Roster Received By]]),1,0)</f>
        <v>1</v>
      </c>
      <c r="AA376" s="70">
        <f ca="1">IF(Table25[[#This Row],[Start Date]]&gt;TODAY(),1,)</f>
        <v>0</v>
      </c>
    </row>
    <row r="377" spans="1:27" s="52" customFormat="1" hidden="1" x14ac:dyDescent="0.25">
      <c r="B377" s="86"/>
      <c r="C377" s="70" t="e">
        <v>#N/A</v>
      </c>
      <c r="D377" s="70" t="e">
        <v>#N/A</v>
      </c>
      <c r="E377" s="86"/>
      <c r="F377" s="80"/>
      <c r="G377" s="80"/>
      <c r="H377" s="72"/>
      <c r="I377" s="71"/>
      <c r="J377" s="71"/>
      <c r="K377" s="71"/>
      <c r="L377" s="71"/>
      <c r="M377" s="71"/>
      <c r="N377" s="71"/>
      <c r="O377" s="69"/>
      <c r="P377" s="69"/>
      <c r="Q377" s="14" t="e">
        <v>#N/A</v>
      </c>
      <c r="R377" s="14" t="e">
        <v>#N/A</v>
      </c>
      <c r="S377" s="14"/>
      <c r="T377" s="73"/>
      <c r="U377" s="14"/>
      <c r="V377" s="14"/>
      <c r="W377" s="70"/>
      <c r="X377" s="69"/>
      <c r="Y377" s="79">
        <f ca="1">Table25[[#This Row],[End Date]]+2-TODAY()</f>
        <v>-46005</v>
      </c>
      <c r="Z377" s="14">
        <f>IF(ISBLANK(Table25[[#This Row],[Roster Received By]]),1,0)</f>
        <v>1</v>
      </c>
      <c r="AA377" s="70">
        <f ca="1">IF(Table25[[#This Row],[Start Date]]&gt;TODAY(),1,)</f>
        <v>0</v>
      </c>
    </row>
    <row r="378" spans="1:27" s="52" customFormat="1" hidden="1" x14ac:dyDescent="0.25">
      <c r="B378" s="86"/>
      <c r="C378" s="70" t="e">
        <v>#N/A</v>
      </c>
      <c r="D378" s="70" t="e">
        <v>#N/A</v>
      </c>
      <c r="E378" s="86"/>
      <c r="F378" s="80"/>
      <c r="G378" s="80"/>
      <c r="H378" s="72"/>
      <c r="I378" s="71"/>
      <c r="J378" s="71"/>
      <c r="K378" s="71"/>
      <c r="L378" s="71"/>
      <c r="M378" s="71"/>
      <c r="N378" s="71"/>
      <c r="O378" s="69"/>
      <c r="P378" s="69"/>
      <c r="Q378" s="14" t="e">
        <v>#N/A</v>
      </c>
      <c r="R378" s="14" t="e">
        <v>#N/A</v>
      </c>
      <c r="S378" s="14"/>
      <c r="T378" s="73"/>
      <c r="U378" s="14"/>
      <c r="V378" s="14"/>
      <c r="W378" s="70"/>
      <c r="X378" s="69"/>
      <c r="Y378" s="79">
        <f ca="1">Table25[[#This Row],[End Date]]+2-TODAY()</f>
        <v>-46005</v>
      </c>
      <c r="Z378" s="14">
        <f>IF(ISBLANK(Table25[[#This Row],[Roster Received By]]),1,0)</f>
        <v>1</v>
      </c>
      <c r="AA378" s="70">
        <f ca="1">IF(Table25[[#This Row],[Start Date]]&gt;TODAY(),1,)</f>
        <v>0</v>
      </c>
    </row>
    <row r="379" spans="1:27" s="52" customFormat="1" hidden="1" x14ac:dyDescent="0.25">
      <c r="B379" s="96"/>
      <c r="C379" s="70" t="e">
        <v>#N/A</v>
      </c>
      <c r="D379" s="70" t="e">
        <v>#N/A</v>
      </c>
      <c r="E379" s="86"/>
      <c r="F379" s="80"/>
      <c r="G379" s="80"/>
      <c r="H379" s="72"/>
      <c r="I379" s="71"/>
      <c r="J379" s="71"/>
      <c r="K379" s="71"/>
      <c r="L379" s="71"/>
      <c r="M379" s="71"/>
      <c r="N379" s="71"/>
      <c r="O379" s="69"/>
      <c r="P379" s="69"/>
      <c r="Q379" s="14" t="e">
        <v>#N/A</v>
      </c>
      <c r="R379" s="14" t="e">
        <v>#N/A</v>
      </c>
      <c r="S379" s="14"/>
      <c r="T379" s="73"/>
      <c r="U379" s="14"/>
      <c r="V379" s="14"/>
      <c r="W379" s="70"/>
      <c r="X379" s="69"/>
      <c r="Y379" s="79">
        <f ca="1">Table25[[#This Row],[End Date]]+2-TODAY()</f>
        <v>-46005</v>
      </c>
      <c r="Z379" s="14">
        <f>IF(ISBLANK(Table25[[#This Row],[Roster Received By]]),1,0)</f>
        <v>1</v>
      </c>
      <c r="AA379" s="70">
        <f ca="1">IF(Table25[[#This Row],[Start Date]]&gt;TODAY(),1,)</f>
        <v>0</v>
      </c>
    </row>
    <row r="380" spans="1:27" s="52" customFormat="1" hidden="1" x14ac:dyDescent="0.25">
      <c r="B380" s="86"/>
      <c r="C380" s="70" t="e">
        <v>#N/A</v>
      </c>
      <c r="D380" s="70" t="e">
        <v>#N/A</v>
      </c>
      <c r="E380" s="69"/>
      <c r="F380" s="72"/>
      <c r="G380" s="72"/>
      <c r="H380" s="75"/>
      <c r="I380" s="75"/>
      <c r="J380" s="72"/>
      <c r="K380" s="72"/>
      <c r="L380" s="72"/>
      <c r="M380" s="72"/>
      <c r="N380" s="72"/>
      <c r="O380" s="69"/>
      <c r="P380" s="69"/>
      <c r="Q380" s="14" t="e">
        <v>#N/A</v>
      </c>
      <c r="R380" s="14" t="e">
        <v>#N/A</v>
      </c>
      <c r="S380" s="73"/>
      <c r="T380" s="73"/>
      <c r="U380" s="14"/>
      <c r="V380" s="14"/>
      <c r="W380" s="70"/>
      <c r="X380" s="69"/>
      <c r="Y380" s="79">
        <f ca="1">Table25[[#This Row],[End Date]]+2-TODAY()</f>
        <v>-46005</v>
      </c>
      <c r="Z380" s="14">
        <f>IF(ISBLANK(Table25[[#This Row],[Roster Received By]]),1,0)</f>
        <v>1</v>
      </c>
      <c r="AA380" s="70">
        <f ca="1">IF(Table25[[#This Row],[Start Date]]&gt;TODAY(),1,)</f>
        <v>0</v>
      </c>
    </row>
    <row r="381" spans="1:27" s="52" customFormat="1" hidden="1" x14ac:dyDescent="0.25">
      <c r="B381" s="55"/>
      <c r="C381" s="70" t="e">
        <v>#N/A</v>
      </c>
      <c r="D381" s="70" t="e">
        <v>#N/A</v>
      </c>
      <c r="E381" s="57"/>
      <c r="F381" s="56"/>
      <c r="G381" s="56"/>
      <c r="H381" s="71"/>
      <c r="I381" s="71"/>
      <c r="J381" s="72"/>
      <c r="K381" s="72"/>
      <c r="L381" s="72"/>
      <c r="M381" s="72"/>
      <c r="N381" s="72"/>
      <c r="O381" s="69"/>
      <c r="P381" s="69"/>
      <c r="Q381" s="14" t="e">
        <v>#N/A</v>
      </c>
      <c r="R381" s="14" t="e">
        <v>#N/A</v>
      </c>
      <c r="S381" s="14"/>
      <c r="T381" s="73"/>
      <c r="U381" s="14"/>
      <c r="V381" s="14"/>
      <c r="W381" s="70"/>
      <c r="X381" s="69"/>
      <c r="Y381" s="79">
        <f ca="1">Table25[[#This Row],[End Date]]+2-TODAY()</f>
        <v>-46005</v>
      </c>
      <c r="Z381" s="14">
        <f>IF(ISBLANK(Table25[[#This Row],[Roster Received By]]),1,0)</f>
        <v>1</v>
      </c>
      <c r="AA381" s="70">
        <f ca="1">IF(Table25[[#This Row],[Start Date]]&gt;TODAY(),1,)</f>
        <v>0</v>
      </c>
    </row>
    <row r="382" spans="1:27" s="52" customFormat="1" hidden="1" x14ac:dyDescent="0.25">
      <c r="A382" s="69"/>
      <c r="B382" s="86"/>
      <c r="C382" s="70" t="e">
        <v>#N/A</v>
      </c>
      <c r="D382" s="70" t="e">
        <v>#N/A</v>
      </c>
      <c r="E382" s="92"/>
      <c r="F382" s="72"/>
      <c r="G382" s="72"/>
      <c r="H382" s="72"/>
      <c r="I382" s="71"/>
      <c r="J382" s="71"/>
      <c r="K382" s="71"/>
      <c r="L382" s="71"/>
      <c r="M382" s="71"/>
      <c r="N382" s="71"/>
      <c r="O382" s="69"/>
      <c r="P382" s="69"/>
      <c r="Q382" s="14" t="e">
        <v>#N/A</v>
      </c>
      <c r="R382" s="14" t="e">
        <v>#N/A</v>
      </c>
      <c r="S382" s="14"/>
      <c r="T382" s="73"/>
      <c r="U382" s="14"/>
      <c r="V382" s="14"/>
      <c r="W382" s="70"/>
      <c r="X382" s="69"/>
      <c r="Y382" s="79">
        <f ca="1">Table25[[#This Row],[End Date]]+2-TODAY()</f>
        <v>-46005</v>
      </c>
      <c r="Z382" s="14">
        <f>IF(ISBLANK(Table25[[#This Row],[Roster Received By]]),1,0)</f>
        <v>1</v>
      </c>
      <c r="AA382" s="70">
        <f ca="1">IF(Table25[[#This Row],[Start Date]]&gt;TODAY(),1,)</f>
        <v>0</v>
      </c>
    </row>
    <row r="383" spans="1:27" s="52" customFormat="1" hidden="1" x14ac:dyDescent="0.25">
      <c r="B383" s="86"/>
      <c r="C383" s="70" t="e">
        <v>#N/A</v>
      </c>
      <c r="D383" s="70" t="e">
        <v>#N/A</v>
      </c>
      <c r="E383" s="57"/>
      <c r="F383" s="56"/>
      <c r="G383" s="56"/>
      <c r="H383" s="56"/>
      <c r="I383" s="71"/>
      <c r="J383" s="71"/>
      <c r="K383" s="71"/>
      <c r="L383" s="71"/>
      <c r="M383" s="71"/>
      <c r="N383" s="71"/>
      <c r="O383" s="69"/>
      <c r="P383" s="69"/>
      <c r="Q383" s="14" t="e">
        <v>#N/A</v>
      </c>
      <c r="R383" s="14" t="e">
        <v>#N/A</v>
      </c>
      <c r="S383" s="14"/>
      <c r="T383" s="73"/>
      <c r="U383" s="14"/>
      <c r="V383" s="14"/>
      <c r="W383" s="70"/>
      <c r="X383" s="69"/>
      <c r="Y383" s="79">
        <f ca="1">Table25[[#This Row],[End Date]]+2-TODAY()</f>
        <v>-46005</v>
      </c>
      <c r="Z383" s="14">
        <f>IF(ISBLANK(Table25[[#This Row],[Roster Received By]]),1,0)</f>
        <v>1</v>
      </c>
      <c r="AA383" s="70">
        <f ca="1">IF(Table25[[#This Row],[Start Date]]&gt;TODAY(),1,)</f>
        <v>0</v>
      </c>
    </row>
    <row r="384" spans="1:27" s="52" customFormat="1" hidden="1" x14ac:dyDescent="0.25">
      <c r="B384" s="86"/>
      <c r="C384" s="70" t="e">
        <v>#N/A</v>
      </c>
      <c r="D384" s="70" t="e">
        <v>#N/A</v>
      </c>
      <c r="E384" s="57"/>
      <c r="F384" s="56"/>
      <c r="G384" s="56"/>
      <c r="H384" s="56"/>
      <c r="I384" s="71"/>
      <c r="J384" s="71"/>
      <c r="K384" s="71"/>
      <c r="L384" s="71"/>
      <c r="M384" s="71"/>
      <c r="N384" s="71"/>
      <c r="O384" s="69"/>
      <c r="P384" s="69"/>
      <c r="Q384" s="14" t="e">
        <v>#N/A</v>
      </c>
      <c r="R384" s="14" t="e">
        <v>#N/A</v>
      </c>
      <c r="S384" s="14"/>
      <c r="T384" s="73"/>
      <c r="U384" s="14"/>
      <c r="V384" s="14"/>
      <c r="W384" s="70"/>
      <c r="X384" s="69"/>
      <c r="Y384" s="79">
        <f ca="1">Table25[[#This Row],[End Date]]+2-TODAY()</f>
        <v>-46005</v>
      </c>
      <c r="Z384" s="14">
        <f>IF(ISBLANK(Table25[[#This Row],[Roster Received By]]),1,0)</f>
        <v>1</v>
      </c>
      <c r="AA384" s="70">
        <f ca="1">IF(Table25[[#This Row],[Start Date]]&gt;TODAY(),1,)</f>
        <v>0</v>
      </c>
    </row>
    <row r="385" spans="1:27" s="52" customFormat="1" hidden="1" x14ac:dyDescent="0.25">
      <c r="B385" s="86"/>
      <c r="C385" s="70" t="e">
        <v>#N/A</v>
      </c>
      <c r="D385" s="70" t="e">
        <v>#N/A</v>
      </c>
      <c r="E385" s="57"/>
      <c r="F385" s="56"/>
      <c r="G385" s="56"/>
      <c r="H385" s="71"/>
      <c r="I385" s="71"/>
      <c r="J385" s="72"/>
      <c r="K385" s="72"/>
      <c r="L385" s="72"/>
      <c r="M385" s="72"/>
      <c r="N385" s="72"/>
      <c r="O385" s="69"/>
      <c r="P385" s="69"/>
      <c r="Q385" s="14" t="e">
        <v>#N/A</v>
      </c>
      <c r="R385" s="14" t="e">
        <v>#N/A</v>
      </c>
      <c r="S385" s="14"/>
      <c r="T385" s="73"/>
      <c r="U385" s="14"/>
      <c r="V385" s="14"/>
      <c r="W385" s="70"/>
      <c r="X385" s="69"/>
      <c r="Y385" s="79">
        <f ca="1">Table25[[#This Row],[End Date]]+2-TODAY()</f>
        <v>-46005</v>
      </c>
      <c r="Z385" s="14">
        <f>IF(ISBLANK(Table25[[#This Row],[Roster Received By]]),1,0)</f>
        <v>1</v>
      </c>
      <c r="AA385" s="70">
        <f ca="1">IF(Table25[[#This Row],[Start Date]]&gt;TODAY(),1,)</f>
        <v>0</v>
      </c>
    </row>
    <row r="386" spans="1:27" s="52" customFormat="1" hidden="1" x14ac:dyDescent="0.25">
      <c r="B386" s="86"/>
      <c r="C386" s="70" t="e">
        <v>#N/A</v>
      </c>
      <c r="D386" s="70" t="e">
        <v>#N/A</v>
      </c>
      <c r="E386" s="69"/>
      <c r="F386" s="56"/>
      <c r="G386" s="72"/>
      <c r="H386" s="72"/>
      <c r="I386" s="71"/>
      <c r="J386" s="71"/>
      <c r="K386" s="71"/>
      <c r="L386" s="71"/>
      <c r="M386" s="71"/>
      <c r="N386" s="71"/>
      <c r="O386" s="69"/>
      <c r="P386" s="69"/>
      <c r="Q386" s="14" t="e">
        <v>#N/A</v>
      </c>
      <c r="R386" s="14" t="e">
        <v>#N/A</v>
      </c>
      <c r="S386" s="14"/>
      <c r="T386" s="73"/>
      <c r="U386" s="14"/>
      <c r="V386" s="14"/>
      <c r="W386" s="70"/>
      <c r="X386" s="69"/>
      <c r="Y386" s="79">
        <f ca="1">Table25[[#This Row],[End Date]]+2-TODAY()</f>
        <v>-46005</v>
      </c>
      <c r="Z386" s="14">
        <f>IF(ISBLANK(Table25[[#This Row],[Roster Received By]]),1,0)</f>
        <v>1</v>
      </c>
      <c r="AA386" s="70">
        <f ca="1">IF(Table25[[#This Row],[Start Date]]&gt;TODAY(),1,)</f>
        <v>0</v>
      </c>
    </row>
    <row r="387" spans="1:27" s="52" customFormat="1" hidden="1" x14ac:dyDescent="0.25">
      <c r="B387" s="86"/>
      <c r="C387" s="70" t="e">
        <v>#N/A</v>
      </c>
      <c r="D387" s="70" t="e">
        <v>#N/A</v>
      </c>
      <c r="E387" s="86"/>
      <c r="F387" s="72"/>
      <c r="G387" s="72"/>
      <c r="H387" s="72"/>
      <c r="I387" s="71"/>
      <c r="J387" s="71"/>
      <c r="K387" s="71"/>
      <c r="L387" s="71"/>
      <c r="M387" s="71"/>
      <c r="N387" s="71"/>
      <c r="O387" s="69"/>
      <c r="P387" s="69"/>
      <c r="Q387" s="14" t="e">
        <v>#N/A</v>
      </c>
      <c r="R387" s="14" t="e">
        <v>#N/A</v>
      </c>
      <c r="S387" s="14"/>
      <c r="T387" s="73"/>
      <c r="U387" s="14"/>
      <c r="V387" s="14"/>
      <c r="W387" s="70"/>
      <c r="X387" s="69"/>
      <c r="Y387" s="79">
        <f ca="1">Table25[[#This Row],[End Date]]+2-TODAY()</f>
        <v>-46005</v>
      </c>
      <c r="Z387" s="14">
        <f>IF(ISBLANK(Table25[[#This Row],[Roster Received By]]),1,0)</f>
        <v>1</v>
      </c>
      <c r="AA387" s="70">
        <f ca="1">IF(Table25[[#This Row],[Start Date]]&gt;TODAY(),1,)</f>
        <v>0</v>
      </c>
    </row>
    <row r="388" spans="1:27" s="52" customFormat="1" hidden="1" x14ac:dyDescent="0.25">
      <c r="B388" s="55"/>
      <c r="C388" s="70" t="e">
        <v>#N/A</v>
      </c>
      <c r="D388" s="70" t="e">
        <v>#N/A</v>
      </c>
      <c r="E388" s="57"/>
      <c r="F388" s="56"/>
      <c r="G388" s="56"/>
      <c r="H388" s="71"/>
      <c r="I388" s="71"/>
      <c r="J388" s="72"/>
      <c r="K388" s="72"/>
      <c r="L388" s="72"/>
      <c r="M388" s="72"/>
      <c r="N388" s="72"/>
      <c r="O388" s="69"/>
      <c r="P388" s="69"/>
      <c r="Q388" s="14" t="e">
        <v>#N/A</v>
      </c>
      <c r="R388" s="14" t="e">
        <v>#N/A</v>
      </c>
      <c r="S388" s="14"/>
      <c r="T388" s="73"/>
      <c r="U388" s="14"/>
      <c r="V388" s="14"/>
      <c r="W388" s="70"/>
      <c r="X388" s="69"/>
      <c r="Y388" s="79">
        <f ca="1">Table25[[#This Row],[End Date]]+2-TODAY()</f>
        <v>-46005</v>
      </c>
      <c r="Z388" s="14">
        <f>IF(ISBLANK(Table25[[#This Row],[Roster Received By]]),1,0)</f>
        <v>1</v>
      </c>
      <c r="AA388" s="70">
        <f ca="1">IF(Table25[[#This Row],[Start Date]]&gt;TODAY(),1,)</f>
        <v>0</v>
      </c>
    </row>
    <row r="389" spans="1:27" s="52" customFormat="1" hidden="1" x14ac:dyDescent="0.25">
      <c r="B389" s="86"/>
      <c r="C389" s="70" t="e">
        <v>#N/A</v>
      </c>
      <c r="D389" s="70" t="e">
        <v>#N/A</v>
      </c>
      <c r="E389" s="57"/>
      <c r="F389" s="72"/>
      <c r="G389" s="72"/>
      <c r="H389" s="75"/>
      <c r="I389" s="75"/>
      <c r="J389" s="72"/>
      <c r="K389" s="72"/>
      <c r="L389" s="72"/>
      <c r="M389" s="72"/>
      <c r="N389" s="72"/>
      <c r="O389" s="69"/>
      <c r="P389" s="69"/>
      <c r="Q389" s="14" t="e">
        <v>#N/A</v>
      </c>
      <c r="R389" s="14" t="e">
        <v>#N/A</v>
      </c>
      <c r="S389" s="14"/>
      <c r="T389" s="73"/>
      <c r="U389" s="14"/>
      <c r="V389" s="14"/>
      <c r="W389" s="70"/>
      <c r="X389" s="69"/>
      <c r="Y389" s="79">
        <f ca="1">Table25[[#This Row],[End Date]]+2-TODAY()</f>
        <v>-46005</v>
      </c>
      <c r="Z389" s="14">
        <f>IF(ISBLANK(Table25[[#This Row],[Roster Received By]]),1,0)</f>
        <v>1</v>
      </c>
      <c r="AA389" s="70">
        <f ca="1">IF(Table25[[#This Row],[Start Date]]&gt;TODAY(),1,)</f>
        <v>0</v>
      </c>
    </row>
    <row r="390" spans="1:27" s="52" customFormat="1" hidden="1" x14ac:dyDescent="0.25">
      <c r="A390" s="69"/>
      <c r="B390" s="69"/>
      <c r="C390" s="70" t="e">
        <v>#N/A</v>
      </c>
      <c r="D390" s="70" t="e">
        <v>#N/A</v>
      </c>
      <c r="E390" s="92"/>
      <c r="F390" s="72"/>
      <c r="G390" s="72"/>
      <c r="H390" s="72"/>
      <c r="I390" s="71"/>
      <c r="J390" s="71"/>
      <c r="K390" s="71"/>
      <c r="L390" s="71"/>
      <c r="M390" s="71"/>
      <c r="N390" s="71"/>
      <c r="O390" s="69"/>
      <c r="P390" s="69"/>
      <c r="Q390" s="14" t="e">
        <v>#N/A</v>
      </c>
      <c r="R390" s="14" t="e">
        <v>#N/A</v>
      </c>
      <c r="S390" s="14"/>
      <c r="T390" s="73"/>
      <c r="U390" s="14"/>
      <c r="V390" s="14"/>
      <c r="W390" s="70"/>
      <c r="X390" s="69"/>
      <c r="Y390" s="79">
        <f ca="1">Table25[[#This Row],[End Date]]+2-TODAY()</f>
        <v>-46005</v>
      </c>
      <c r="Z390" s="14">
        <f>IF(ISBLANK(Table25[[#This Row],[Roster Received By]]),1,0)</f>
        <v>1</v>
      </c>
      <c r="AA390" s="70">
        <f ca="1">IF(Table25[[#This Row],[Start Date]]&gt;TODAY(),1,)</f>
        <v>0</v>
      </c>
    </row>
    <row r="391" spans="1:27" s="52" customFormat="1" hidden="1" x14ac:dyDescent="0.25">
      <c r="B391" s="69"/>
      <c r="C391" s="70" t="e">
        <v>#N/A</v>
      </c>
      <c r="D391" s="70" t="e">
        <v>#N/A</v>
      </c>
      <c r="E391" s="92"/>
      <c r="F391" s="72"/>
      <c r="G391" s="72"/>
      <c r="H391" s="72"/>
      <c r="I391" s="71"/>
      <c r="J391" s="71"/>
      <c r="K391" s="71"/>
      <c r="L391" s="71"/>
      <c r="M391" s="71"/>
      <c r="N391" s="71"/>
      <c r="O391" s="69"/>
      <c r="P391" s="69"/>
      <c r="Q391" s="14" t="e">
        <v>#N/A</v>
      </c>
      <c r="R391" s="14" t="e">
        <v>#N/A</v>
      </c>
      <c r="S391" s="14"/>
      <c r="T391" s="73"/>
      <c r="U391" s="14"/>
      <c r="V391" s="14"/>
      <c r="W391" s="70"/>
      <c r="X391" s="69"/>
      <c r="Y391" s="79">
        <f ca="1">Table25[[#This Row],[End Date]]+2-TODAY()</f>
        <v>-46005</v>
      </c>
      <c r="Z391" s="14">
        <f>IF(ISBLANK(Table25[[#This Row],[Roster Received By]]),1,0)</f>
        <v>1</v>
      </c>
      <c r="AA391" s="70">
        <f ca="1">IF(Table25[[#This Row],[Start Date]]&gt;TODAY(),1,)</f>
        <v>0</v>
      </c>
    </row>
    <row r="392" spans="1:27" s="52" customFormat="1" hidden="1" x14ac:dyDescent="0.25">
      <c r="B392" s="86"/>
      <c r="C392" s="70" t="e">
        <v>#N/A</v>
      </c>
      <c r="D392" s="70" t="e">
        <v>#N/A</v>
      </c>
      <c r="E392" s="92"/>
      <c r="F392" s="72"/>
      <c r="G392" s="72"/>
      <c r="H392" s="72"/>
      <c r="I392" s="71"/>
      <c r="J392" s="71"/>
      <c r="K392" s="71"/>
      <c r="L392" s="71"/>
      <c r="M392" s="71"/>
      <c r="N392" s="71"/>
      <c r="O392" s="69"/>
      <c r="P392" s="69"/>
      <c r="Q392" s="14" t="e">
        <v>#N/A</v>
      </c>
      <c r="R392" s="14" t="e">
        <v>#N/A</v>
      </c>
      <c r="S392" s="14"/>
      <c r="T392" s="73"/>
      <c r="U392" s="14"/>
      <c r="V392" s="14"/>
      <c r="W392" s="70"/>
      <c r="X392" s="69"/>
      <c r="Y392" s="79">
        <f ca="1">Table25[[#This Row],[End Date]]+2-TODAY()</f>
        <v>-46005</v>
      </c>
      <c r="Z392" s="14">
        <f>IF(ISBLANK(Table25[[#This Row],[Roster Received By]]),1,0)</f>
        <v>1</v>
      </c>
      <c r="AA392" s="70">
        <f ca="1">IF(Table25[[#This Row],[Start Date]]&gt;TODAY(),1,)</f>
        <v>0</v>
      </c>
    </row>
    <row r="393" spans="1:27" s="52" customFormat="1" hidden="1" x14ac:dyDescent="0.25">
      <c r="B393" s="86"/>
      <c r="C393" s="70" t="e">
        <v>#N/A</v>
      </c>
      <c r="D393" s="70" t="e">
        <v>#N/A</v>
      </c>
      <c r="E393" s="57"/>
      <c r="F393" s="72"/>
      <c r="G393" s="72"/>
      <c r="H393" s="78"/>
      <c r="I393" s="78"/>
      <c r="J393" s="72"/>
      <c r="K393" s="72"/>
      <c r="L393" s="72"/>
      <c r="M393" s="72"/>
      <c r="N393" s="72"/>
      <c r="O393" s="69"/>
      <c r="P393" s="69"/>
      <c r="Q393" s="14" t="e">
        <v>#N/A</v>
      </c>
      <c r="R393" s="14" t="e">
        <v>#N/A</v>
      </c>
      <c r="S393" s="14"/>
      <c r="T393" s="73"/>
      <c r="U393" s="14"/>
      <c r="V393" s="14"/>
      <c r="W393" s="70"/>
      <c r="X393" s="69"/>
      <c r="Y393" s="79">
        <f ca="1">Table25[[#This Row],[End Date]]+2-TODAY()</f>
        <v>-46005</v>
      </c>
      <c r="Z393" s="14">
        <f>IF(ISBLANK(Table25[[#This Row],[Roster Received By]]),1,0)</f>
        <v>1</v>
      </c>
      <c r="AA393" s="70">
        <f ca="1">IF(Table25[[#This Row],[Start Date]]&gt;TODAY(),1,)</f>
        <v>0</v>
      </c>
    </row>
    <row r="394" spans="1:27" s="52" customFormat="1" hidden="1" x14ac:dyDescent="0.25">
      <c r="B394" s="69"/>
      <c r="C394" s="70" t="e">
        <v>#N/A</v>
      </c>
      <c r="D394" s="70" t="e">
        <v>#N/A</v>
      </c>
      <c r="E394" s="69"/>
      <c r="F394" s="72"/>
      <c r="G394" s="72"/>
      <c r="H394" s="72"/>
      <c r="I394" s="71"/>
      <c r="J394" s="71"/>
      <c r="K394" s="71"/>
      <c r="L394" s="71"/>
      <c r="M394" s="71"/>
      <c r="N394" s="71"/>
      <c r="O394" s="69"/>
      <c r="P394" s="69"/>
      <c r="Q394" s="14" t="e">
        <v>#N/A</v>
      </c>
      <c r="R394" s="14" t="e">
        <v>#N/A</v>
      </c>
      <c r="S394" s="14"/>
      <c r="T394" s="73"/>
      <c r="U394" s="14"/>
      <c r="V394" s="14"/>
      <c r="W394" s="70"/>
      <c r="X394" s="69"/>
      <c r="Y394" s="79">
        <f ca="1">Table25[[#This Row],[End Date]]+2-TODAY()</f>
        <v>-46005</v>
      </c>
      <c r="Z394" s="14">
        <f>IF(ISBLANK(Table25[[#This Row],[Roster Received By]]),1,0)</f>
        <v>1</v>
      </c>
      <c r="AA394" s="70">
        <f ca="1">IF(Table25[[#This Row],[Start Date]]&gt;TODAY(),1,)</f>
        <v>0</v>
      </c>
    </row>
    <row r="395" spans="1:27" s="52" customFormat="1" hidden="1" x14ac:dyDescent="0.25">
      <c r="A395" s="69"/>
      <c r="B395" s="69"/>
      <c r="C395" s="70" t="e">
        <v>#N/A</v>
      </c>
      <c r="D395" s="70" t="e">
        <v>#N/A</v>
      </c>
      <c r="E395" s="92"/>
      <c r="F395" s="72"/>
      <c r="G395" s="72"/>
      <c r="H395" s="72"/>
      <c r="I395" s="71"/>
      <c r="J395" s="71"/>
      <c r="K395" s="71"/>
      <c r="L395" s="71"/>
      <c r="M395" s="71"/>
      <c r="N395" s="71"/>
      <c r="O395" s="69"/>
      <c r="P395" s="69"/>
      <c r="Q395" s="14" t="e">
        <v>#N/A</v>
      </c>
      <c r="R395" s="14" t="e">
        <v>#N/A</v>
      </c>
      <c r="S395" s="14"/>
      <c r="T395" s="73"/>
      <c r="U395" s="14"/>
      <c r="V395" s="14"/>
      <c r="W395" s="70"/>
      <c r="X395" s="69"/>
      <c r="Y395" s="79">
        <f ca="1">Table25[[#This Row],[End Date]]+2-TODAY()</f>
        <v>-46005</v>
      </c>
      <c r="Z395" s="14">
        <f>IF(ISBLANK(Table25[[#This Row],[Roster Received By]]),1,0)</f>
        <v>1</v>
      </c>
      <c r="AA395" s="70">
        <f ca="1">IF(Table25[[#This Row],[Start Date]]&gt;TODAY(),1,)</f>
        <v>0</v>
      </c>
    </row>
    <row r="396" spans="1:27" s="52" customFormat="1" hidden="1" x14ac:dyDescent="0.25">
      <c r="B396" s="69"/>
      <c r="C396" s="70" t="e">
        <v>#N/A</v>
      </c>
      <c r="D396" s="70" t="e">
        <v>#N/A</v>
      </c>
      <c r="E396" s="92"/>
      <c r="F396" s="72"/>
      <c r="G396" s="72"/>
      <c r="H396" s="75"/>
      <c r="I396" s="75"/>
      <c r="J396" s="72"/>
      <c r="K396" s="72"/>
      <c r="L396" s="95"/>
      <c r="M396" s="72"/>
      <c r="N396" s="72"/>
      <c r="O396" s="69"/>
      <c r="P396" s="69"/>
      <c r="Q396" s="14" t="e">
        <v>#N/A</v>
      </c>
      <c r="R396" s="14" t="e">
        <v>#N/A</v>
      </c>
      <c r="S396" s="73"/>
      <c r="T396" s="73"/>
      <c r="U396" s="14"/>
      <c r="V396" s="14"/>
      <c r="W396" s="70"/>
      <c r="X396" s="69"/>
      <c r="Y396" s="79">
        <f ca="1">Table25[[#This Row],[End Date]]+2-TODAY()</f>
        <v>-46005</v>
      </c>
      <c r="Z396" s="14">
        <f>IF(ISBLANK(Table25[[#This Row],[Roster Received By]]),1,0)</f>
        <v>1</v>
      </c>
      <c r="AA396" s="70">
        <f ca="1">IF(Table25[[#This Row],[Start Date]]&gt;TODAY(),1,)</f>
        <v>0</v>
      </c>
    </row>
    <row r="397" spans="1:27" s="52" customFormat="1" hidden="1" x14ac:dyDescent="0.25">
      <c r="B397" s="69"/>
      <c r="C397" s="70" t="e">
        <v>#N/A</v>
      </c>
      <c r="D397" s="70" t="e">
        <v>#N/A</v>
      </c>
      <c r="E397" s="92"/>
      <c r="F397" s="72"/>
      <c r="G397" s="72"/>
      <c r="H397" s="75"/>
      <c r="I397" s="75"/>
      <c r="J397" s="72"/>
      <c r="K397" s="72"/>
      <c r="L397" s="72"/>
      <c r="M397" s="72"/>
      <c r="N397" s="72"/>
      <c r="O397" s="69"/>
      <c r="P397" s="69"/>
      <c r="Q397" s="14" t="e">
        <v>#N/A</v>
      </c>
      <c r="R397" s="14" t="e">
        <v>#N/A</v>
      </c>
      <c r="S397" s="14"/>
      <c r="T397" s="73"/>
      <c r="U397" s="14"/>
      <c r="V397" s="14"/>
      <c r="W397" s="14"/>
      <c r="X397" s="69"/>
      <c r="Y397" s="60">
        <f ca="1">Table25[[#This Row],[End Date]]+2-TODAY()</f>
        <v>-46005</v>
      </c>
      <c r="Z397" s="14">
        <f>IF(ISBLANK(Table25[[#This Row],[Roster Received By]]),1,0)</f>
        <v>1</v>
      </c>
      <c r="AA397" s="14">
        <f ca="1">IF(Table25[[#This Row],[Start Date]]&gt;TODAY(),1,)</f>
        <v>0</v>
      </c>
    </row>
    <row r="398" spans="1:27" s="52" customFormat="1" hidden="1" x14ac:dyDescent="0.25">
      <c r="B398" s="69"/>
      <c r="C398" s="70" t="e">
        <v>#N/A</v>
      </c>
      <c r="D398" s="70" t="e">
        <v>#N/A</v>
      </c>
      <c r="E398" s="55"/>
      <c r="F398" s="56"/>
      <c r="G398" s="56"/>
      <c r="H398" s="71"/>
      <c r="I398" s="71"/>
      <c r="J398" s="72"/>
      <c r="K398" s="72"/>
      <c r="L398" s="72"/>
      <c r="M398" s="72"/>
      <c r="N398" s="72"/>
      <c r="O398" s="69"/>
      <c r="P398" s="69"/>
      <c r="Q398" s="14" t="e">
        <v>#N/A</v>
      </c>
      <c r="R398" s="14" t="e">
        <v>#N/A</v>
      </c>
      <c r="S398" s="14"/>
      <c r="T398" s="73"/>
      <c r="U398" s="14"/>
      <c r="V398" s="14"/>
      <c r="W398" s="14"/>
      <c r="X398" s="69"/>
      <c r="Y398" s="60">
        <f ca="1">Table25[[#This Row],[End Date]]+2-TODAY()</f>
        <v>-46005</v>
      </c>
      <c r="Z398" s="14">
        <f>IF(ISBLANK(Table25[[#This Row],[Roster Received By]]),1,0)</f>
        <v>1</v>
      </c>
      <c r="AA398" s="14">
        <f ca="1">IF(Table25[[#This Row],[Start Date]]&gt;TODAY(),1,)</f>
        <v>0</v>
      </c>
    </row>
    <row r="399" spans="1:27" s="52" customFormat="1" hidden="1" x14ac:dyDescent="0.25">
      <c r="B399" s="69"/>
      <c r="C399" s="70" t="e">
        <v>#N/A</v>
      </c>
      <c r="D399" s="70" t="e">
        <v>#N/A</v>
      </c>
      <c r="E399" s="57"/>
      <c r="F399" s="72"/>
      <c r="G399" s="72"/>
      <c r="H399" s="75"/>
      <c r="I399" s="75"/>
      <c r="J399" s="72"/>
      <c r="K399" s="72"/>
      <c r="L399" s="72"/>
      <c r="M399" s="72"/>
      <c r="N399" s="72"/>
      <c r="O399" s="69"/>
      <c r="P399" s="69"/>
      <c r="Q399" s="14" t="e">
        <v>#N/A</v>
      </c>
      <c r="R399" s="14" t="e">
        <v>#N/A</v>
      </c>
      <c r="S399" s="14"/>
      <c r="T399" s="73"/>
      <c r="U399" s="14"/>
      <c r="V399" s="14"/>
      <c r="W399" s="70"/>
      <c r="X399" s="69"/>
      <c r="Y399" s="79">
        <f ca="1">Table25[[#This Row],[End Date]]+2-TODAY()</f>
        <v>-46005</v>
      </c>
      <c r="Z399" s="14">
        <f>IF(ISBLANK(Table25[[#This Row],[Roster Received By]]),1,0)</f>
        <v>1</v>
      </c>
      <c r="AA399" s="70">
        <f ca="1">IF(Table25[[#This Row],[Start Date]]&gt;TODAY(),1,)</f>
        <v>0</v>
      </c>
    </row>
    <row r="400" spans="1:27" s="52" customFormat="1" hidden="1" x14ac:dyDescent="0.25">
      <c r="B400" s="86"/>
      <c r="C400" s="70" t="e">
        <v>#N/A</v>
      </c>
      <c r="D400" s="70" t="e">
        <v>#N/A</v>
      </c>
      <c r="E400" s="57"/>
      <c r="F400" s="72"/>
      <c r="G400" s="72"/>
      <c r="H400" s="75"/>
      <c r="I400" s="75"/>
      <c r="J400" s="72"/>
      <c r="K400" s="72"/>
      <c r="L400" s="72"/>
      <c r="M400" s="72"/>
      <c r="N400" s="72"/>
      <c r="O400" s="69"/>
      <c r="P400" s="69"/>
      <c r="Q400" s="14" t="e">
        <v>#N/A</v>
      </c>
      <c r="R400" s="14" t="e">
        <v>#N/A</v>
      </c>
      <c r="S400" s="14"/>
      <c r="T400" s="73"/>
      <c r="U400" s="14"/>
      <c r="V400" s="14"/>
      <c r="W400" s="70"/>
      <c r="X400" s="69"/>
      <c r="Y400" s="79">
        <f ca="1">Table25[[#This Row],[End Date]]+2-TODAY()</f>
        <v>-46005</v>
      </c>
      <c r="Z400" s="14">
        <f>IF(ISBLANK(Table25[[#This Row],[Roster Received By]]),1,0)</f>
        <v>1</v>
      </c>
      <c r="AA400" s="70">
        <f ca="1">IF(Table25[[#This Row],[Start Date]]&gt;TODAY(),1,)</f>
        <v>0</v>
      </c>
    </row>
    <row r="401" spans="1:27" s="52" customFormat="1" hidden="1" x14ac:dyDescent="0.25">
      <c r="B401" s="69"/>
      <c r="C401" s="70" t="e">
        <v>#N/A</v>
      </c>
      <c r="D401" s="70" t="e">
        <v>#N/A</v>
      </c>
      <c r="E401" s="92"/>
      <c r="F401" s="72"/>
      <c r="G401" s="72"/>
      <c r="H401" s="75"/>
      <c r="I401" s="75"/>
      <c r="J401" s="72"/>
      <c r="K401" s="72"/>
      <c r="L401" s="72"/>
      <c r="M401" s="72"/>
      <c r="N401" s="72"/>
      <c r="O401" s="69"/>
      <c r="P401" s="69"/>
      <c r="Q401" s="14" t="e">
        <v>#N/A</v>
      </c>
      <c r="R401" s="14" t="e">
        <v>#N/A</v>
      </c>
      <c r="S401" s="73"/>
      <c r="T401" s="73"/>
      <c r="U401" s="14"/>
      <c r="V401" s="14"/>
      <c r="W401" s="70"/>
      <c r="X401" s="69"/>
      <c r="Y401" s="79">
        <f ca="1">Table25[[#This Row],[End Date]]+2-TODAY()</f>
        <v>-46005</v>
      </c>
      <c r="Z401" s="14">
        <f>IF(ISBLANK(Table25[[#This Row],[Roster Received By]]),1,0)</f>
        <v>1</v>
      </c>
      <c r="AA401" s="70">
        <f ca="1">IF(Table25[[#This Row],[Start Date]]&gt;TODAY(),1,)</f>
        <v>0</v>
      </c>
    </row>
    <row r="402" spans="1:27" s="52" customFormat="1" hidden="1" x14ac:dyDescent="0.25">
      <c r="B402" s="69"/>
      <c r="C402" s="70" t="e">
        <v>#N/A</v>
      </c>
      <c r="D402" s="70" t="e">
        <v>#N/A</v>
      </c>
      <c r="E402" s="92"/>
      <c r="F402" s="72"/>
      <c r="G402" s="72"/>
      <c r="H402" s="75"/>
      <c r="I402" s="75"/>
      <c r="J402" s="75"/>
      <c r="K402" s="75"/>
      <c r="L402" s="75"/>
      <c r="M402" s="75"/>
      <c r="N402" s="75"/>
      <c r="O402" s="69"/>
      <c r="P402" s="69"/>
      <c r="Q402" s="14" t="e">
        <v>#N/A</v>
      </c>
      <c r="R402" s="14" t="e">
        <v>#N/A</v>
      </c>
      <c r="S402" s="14"/>
      <c r="T402" s="73"/>
      <c r="U402" s="14"/>
      <c r="V402" s="14"/>
      <c r="W402" s="14"/>
      <c r="X402" s="69"/>
      <c r="Y402" s="79">
        <f ca="1">Table25[[#This Row],[End Date]]+2-TODAY()</f>
        <v>-46005</v>
      </c>
      <c r="Z402" s="14">
        <f>IF(ISBLANK(Table25[[#This Row],[Roster Received By]]),1,0)</f>
        <v>1</v>
      </c>
      <c r="AA402" s="70">
        <f ca="1">IF(Table25[[#This Row],[Start Date]]&gt;TODAY(),1,)</f>
        <v>0</v>
      </c>
    </row>
    <row r="403" spans="1:27" s="52" customFormat="1" hidden="1" x14ac:dyDescent="0.25">
      <c r="B403" s="69"/>
      <c r="C403" s="70" t="e">
        <v>#N/A</v>
      </c>
      <c r="D403" s="70" t="e">
        <v>#N/A</v>
      </c>
      <c r="E403" s="69"/>
      <c r="F403" s="72"/>
      <c r="G403" s="72"/>
      <c r="H403" s="72"/>
      <c r="I403" s="71"/>
      <c r="J403" s="71"/>
      <c r="K403" s="71"/>
      <c r="L403" s="71"/>
      <c r="M403" s="71"/>
      <c r="N403" s="71"/>
      <c r="O403" s="69"/>
      <c r="P403" s="69"/>
      <c r="Q403" s="14" t="e">
        <v>#N/A</v>
      </c>
      <c r="R403" s="14" t="e">
        <v>#N/A</v>
      </c>
      <c r="S403" s="14"/>
      <c r="T403" s="73"/>
      <c r="U403" s="14"/>
      <c r="V403" s="14"/>
      <c r="W403" s="70"/>
      <c r="X403" s="69"/>
      <c r="Y403" s="79">
        <f ca="1">Table25[[#This Row],[End Date]]+2-TODAY()</f>
        <v>-46005</v>
      </c>
      <c r="Z403" s="14">
        <f>IF(ISBLANK(Table25[[#This Row],[Roster Received By]]),1,0)</f>
        <v>1</v>
      </c>
      <c r="AA403" s="70">
        <f ca="1">IF(Table25[[#This Row],[Start Date]]&gt;TODAY(),1,)</f>
        <v>0</v>
      </c>
    </row>
    <row r="404" spans="1:27" s="52" customFormat="1" hidden="1" x14ac:dyDescent="0.25">
      <c r="B404" s="69"/>
      <c r="C404" s="70" t="e">
        <v>#N/A</v>
      </c>
      <c r="D404" s="70" t="e">
        <v>#N/A</v>
      </c>
      <c r="E404" s="69"/>
      <c r="F404" s="72"/>
      <c r="G404" s="72"/>
      <c r="H404" s="75"/>
      <c r="I404" s="75"/>
      <c r="J404" s="75"/>
      <c r="K404" s="75"/>
      <c r="L404" s="75"/>
      <c r="M404" s="75"/>
      <c r="N404" s="72"/>
      <c r="O404" s="69"/>
      <c r="P404" s="69"/>
      <c r="Q404" s="14" t="e">
        <v>#N/A</v>
      </c>
      <c r="R404" s="14" t="e">
        <v>#N/A</v>
      </c>
      <c r="S404" s="14"/>
      <c r="T404" s="73"/>
      <c r="U404" s="14"/>
      <c r="V404" s="14"/>
      <c r="W404" s="70"/>
      <c r="X404" s="69"/>
      <c r="Y404" s="79">
        <f ca="1">Table25[[#This Row],[End Date]]+2-TODAY()</f>
        <v>-46005</v>
      </c>
      <c r="Z404" s="14">
        <f>IF(ISBLANK(Table25[[#This Row],[Roster Received By]]),1,0)</f>
        <v>1</v>
      </c>
      <c r="AA404" s="70">
        <f ca="1">IF(Table25[[#This Row],[Start Date]]&gt;TODAY(),1,)</f>
        <v>0</v>
      </c>
    </row>
    <row r="405" spans="1:27" s="52" customFormat="1" hidden="1" x14ac:dyDescent="0.25">
      <c r="B405" s="86"/>
      <c r="C405" s="70" t="e">
        <v>#N/A</v>
      </c>
      <c r="D405" s="70" t="e">
        <v>#N/A</v>
      </c>
      <c r="E405" s="69"/>
      <c r="F405" s="72"/>
      <c r="G405" s="72"/>
      <c r="H405" s="75"/>
      <c r="I405" s="75"/>
      <c r="J405" s="72"/>
      <c r="K405" s="72"/>
      <c r="L405" s="72"/>
      <c r="M405" s="72"/>
      <c r="N405" s="72"/>
      <c r="O405" s="69"/>
      <c r="P405" s="69"/>
      <c r="Q405" s="14" t="e">
        <v>#N/A</v>
      </c>
      <c r="R405" s="14" t="e">
        <v>#N/A</v>
      </c>
      <c r="S405" s="14"/>
      <c r="T405" s="73"/>
      <c r="U405" s="14"/>
      <c r="V405" s="14"/>
      <c r="W405" s="70"/>
      <c r="X405" s="69"/>
      <c r="Y405" s="79">
        <f ca="1">Table25[[#This Row],[End Date]]+2-TODAY()</f>
        <v>-46005</v>
      </c>
      <c r="Z405" s="14">
        <f>IF(ISBLANK(Table25[[#This Row],[Roster Received By]]),1,0)</f>
        <v>1</v>
      </c>
      <c r="AA405" s="70">
        <f ca="1">IF(Table25[[#This Row],[Start Date]]&gt;TODAY(),1,)</f>
        <v>0</v>
      </c>
    </row>
    <row r="406" spans="1:27" s="52" customFormat="1" hidden="1" x14ac:dyDescent="0.25">
      <c r="A406" s="112"/>
      <c r="B406" s="69"/>
      <c r="C406" s="70" t="e">
        <v>#N/A</v>
      </c>
      <c r="D406" s="70" t="e">
        <v>#N/A</v>
      </c>
      <c r="E406" s="69"/>
      <c r="F406" s="72"/>
      <c r="G406" s="72"/>
      <c r="H406" s="75"/>
      <c r="I406" s="75"/>
      <c r="J406" s="72"/>
      <c r="K406" s="72"/>
      <c r="L406" s="72"/>
      <c r="M406" s="72"/>
      <c r="N406" s="72"/>
      <c r="O406" s="69"/>
      <c r="P406" s="69"/>
      <c r="Q406" s="14" t="e">
        <v>#N/A</v>
      </c>
      <c r="R406" s="14" t="e">
        <v>#N/A</v>
      </c>
      <c r="S406" s="73"/>
      <c r="T406" s="73"/>
      <c r="U406" s="14"/>
      <c r="V406" s="14"/>
      <c r="W406" s="70"/>
      <c r="X406" s="69"/>
      <c r="Y406" s="79">
        <f ca="1">Table25[[#This Row],[End Date]]+2-TODAY()</f>
        <v>-46005</v>
      </c>
      <c r="Z406" s="14">
        <f>IF(ISBLANK(Table25[[#This Row],[Roster Received By]]),1,0)</f>
        <v>1</v>
      </c>
      <c r="AA406" s="70">
        <f ca="1">IF(Table25[[#This Row],[Start Date]]&gt;TODAY(),1,)</f>
        <v>0</v>
      </c>
    </row>
    <row r="407" spans="1:27" s="52" customFormat="1" hidden="1" x14ac:dyDescent="0.25">
      <c r="B407" s="69"/>
      <c r="C407" s="70" t="e">
        <v>#N/A</v>
      </c>
      <c r="D407" s="70" t="e">
        <v>#N/A</v>
      </c>
      <c r="E407" s="84"/>
      <c r="F407" s="85"/>
      <c r="G407" s="85"/>
      <c r="H407" s="85"/>
      <c r="I407" s="71"/>
      <c r="J407" s="71"/>
      <c r="K407" s="71"/>
      <c r="L407" s="71"/>
      <c r="M407" s="71"/>
      <c r="N407" s="71"/>
      <c r="O407" s="69"/>
      <c r="P407" s="69"/>
      <c r="Q407" s="14" t="e">
        <v>#N/A</v>
      </c>
      <c r="R407" s="14" t="e">
        <v>#N/A</v>
      </c>
      <c r="S407" s="14"/>
      <c r="T407" s="73"/>
      <c r="U407" s="14"/>
      <c r="V407" s="14"/>
      <c r="W407" s="70"/>
      <c r="X407" s="69"/>
      <c r="Y407" s="79">
        <f ca="1">Table25[[#This Row],[End Date]]+2-TODAY()</f>
        <v>-46005</v>
      </c>
      <c r="Z407" s="14">
        <f>IF(ISBLANK(Table25[[#This Row],[Roster Received By]]),1,0)</f>
        <v>1</v>
      </c>
      <c r="AA407" s="70">
        <f ca="1">IF(Table25[[#This Row],[Start Date]]&gt;TODAY(),1,)</f>
        <v>0</v>
      </c>
    </row>
    <row r="408" spans="1:27" s="52" customFormat="1" hidden="1" x14ac:dyDescent="0.25">
      <c r="B408" s="69"/>
      <c r="C408" s="70" t="e">
        <v>#N/A</v>
      </c>
      <c r="D408" s="70" t="e">
        <v>#N/A</v>
      </c>
      <c r="E408" s="54"/>
      <c r="F408" s="72"/>
      <c r="G408" s="72"/>
      <c r="H408" s="75"/>
      <c r="I408" s="75"/>
      <c r="J408" s="72"/>
      <c r="K408" s="72"/>
      <c r="L408" s="72"/>
      <c r="M408" s="72"/>
      <c r="N408" s="72"/>
      <c r="O408" s="69"/>
      <c r="P408" s="69"/>
      <c r="Q408" s="14" t="e">
        <v>#N/A</v>
      </c>
      <c r="R408" s="14" t="e">
        <v>#N/A</v>
      </c>
      <c r="S408" s="14"/>
      <c r="T408" s="73"/>
      <c r="U408" s="14"/>
      <c r="V408" s="14"/>
      <c r="W408" s="70"/>
      <c r="X408" s="69"/>
      <c r="Y408" s="79">
        <f ca="1">Table25[[#This Row],[End Date]]+2-TODAY()</f>
        <v>-46005</v>
      </c>
      <c r="Z408" s="14">
        <f>IF(ISBLANK(Table25[[#This Row],[Roster Received By]]),1,0)</f>
        <v>1</v>
      </c>
      <c r="AA408" s="70">
        <f ca="1">IF(Table25[[#This Row],[Start Date]]&gt;TODAY(),1,)</f>
        <v>0</v>
      </c>
    </row>
    <row r="409" spans="1:27" s="52" customFormat="1" hidden="1" x14ac:dyDescent="0.25">
      <c r="B409" s="69"/>
      <c r="C409" s="70" t="e">
        <v>#N/A</v>
      </c>
      <c r="D409" s="70" t="e">
        <v>#N/A</v>
      </c>
      <c r="E409" s="86"/>
      <c r="F409" s="80"/>
      <c r="G409" s="80"/>
      <c r="H409" s="75"/>
      <c r="I409" s="75"/>
      <c r="J409" s="72"/>
      <c r="K409" s="72"/>
      <c r="L409" s="72"/>
      <c r="M409" s="72"/>
      <c r="N409" s="72"/>
      <c r="O409" s="69"/>
      <c r="P409" s="69"/>
      <c r="Q409" s="14" t="e">
        <v>#N/A</v>
      </c>
      <c r="R409" s="14" t="e">
        <v>#N/A</v>
      </c>
      <c r="S409" s="14"/>
      <c r="T409" s="73"/>
      <c r="U409" s="14"/>
      <c r="V409" s="14"/>
      <c r="W409" s="70"/>
      <c r="X409" s="69"/>
      <c r="Y409" s="79">
        <f ca="1">Table25[[#This Row],[End Date]]+2-TODAY()</f>
        <v>-46005</v>
      </c>
      <c r="Z409" s="14">
        <f>IF(ISBLANK(Table25[[#This Row],[Roster Received By]]),1,0)</f>
        <v>1</v>
      </c>
      <c r="AA409" s="70">
        <f ca="1">IF(Table25[[#This Row],[Start Date]]&gt;TODAY(),1,)</f>
        <v>0</v>
      </c>
    </row>
    <row r="410" spans="1:27" s="52" customFormat="1" hidden="1" x14ac:dyDescent="0.25">
      <c r="B410" s="69"/>
      <c r="C410" s="70" t="e">
        <v>#N/A</v>
      </c>
      <c r="D410" s="70" t="e">
        <v>#N/A</v>
      </c>
      <c r="E410" s="86"/>
      <c r="F410" s="80"/>
      <c r="G410" s="80"/>
      <c r="H410" s="75"/>
      <c r="I410" s="75"/>
      <c r="J410" s="75"/>
      <c r="K410" s="75"/>
      <c r="L410" s="75"/>
      <c r="M410" s="75"/>
      <c r="N410" s="72"/>
      <c r="O410" s="69"/>
      <c r="P410" s="69"/>
      <c r="Q410" s="14" t="e">
        <v>#N/A</v>
      </c>
      <c r="R410" s="14" t="e">
        <v>#N/A</v>
      </c>
      <c r="S410" s="14"/>
      <c r="T410" s="73"/>
      <c r="U410" s="14"/>
      <c r="V410" s="14"/>
      <c r="W410" s="70"/>
      <c r="X410" s="69"/>
      <c r="Y410" s="79">
        <f ca="1">Table25[[#This Row],[End Date]]+2-TODAY()</f>
        <v>-46005</v>
      </c>
      <c r="Z410" s="14">
        <f>IF(ISBLANK(Table25[[#This Row],[Roster Received By]]),1,0)</f>
        <v>1</v>
      </c>
      <c r="AA410" s="70">
        <f ca="1">IF(Table25[[#This Row],[Start Date]]&gt;TODAY(),1,)</f>
        <v>0</v>
      </c>
    </row>
    <row r="411" spans="1:27" s="52" customFormat="1" hidden="1" x14ac:dyDescent="0.25">
      <c r="B411" s="69"/>
      <c r="C411" s="70" t="e">
        <v>#N/A</v>
      </c>
      <c r="D411" s="70" t="e">
        <v>#N/A</v>
      </c>
      <c r="E411" s="55"/>
      <c r="F411" s="68"/>
      <c r="G411" s="80"/>
      <c r="H411" s="75"/>
      <c r="I411" s="75"/>
      <c r="J411" s="72"/>
      <c r="K411" s="72"/>
      <c r="L411" s="72"/>
      <c r="M411" s="72"/>
      <c r="N411" s="72"/>
      <c r="O411" s="69"/>
      <c r="P411" s="69"/>
      <c r="Q411" s="14" t="e">
        <v>#N/A</v>
      </c>
      <c r="R411" s="14" t="e">
        <v>#N/A</v>
      </c>
      <c r="S411" s="14"/>
      <c r="T411" s="73"/>
      <c r="U411" s="14"/>
      <c r="V411" s="14"/>
      <c r="W411" s="70"/>
      <c r="X411" s="69"/>
      <c r="Y411" s="79">
        <f ca="1">Table25[[#This Row],[End Date]]+2-TODAY()</f>
        <v>-46005</v>
      </c>
      <c r="Z411" s="14">
        <f>IF(ISBLANK(Table25[[#This Row],[Roster Received By]]),1,0)</f>
        <v>1</v>
      </c>
      <c r="AA411" s="70">
        <f ca="1">IF(Table25[[#This Row],[Start Date]]&gt;TODAY(),1,)</f>
        <v>0</v>
      </c>
    </row>
    <row r="412" spans="1:27" s="52" customFormat="1" hidden="1" x14ac:dyDescent="0.25">
      <c r="B412" s="69"/>
      <c r="C412" s="70" t="e">
        <v>#N/A</v>
      </c>
      <c r="D412" s="70" t="e">
        <v>#N/A</v>
      </c>
      <c r="E412" s="92"/>
      <c r="F412" s="80"/>
      <c r="G412" s="80"/>
      <c r="H412" s="72"/>
      <c r="I412" s="71"/>
      <c r="J412" s="71"/>
      <c r="K412" s="71"/>
      <c r="L412" s="71"/>
      <c r="M412" s="71"/>
      <c r="N412" s="71"/>
      <c r="O412" s="69"/>
      <c r="P412" s="69"/>
      <c r="Q412" s="14" t="e">
        <v>#N/A</v>
      </c>
      <c r="R412" s="14" t="e">
        <v>#N/A</v>
      </c>
      <c r="S412" s="14"/>
      <c r="T412" s="73"/>
      <c r="U412" s="14"/>
      <c r="V412" s="14"/>
      <c r="W412" s="70"/>
      <c r="X412" s="69"/>
      <c r="Y412" s="79">
        <f ca="1">Table25[[#This Row],[End Date]]+2-TODAY()</f>
        <v>-46005</v>
      </c>
      <c r="Z412" s="14">
        <f>IF(ISBLANK(Table25[[#This Row],[Roster Received By]]),1,0)</f>
        <v>1</v>
      </c>
      <c r="AA412" s="70">
        <f ca="1">IF(Table25[[#This Row],[Start Date]]&gt;TODAY(),1,)</f>
        <v>0</v>
      </c>
    </row>
    <row r="413" spans="1:27" s="52" customFormat="1" hidden="1" x14ac:dyDescent="0.25">
      <c r="B413" s="69"/>
      <c r="C413" s="70" t="e">
        <v>#N/A</v>
      </c>
      <c r="D413" s="70" t="e">
        <v>#N/A</v>
      </c>
      <c r="E413" s="92"/>
      <c r="F413" s="80"/>
      <c r="G413" s="80"/>
      <c r="H413" s="72"/>
      <c r="I413" s="71"/>
      <c r="J413" s="71"/>
      <c r="K413" s="71"/>
      <c r="L413" s="71"/>
      <c r="M413" s="71"/>
      <c r="N413" s="71"/>
      <c r="O413" s="69"/>
      <c r="P413" s="69"/>
      <c r="Q413" s="14" t="e">
        <v>#N/A</v>
      </c>
      <c r="R413" s="14" t="e">
        <v>#N/A</v>
      </c>
      <c r="S413" s="14"/>
      <c r="T413" s="73"/>
      <c r="U413" s="14"/>
      <c r="V413" s="14"/>
      <c r="W413" s="70"/>
      <c r="X413" s="69"/>
      <c r="Y413" s="79">
        <f ca="1">Table25[[#This Row],[End Date]]+2-TODAY()</f>
        <v>-46005</v>
      </c>
      <c r="Z413" s="14">
        <f>IF(ISBLANK(Table25[[#This Row],[Roster Received By]]),1,0)</f>
        <v>1</v>
      </c>
      <c r="AA413" s="70">
        <f ca="1">IF(Table25[[#This Row],[Start Date]]&gt;TODAY(),1,)</f>
        <v>0</v>
      </c>
    </row>
    <row r="414" spans="1:27" s="52" customFormat="1" hidden="1" x14ac:dyDescent="0.25">
      <c r="B414" s="69"/>
      <c r="C414" s="70" t="e">
        <v>#N/A</v>
      </c>
      <c r="D414" s="70" t="e">
        <v>#N/A</v>
      </c>
      <c r="E414" s="92"/>
      <c r="F414" s="80"/>
      <c r="G414" s="80"/>
      <c r="H414" s="72"/>
      <c r="I414" s="71"/>
      <c r="J414" s="71"/>
      <c r="K414" s="71"/>
      <c r="L414" s="71"/>
      <c r="M414" s="71"/>
      <c r="N414" s="71"/>
      <c r="O414" s="69"/>
      <c r="P414" s="69"/>
      <c r="Q414" s="14" t="e">
        <v>#N/A</v>
      </c>
      <c r="R414" s="14" t="e">
        <v>#N/A</v>
      </c>
      <c r="S414" s="14"/>
      <c r="T414" s="73"/>
      <c r="U414" s="14"/>
      <c r="V414" s="14"/>
      <c r="W414" s="70"/>
      <c r="X414" s="69"/>
      <c r="Y414" s="79">
        <f ca="1">Table25[[#This Row],[End Date]]+2-TODAY()</f>
        <v>-46005</v>
      </c>
      <c r="Z414" s="14">
        <f>IF(ISBLANK(Table25[[#This Row],[Roster Received By]]),1,0)</f>
        <v>1</v>
      </c>
      <c r="AA414" s="70">
        <f ca="1">IF(Table25[[#This Row],[Start Date]]&gt;TODAY(),1,)</f>
        <v>0</v>
      </c>
    </row>
    <row r="415" spans="1:27" s="52" customFormat="1" hidden="1" x14ac:dyDescent="0.25">
      <c r="B415" s="69"/>
      <c r="C415" s="70" t="e">
        <v>#N/A</v>
      </c>
      <c r="D415" s="70" t="e">
        <v>#N/A</v>
      </c>
      <c r="E415" s="92"/>
      <c r="F415" s="72"/>
      <c r="G415" s="72"/>
      <c r="H415" s="72"/>
      <c r="I415" s="71"/>
      <c r="J415" s="71"/>
      <c r="K415" s="71"/>
      <c r="L415" s="71"/>
      <c r="M415" s="71"/>
      <c r="N415" s="71"/>
      <c r="O415" s="69"/>
      <c r="P415" s="69"/>
      <c r="Q415" s="14" t="e">
        <v>#N/A</v>
      </c>
      <c r="R415" s="14" t="e">
        <v>#N/A</v>
      </c>
      <c r="S415" s="14"/>
      <c r="T415" s="73"/>
      <c r="U415" s="14"/>
      <c r="V415" s="14"/>
      <c r="W415" s="70"/>
      <c r="X415" s="69"/>
      <c r="Y415" s="79">
        <f ca="1">Table25[[#This Row],[End Date]]+2-TODAY()</f>
        <v>-46005</v>
      </c>
      <c r="Z415" s="14">
        <f>IF(ISBLANK(Table25[[#This Row],[Roster Received By]]),1,0)</f>
        <v>1</v>
      </c>
      <c r="AA415" s="70">
        <f ca="1">IF(Table25[[#This Row],[Start Date]]&gt;TODAY(),1,)</f>
        <v>0</v>
      </c>
    </row>
    <row r="416" spans="1:27" s="52" customFormat="1" hidden="1" x14ac:dyDescent="0.25">
      <c r="B416" s="69"/>
      <c r="C416" s="70" t="e">
        <v>#N/A</v>
      </c>
      <c r="D416" s="70" t="e">
        <v>#N/A</v>
      </c>
      <c r="E416" s="92"/>
      <c r="F416" s="72"/>
      <c r="G416" s="72"/>
      <c r="H416" s="78"/>
      <c r="I416" s="78"/>
      <c r="J416" s="72"/>
      <c r="K416" s="72"/>
      <c r="L416" s="72"/>
      <c r="M416" s="72"/>
      <c r="N416" s="72"/>
      <c r="O416" s="69"/>
      <c r="P416" s="69"/>
      <c r="Q416" s="14" t="e">
        <v>#N/A</v>
      </c>
      <c r="R416" s="14" t="e">
        <v>#N/A</v>
      </c>
      <c r="S416" s="14"/>
      <c r="T416" s="73"/>
      <c r="U416" s="14"/>
      <c r="V416" s="14"/>
      <c r="W416" s="70"/>
      <c r="X416" s="69"/>
      <c r="Y416" s="79">
        <f ca="1">Table25[[#This Row],[End Date]]+2-TODAY()</f>
        <v>-46005</v>
      </c>
      <c r="Z416" s="14">
        <f>IF(ISBLANK(Table25[[#This Row],[Roster Received By]]),1,0)</f>
        <v>1</v>
      </c>
      <c r="AA416" s="70">
        <f ca="1">IF(Table25[[#This Row],[Start Date]]&gt;TODAY(),1,)</f>
        <v>0</v>
      </c>
    </row>
    <row r="417" spans="1:27" s="52" customFormat="1" hidden="1" x14ac:dyDescent="0.25">
      <c r="A417" s="69"/>
      <c r="B417" s="69"/>
      <c r="C417" s="70" t="e">
        <v>#N/A</v>
      </c>
      <c r="D417" s="70" t="e">
        <v>#N/A</v>
      </c>
      <c r="E417" s="92"/>
      <c r="F417" s="72"/>
      <c r="G417" s="72"/>
      <c r="H417" s="78"/>
      <c r="I417" s="78"/>
      <c r="J417" s="72"/>
      <c r="K417" s="72"/>
      <c r="L417" s="72"/>
      <c r="M417" s="72"/>
      <c r="N417" s="72"/>
      <c r="O417" s="69"/>
      <c r="P417" s="69"/>
      <c r="Q417" s="14" t="e">
        <v>#N/A</v>
      </c>
      <c r="R417" s="14" t="e">
        <v>#N/A</v>
      </c>
      <c r="S417" s="14"/>
      <c r="T417" s="73"/>
      <c r="U417" s="14"/>
      <c r="V417" s="14"/>
      <c r="W417" s="70"/>
      <c r="X417" s="69"/>
      <c r="Y417" s="79">
        <f ca="1">Table25[[#This Row],[End Date]]+2-TODAY()</f>
        <v>-46005</v>
      </c>
      <c r="Z417" s="14">
        <f>IF(ISBLANK(Table25[[#This Row],[Roster Received By]]),1,0)</f>
        <v>1</v>
      </c>
      <c r="AA417" s="70">
        <f ca="1">IF(Table25[[#This Row],[Start Date]]&gt;TODAY(),1,)</f>
        <v>0</v>
      </c>
    </row>
    <row r="418" spans="1:27" s="52" customFormat="1" hidden="1" x14ac:dyDescent="0.25">
      <c r="B418" s="69"/>
      <c r="C418" s="70" t="e">
        <v>#N/A</v>
      </c>
      <c r="D418" s="70" t="e">
        <v>#N/A</v>
      </c>
      <c r="E418" s="92"/>
      <c r="F418" s="72"/>
      <c r="G418" s="72"/>
      <c r="H418" s="72"/>
      <c r="I418" s="71"/>
      <c r="J418" s="71"/>
      <c r="K418" s="71"/>
      <c r="L418" s="71"/>
      <c r="M418" s="71"/>
      <c r="N418" s="71"/>
      <c r="O418" s="69"/>
      <c r="P418" s="69"/>
      <c r="Q418" s="14" t="e">
        <v>#N/A</v>
      </c>
      <c r="R418" s="14" t="e">
        <v>#N/A</v>
      </c>
      <c r="S418" s="14"/>
      <c r="T418" s="73"/>
      <c r="U418" s="14"/>
      <c r="V418" s="14"/>
      <c r="W418" s="70"/>
      <c r="X418" s="69"/>
      <c r="Y418" s="79">
        <f ca="1">Table25[[#This Row],[End Date]]+2-TODAY()</f>
        <v>-46005</v>
      </c>
      <c r="Z418" s="14">
        <f>IF(ISBLANK(Table25[[#This Row],[Roster Received By]]),1,0)</f>
        <v>1</v>
      </c>
      <c r="AA418" s="70">
        <f ca="1">IF(Table25[[#This Row],[Start Date]]&gt;TODAY(),1,)</f>
        <v>0</v>
      </c>
    </row>
    <row r="419" spans="1:27" s="52" customFormat="1" hidden="1" x14ac:dyDescent="0.25">
      <c r="B419" s="69"/>
      <c r="C419" s="70" t="e">
        <v>#N/A</v>
      </c>
      <c r="D419" s="70" t="e">
        <v>#N/A</v>
      </c>
      <c r="E419" s="69"/>
      <c r="F419" s="72"/>
      <c r="G419" s="72"/>
      <c r="H419" s="72"/>
      <c r="I419" s="71"/>
      <c r="J419" s="71"/>
      <c r="K419" s="71"/>
      <c r="L419" s="71"/>
      <c r="M419" s="71"/>
      <c r="N419" s="71"/>
      <c r="O419" s="69"/>
      <c r="P419" s="69"/>
      <c r="Q419" s="14" t="e">
        <v>#N/A</v>
      </c>
      <c r="R419" s="14" t="e">
        <v>#N/A</v>
      </c>
      <c r="S419" s="14"/>
      <c r="T419" s="73"/>
      <c r="U419" s="14"/>
      <c r="V419" s="14"/>
      <c r="W419" s="70"/>
      <c r="X419" s="69"/>
      <c r="Y419" s="79">
        <f ca="1">Table25[[#This Row],[End Date]]+2-TODAY()</f>
        <v>-46005</v>
      </c>
      <c r="Z419" s="14">
        <f>IF(ISBLANK(Table25[[#This Row],[Roster Received By]]),1,0)</f>
        <v>1</v>
      </c>
      <c r="AA419" s="70">
        <f ca="1">IF(Table25[[#This Row],[Start Date]]&gt;TODAY(),1,)</f>
        <v>0</v>
      </c>
    </row>
    <row r="420" spans="1:27" s="52" customFormat="1" hidden="1" x14ac:dyDescent="0.25">
      <c r="B420" s="69"/>
      <c r="C420" s="70" t="e">
        <v>#N/A</v>
      </c>
      <c r="D420" s="70" t="e">
        <v>#N/A</v>
      </c>
      <c r="E420" s="69"/>
      <c r="F420" s="72"/>
      <c r="G420" s="72"/>
      <c r="H420" s="75"/>
      <c r="I420" s="82"/>
      <c r="J420" s="82"/>
      <c r="K420" s="82"/>
      <c r="L420" s="82"/>
      <c r="M420" s="82"/>
      <c r="N420" s="82"/>
      <c r="O420" s="69"/>
      <c r="P420" s="69"/>
      <c r="Q420" s="14" t="e">
        <v>#N/A</v>
      </c>
      <c r="R420" s="14" t="e">
        <v>#N/A</v>
      </c>
      <c r="S420" s="73"/>
      <c r="T420" s="83"/>
      <c r="U420" s="83"/>
      <c r="V420" s="83"/>
      <c r="W420" s="83"/>
      <c r="X420" s="69"/>
      <c r="Y420" s="83"/>
    </row>
    <row r="421" spans="1:27" s="52" customFormat="1" hidden="1" x14ac:dyDescent="0.25">
      <c r="B421" s="69"/>
      <c r="C421" s="70" t="e">
        <v>#N/A</v>
      </c>
      <c r="D421" s="70" t="e">
        <v>#N/A</v>
      </c>
      <c r="E421" s="69"/>
      <c r="F421" s="72"/>
      <c r="G421" s="72"/>
      <c r="H421" s="75"/>
      <c r="I421" s="75"/>
      <c r="J421" s="72"/>
      <c r="K421" s="72"/>
      <c r="L421" s="72"/>
      <c r="M421" s="72"/>
      <c r="N421" s="72"/>
      <c r="O421" s="69"/>
      <c r="P421" s="69"/>
      <c r="Q421" s="14" t="e">
        <v>#N/A</v>
      </c>
      <c r="R421" s="14" t="e">
        <v>#N/A</v>
      </c>
      <c r="S421" s="73"/>
      <c r="T421" s="73"/>
      <c r="U421" s="14"/>
      <c r="V421" s="14"/>
      <c r="W421" s="70"/>
      <c r="X421" s="69"/>
      <c r="Y421" s="79">
        <f ca="1">Table25[[#This Row],[End Date]]+2-TODAY()</f>
        <v>-46005</v>
      </c>
      <c r="Z421" s="14">
        <f>IF(ISBLANK(Table25[[#This Row],[Roster Received By]]),1,0)</f>
        <v>1</v>
      </c>
      <c r="AA421" s="70">
        <f ca="1">IF(Table25[[#This Row],[Start Date]]&gt;TODAY(),1,)</f>
        <v>0</v>
      </c>
    </row>
    <row r="422" spans="1:27" s="52" customFormat="1" hidden="1" x14ac:dyDescent="0.25">
      <c r="B422" s="69"/>
      <c r="C422" s="70" t="e">
        <v>#N/A</v>
      </c>
      <c r="D422" s="70" t="e">
        <v>#N/A</v>
      </c>
      <c r="E422" s="54"/>
      <c r="F422" s="72"/>
      <c r="G422" s="72"/>
      <c r="H422" s="75"/>
      <c r="I422" s="75"/>
      <c r="J422" s="72"/>
      <c r="K422" s="72"/>
      <c r="L422" s="72"/>
      <c r="M422" s="72"/>
      <c r="N422" s="72"/>
      <c r="O422" s="69"/>
      <c r="P422" s="69"/>
      <c r="Q422" s="14" t="e">
        <v>#N/A</v>
      </c>
      <c r="R422" s="14" t="e">
        <v>#N/A</v>
      </c>
      <c r="S422" s="14"/>
      <c r="T422" s="73"/>
      <c r="U422" s="14"/>
      <c r="V422" s="14"/>
      <c r="W422" s="14"/>
      <c r="X422" s="69"/>
      <c r="Y422" s="60">
        <f ca="1">Table25[[#This Row],[End Date]]+2-TODAY()</f>
        <v>-46005</v>
      </c>
      <c r="Z422" s="14">
        <f>IF(ISBLANK(Table25[[#This Row],[Roster Received By]]),1,0)</f>
        <v>1</v>
      </c>
      <c r="AA422" s="14">
        <f ca="1">IF(Table25[[#This Row],[Start Date]]&gt;TODAY(),1,)</f>
        <v>0</v>
      </c>
    </row>
    <row r="423" spans="1:27" s="52" customFormat="1" hidden="1" x14ac:dyDescent="0.25">
      <c r="B423" s="69"/>
      <c r="C423" s="70" t="e">
        <v>#N/A</v>
      </c>
      <c r="D423" s="70" t="e">
        <v>#N/A</v>
      </c>
      <c r="E423" s="69"/>
      <c r="F423" s="72"/>
      <c r="G423" s="72"/>
      <c r="H423" s="75"/>
      <c r="I423" s="75"/>
      <c r="J423" s="72"/>
      <c r="K423" s="72"/>
      <c r="L423" s="72"/>
      <c r="M423" s="72"/>
      <c r="N423" s="72"/>
      <c r="O423" s="69"/>
      <c r="P423" s="69"/>
      <c r="Q423" s="14" t="e">
        <v>#N/A</v>
      </c>
      <c r="R423" s="14" t="e">
        <v>#N/A</v>
      </c>
      <c r="S423" s="14"/>
      <c r="T423" s="73"/>
      <c r="U423" s="14"/>
      <c r="V423" s="14"/>
      <c r="W423" s="70"/>
      <c r="X423" s="69"/>
      <c r="Y423" s="79">
        <f ca="1">Table25[[#This Row],[End Date]]+2-TODAY()</f>
        <v>-46005</v>
      </c>
      <c r="Z423" s="14">
        <f>IF(ISBLANK(Table25[[#This Row],[Roster Received By]]),1,0)</f>
        <v>1</v>
      </c>
      <c r="AA423" s="70">
        <f ca="1">IF(Table25[[#This Row],[Start Date]]&gt;TODAY(),1,)</f>
        <v>0</v>
      </c>
    </row>
    <row r="424" spans="1:27" s="52" customFormat="1" hidden="1" x14ac:dyDescent="0.25">
      <c r="B424" s="69"/>
      <c r="C424" s="70" t="e">
        <v>#N/A</v>
      </c>
      <c r="D424" s="70" t="e">
        <v>#N/A</v>
      </c>
      <c r="E424" s="54"/>
      <c r="F424" s="72"/>
      <c r="G424" s="72"/>
      <c r="H424" s="75"/>
      <c r="I424" s="75"/>
      <c r="J424" s="72"/>
      <c r="K424" s="72"/>
      <c r="L424" s="72"/>
      <c r="M424" s="72"/>
      <c r="N424" s="72"/>
      <c r="O424" s="69"/>
      <c r="P424" s="69"/>
      <c r="Q424" s="14" t="e">
        <v>#N/A</v>
      </c>
      <c r="R424" s="14" t="e">
        <v>#N/A</v>
      </c>
      <c r="S424" s="14"/>
      <c r="T424" s="73"/>
      <c r="U424" s="14"/>
      <c r="V424" s="14"/>
      <c r="W424" s="70"/>
      <c r="X424" s="69"/>
      <c r="Y424" s="79">
        <f ca="1">Table25[[#This Row],[End Date]]+2-TODAY()</f>
        <v>-46005</v>
      </c>
      <c r="Z424" s="14">
        <f>IF(ISBLANK(Table25[[#This Row],[Roster Received By]]),1,0)</f>
        <v>1</v>
      </c>
      <c r="AA424" s="70">
        <f ca="1">IF(Table25[[#This Row],[Start Date]]&gt;TODAY(),1,)</f>
        <v>0</v>
      </c>
    </row>
    <row r="425" spans="1:27" s="52" customFormat="1" hidden="1" x14ac:dyDescent="0.25">
      <c r="B425" s="69"/>
      <c r="C425" s="70" t="e">
        <v>#N/A</v>
      </c>
      <c r="D425" s="70" t="e">
        <v>#N/A</v>
      </c>
      <c r="E425" s="69"/>
      <c r="F425" s="72"/>
      <c r="G425" s="72"/>
      <c r="H425" s="75"/>
      <c r="I425" s="75"/>
      <c r="J425" s="72"/>
      <c r="K425" s="72"/>
      <c r="L425" s="72"/>
      <c r="M425" s="72"/>
      <c r="N425" s="72"/>
      <c r="O425" s="69"/>
      <c r="P425" s="69"/>
      <c r="Q425" s="14" t="e">
        <v>#N/A</v>
      </c>
      <c r="R425" s="14" t="e">
        <v>#N/A</v>
      </c>
      <c r="S425" s="14"/>
      <c r="T425" s="73"/>
      <c r="U425" s="14"/>
      <c r="V425" s="14"/>
      <c r="W425" s="14"/>
      <c r="X425" s="69"/>
      <c r="Y425" s="79">
        <f ca="1">Table25[[#This Row],[End Date]]+2-TODAY()</f>
        <v>-46005</v>
      </c>
      <c r="Z425" s="14">
        <f>IF(ISBLANK(Table25[[#This Row],[Roster Received By]]),1,0)</f>
        <v>1</v>
      </c>
      <c r="AA425" s="70">
        <f ca="1">IF(Table25[[#This Row],[Start Date]]&gt;TODAY(),1,)</f>
        <v>0</v>
      </c>
    </row>
    <row r="426" spans="1:27" s="52" customFormat="1" hidden="1" x14ac:dyDescent="0.25">
      <c r="A426" s="69"/>
      <c r="B426" s="69"/>
      <c r="C426" s="70" t="e">
        <v>#N/A</v>
      </c>
      <c r="D426" s="70" t="e">
        <v>#N/A</v>
      </c>
      <c r="E426" s="69"/>
      <c r="F426" s="72"/>
      <c r="G426" s="72"/>
      <c r="H426" s="75"/>
      <c r="I426" s="75"/>
      <c r="J426" s="72"/>
      <c r="K426" s="72"/>
      <c r="L426" s="72"/>
      <c r="M426" s="72"/>
      <c r="N426" s="72"/>
      <c r="O426" s="69"/>
      <c r="P426" s="69"/>
      <c r="Q426" s="14" t="e">
        <v>#N/A</v>
      </c>
      <c r="R426" s="14" t="e">
        <v>#N/A</v>
      </c>
      <c r="S426" s="14"/>
      <c r="T426" s="73"/>
      <c r="U426" s="14"/>
      <c r="V426" s="14"/>
      <c r="W426" s="70"/>
      <c r="X426" s="69"/>
      <c r="Y426" s="79">
        <f ca="1">Table25[[#This Row],[End Date]]+2-TODAY()</f>
        <v>-46005</v>
      </c>
      <c r="Z426" s="14">
        <f>IF(ISBLANK(Table25[[#This Row],[Roster Received By]]),1,0)</f>
        <v>1</v>
      </c>
      <c r="AA426" s="70">
        <f ca="1">IF(Table25[[#This Row],[Start Date]]&gt;TODAY(),1,)</f>
        <v>0</v>
      </c>
    </row>
    <row r="427" spans="1:27" s="52" customFormat="1" hidden="1" x14ac:dyDescent="0.25">
      <c r="B427" s="69"/>
      <c r="C427" s="70" t="e">
        <v>#N/A</v>
      </c>
      <c r="D427" s="70" t="e">
        <v>#N/A</v>
      </c>
      <c r="E427" s="69"/>
      <c r="F427" s="72"/>
      <c r="G427" s="72"/>
      <c r="H427" s="75"/>
      <c r="I427" s="75"/>
      <c r="J427" s="72"/>
      <c r="K427" s="72"/>
      <c r="L427" s="72"/>
      <c r="M427" s="72"/>
      <c r="N427" s="72"/>
      <c r="O427" s="69"/>
      <c r="P427" s="69"/>
      <c r="Q427" s="14" t="e">
        <v>#N/A</v>
      </c>
      <c r="R427" s="14" t="e">
        <v>#N/A</v>
      </c>
      <c r="S427" s="14"/>
      <c r="T427" s="73"/>
      <c r="U427" s="14"/>
      <c r="V427" s="14"/>
      <c r="W427" s="70"/>
      <c r="X427" s="69"/>
      <c r="Y427" s="79">
        <f ca="1">Table25[[#This Row],[End Date]]+2-TODAY()</f>
        <v>-46005</v>
      </c>
      <c r="Z427" s="14">
        <f>IF(ISBLANK(Table25[[#This Row],[Roster Received By]]),1,0)</f>
        <v>1</v>
      </c>
      <c r="AA427" s="70">
        <f ca="1">IF(Table25[[#This Row],[Start Date]]&gt;TODAY(),1,)</f>
        <v>0</v>
      </c>
    </row>
    <row r="428" spans="1:27" s="52" customFormat="1" hidden="1" x14ac:dyDescent="0.25">
      <c r="B428" s="69"/>
      <c r="C428" s="70" t="e">
        <v>#N/A</v>
      </c>
      <c r="D428" s="70" t="e">
        <v>#N/A</v>
      </c>
      <c r="E428" s="69"/>
      <c r="F428" s="72"/>
      <c r="G428" s="72"/>
      <c r="H428" s="75"/>
      <c r="I428" s="75"/>
      <c r="J428" s="72"/>
      <c r="K428" s="72"/>
      <c r="L428" s="72"/>
      <c r="M428" s="72"/>
      <c r="N428" s="72"/>
      <c r="O428" s="69"/>
      <c r="P428" s="69"/>
      <c r="Q428" s="14" t="e">
        <v>#N/A</v>
      </c>
      <c r="R428" s="14" t="e">
        <v>#N/A</v>
      </c>
      <c r="S428" s="73"/>
      <c r="T428" s="73"/>
      <c r="U428" s="14"/>
      <c r="V428" s="14"/>
      <c r="W428" s="14"/>
      <c r="X428" s="69"/>
      <c r="Y428" s="60">
        <f ca="1">Table25[[#This Row],[End Date]]+2-TODAY()</f>
        <v>-46005</v>
      </c>
      <c r="Z428" s="14">
        <f>IF(ISBLANK(Table25[[#This Row],[Roster Received By]]),1,0)</f>
        <v>1</v>
      </c>
      <c r="AA428" s="14">
        <f ca="1">IF(Table25[[#This Row],[Start Date]]&gt;TODAY(),1,)</f>
        <v>0</v>
      </c>
    </row>
    <row r="429" spans="1:27" s="52" customFormat="1" hidden="1" x14ac:dyDescent="0.25">
      <c r="B429" s="69"/>
      <c r="C429" s="70" t="e">
        <v>#N/A</v>
      </c>
      <c r="D429" s="70" t="e">
        <v>#N/A</v>
      </c>
      <c r="E429" s="54"/>
      <c r="F429" s="72"/>
      <c r="G429" s="72"/>
      <c r="H429" s="75"/>
      <c r="I429" s="75"/>
      <c r="J429" s="72"/>
      <c r="K429" s="72"/>
      <c r="L429" s="72"/>
      <c r="M429" s="72"/>
      <c r="N429" s="72"/>
      <c r="O429" s="69"/>
      <c r="P429" s="69"/>
      <c r="Q429" s="14" t="e">
        <v>#N/A</v>
      </c>
      <c r="R429" s="14" t="e">
        <v>#N/A</v>
      </c>
      <c r="S429" s="14"/>
      <c r="T429" s="73"/>
      <c r="U429" s="14"/>
      <c r="V429" s="14"/>
      <c r="W429" s="70"/>
      <c r="X429" s="69"/>
      <c r="Y429" s="79">
        <f ca="1">Table25[[#This Row],[End Date]]+2-TODAY()</f>
        <v>-46005</v>
      </c>
      <c r="Z429" s="14">
        <f>IF(ISBLANK(Table25[[#This Row],[Roster Received By]]),1,0)</f>
        <v>1</v>
      </c>
      <c r="AA429" s="70">
        <f ca="1">IF(Table25[[#This Row],[Start Date]]&gt;TODAY(),1,)</f>
        <v>0</v>
      </c>
    </row>
    <row r="430" spans="1:27" s="52" customFormat="1" hidden="1" x14ac:dyDescent="0.25">
      <c r="B430" s="69"/>
      <c r="C430" s="70" t="e">
        <v>#N/A</v>
      </c>
      <c r="D430" s="70" t="e">
        <v>#N/A</v>
      </c>
      <c r="E430" s="69"/>
      <c r="F430" s="72"/>
      <c r="G430" s="72"/>
      <c r="H430" s="72"/>
      <c r="I430" s="71"/>
      <c r="J430" s="71"/>
      <c r="K430" s="71"/>
      <c r="L430" s="71"/>
      <c r="M430" s="71"/>
      <c r="N430" s="71"/>
      <c r="O430" s="69"/>
      <c r="P430" s="69"/>
      <c r="Q430" s="14" t="e">
        <v>#N/A</v>
      </c>
      <c r="R430" s="14" t="e">
        <v>#N/A</v>
      </c>
      <c r="S430" s="14"/>
      <c r="T430" s="73"/>
      <c r="U430" s="14"/>
      <c r="V430" s="14"/>
      <c r="W430" s="70"/>
      <c r="X430" s="69"/>
      <c r="Y430" s="79">
        <f ca="1">Table25[[#This Row],[End Date]]+2-TODAY()</f>
        <v>-46005</v>
      </c>
      <c r="Z430" s="14">
        <f>IF(ISBLANK(Table25[[#This Row],[Roster Received By]]),1,0)</f>
        <v>1</v>
      </c>
      <c r="AA430" s="70">
        <f ca="1">IF(Table25[[#This Row],[Start Date]]&gt;TODAY(),1,)</f>
        <v>0</v>
      </c>
    </row>
    <row r="431" spans="1:27" s="52" customFormat="1" hidden="1" x14ac:dyDescent="0.25">
      <c r="A431" s="69"/>
      <c r="B431" s="69"/>
      <c r="C431" s="70" t="e">
        <v>#N/A</v>
      </c>
      <c r="D431" s="70" t="e">
        <v>#N/A</v>
      </c>
      <c r="E431" s="69"/>
      <c r="F431" s="72"/>
      <c r="G431" s="72"/>
      <c r="H431" s="75"/>
      <c r="I431" s="75"/>
      <c r="J431" s="72"/>
      <c r="K431" s="72"/>
      <c r="L431" s="72"/>
      <c r="M431" s="72"/>
      <c r="N431" s="72"/>
      <c r="O431" s="69"/>
      <c r="P431" s="69"/>
      <c r="Q431" s="14" t="e">
        <v>#N/A</v>
      </c>
      <c r="R431" s="14" t="e">
        <v>#N/A</v>
      </c>
      <c r="S431" s="14"/>
      <c r="T431" s="73"/>
      <c r="U431" s="14"/>
      <c r="V431" s="14"/>
      <c r="W431" s="70"/>
      <c r="X431" s="69"/>
      <c r="Y431" s="79">
        <f ca="1">Table25[[#This Row],[End Date]]+2-TODAY()</f>
        <v>-46005</v>
      </c>
      <c r="Z431" s="14">
        <f>IF(ISBLANK(Table25[[#This Row],[Roster Received By]]),1,0)</f>
        <v>1</v>
      </c>
      <c r="AA431" s="70">
        <f ca="1">IF(Table25[[#This Row],[Start Date]]&gt;TODAY(),1,)</f>
        <v>0</v>
      </c>
    </row>
    <row r="432" spans="1:27" s="52" customFormat="1" hidden="1" x14ac:dyDescent="0.25">
      <c r="A432" s="69"/>
      <c r="B432" s="69"/>
      <c r="C432" s="70" t="e">
        <v>#N/A</v>
      </c>
      <c r="D432" s="70" t="e">
        <v>#N/A</v>
      </c>
      <c r="E432" s="54"/>
      <c r="F432" s="72"/>
      <c r="G432" s="72"/>
      <c r="H432" s="75"/>
      <c r="I432" s="75"/>
      <c r="J432" s="72"/>
      <c r="K432" s="72"/>
      <c r="L432" s="72"/>
      <c r="M432" s="72"/>
      <c r="N432" s="72"/>
      <c r="O432" s="69"/>
      <c r="P432" s="69"/>
      <c r="Q432" s="14" t="e">
        <v>#N/A</v>
      </c>
      <c r="R432" s="14" t="e">
        <v>#N/A</v>
      </c>
      <c r="S432" s="14"/>
      <c r="T432" s="73"/>
      <c r="U432" s="14"/>
      <c r="V432" s="14"/>
      <c r="W432" s="70"/>
      <c r="X432" s="69"/>
      <c r="Y432" s="79">
        <f ca="1">Table25[[#This Row],[End Date]]+2-TODAY()</f>
        <v>-46005</v>
      </c>
      <c r="Z432" s="14">
        <f>IF(ISBLANK(Table25[[#This Row],[Roster Received By]]),1,0)</f>
        <v>1</v>
      </c>
      <c r="AA432" s="70">
        <f ca="1">IF(Table25[[#This Row],[Start Date]]&gt;TODAY(),1,)</f>
        <v>0</v>
      </c>
    </row>
    <row r="433" spans="1:27" s="52" customFormat="1" hidden="1" x14ac:dyDescent="0.25">
      <c r="B433" s="69"/>
      <c r="C433" s="70" t="e">
        <v>#N/A</v>
      </c>
      <c r="D433" s="70" t="e">
        <v>#N/A</v>
      </c>
      <c r="E433" s="69"/>
      <c r="F433" s="72"/>
      <c r="G433" s="72"/>
      <c r="H433" s="72"/>
      <c r="I433" s="71"/>
      <c r="J433" s="71"/>
      <c r="K433" s="71"/>
      <c r="L433" s="71"/>
      <c r="M433" s="71"/>
      <c r="N433" s="71"/>
      <c r="O433" s="69"/>
      <c r="P433" s="69"/>
      <c r="Q433" s="14" t="e">
        <v>#N/A</v>
      </c>
      <c r="R433" s="14" t="e">
        <v>#N/A</v>
      </c>
      <c r="S433" s="14"/>
      <c r="T433" s="73"/>
      <c r="U433" s="14"/>
      <c r="V433" s="14"/>
      <c r="W433" s="70"/>
      <c r="X433" s="69"/>
      <c r="Y433" s="79">
        <f ca="1">Table25[[#This Row],[End Date]]+2-TODAY()</f>
        <v>-46005</v>
      </c>
      <c r="Z433" s="14">
        <f>IF(ISBLANK(Table25[[#This Row],[Roster Received By]]),1,0)</f>
        <v>1</v>
      </c>
      <c r="AA433" s="70">
        <f ca="1">IF(Table25[[#This Row],[Start Date]]&gt;TODAY(),1,)</f>
        <v>0</v>
      </c>
    </row>
    <row r="434" spans="1:27" s="52" customFormat="1" hidden="1" x14ac:dyDescent="0.25">
      <c r="B434" s="69"/>
      <c r="C434" s="70" t="e">
        <v>#N/A</v>
      </c>
      <c r="D434" s="70" t="e">
        <v>#N/A</v>
      </c>
      <c r="E434" s="54"/>
      <c r="F434" s="72"/>
      <c r="G434" s="72"/>
      <c r="H434" s="75"/>
      <c r="I434" s="75"/>
      <c r="J434" s="72"/>
      <c r="K434" s="72"/>
      <c r="L434" s="72"/>
      <c r="M434" s="72"/>
      <c r="N434" s="72"/>
      <c r="O434" s="69"/>
      <c r="P434" s="69"/>
      <c r="Q434" s="14" t="e">
        <v>#N/A</v>
      </c>
      <c r="R434" s="14" t="e">
        <v>#N/A</v>
      </c>
      <c r="S434" s="14"/>
      <c r="T434" s="73"/>
      <c r="U434" s="14"/>
      <c r="V434" s="14"/>
      <c r="W434" s="70"/>
      <c r="X434" s="69"/>
      <c r="Y434" s="79">
        <f ca="1">Table25[[#This Row],[End Date]]+2-TODAY()</f>
        <v>-46005</v>
      </c>
      <c r="Z434" s="14">
        <f>IF(ISBLANK(Table25[[#This Row],[Roster Received By]]),1,0)</f>
        <v>1</v>
      </c>
      <c r="AA434" s="70">
        <f ca="1">IF(Table25[[#This Row],[Start Date]]&gt;TODAY(),1,)</f>
        <v>0</v>
      </c>
    </row>
    <row r="435" spans="1:27" s="52" customFormat="1" hidden="1" x14ac:dyDescent="0.25">
      <c r="B435" s="69"/>
      <c r="C435" s="70" t="e">
        <v>#N/A</v>
      </c>
      <c r="D435" s="70" t="e">
        <v>#N/A</v>
      </c>
      <c r="E435" s="54"/>
      <c r="F435" s="72"/>
      <c r="G435" s="72"/>
      <c r="H435" s="75"/>
      <c r="I435" s="75"/>
      <c r="J435" s="72"/>
      <c r="K435" s="72"/>
      <c r="L435" s="72"/>
      <c r="M435" s="72"/>
      <c r="N435" s="72"/>
      <c r="O435" s="69"/>
      <c r="P435" s="69"/>
      <c r="Q435" s="14" t="e">
        <v>#N/A</v>
      </c>
      <c r="R435" s="14" t="e">
        <v>#N/A</v>
      </c>
      <c r="S435" s="14"/>
      <c r="T435" s="73"/>
      <c r="U435" s="14"/>
      <c r="V435" s="14"/>
      <c r="W435" s="14"/>
      <c r="X435" s="69"/>
      <c r="Y435" s="60">
        <f ca="1">Table25[[#This Row],[End Date]]+2-TODAY()</f>
        <v>-46005</v>
      </c>
      <c r="Z435" s="14">
        <f>IF(ISBLANK(Table25[[#This Row],[Roster Received By]]),1,0)</f>
        <v>1</v>
      </c>
      <c r="AA435" s="14">
        <f ca="1">IF(Table25[[#This Row],[Start Date]]&gt;TODAY(),1,)</f>
        <v>0</v>
      </c>
    </row>
    <row r="436" spans="1:27" s="52" customFormat="1" hidden="1" x14ac:dyDescent="0.25">
      <c r="B436" s="69"/>
      <c r="C436" s="70" t="e">
        <v>#N/A</v>
      </c>
      <c r="D436" s="70" t="e">
        <v>#N/A</v>
      </c>
      <c r="E436" s="69"/>
      <c r="F436" s="72"/>
      <c r="G436" s="72"/>
      <c r="H436" s="75"/>
      <c r="I436" s="75"/>
      <c r="J436" s="72"/>
      <c r="K436" s="72"/>
      <c r="L436" s="72"/>
      <c r="M436" s="72"/>
      <c r="N436" s="72"/>
      <c r="O436" s="69"/>
      <c r="P436" s="69"/>
      <c r="Q436" s="14" t="e">
        <v>#N/A</v>
      </c>
      <c r="R436" s="14" t="e">
        <v>#N/A</v>
      </c>
      <c r="S436" s="14"/>
      <c r="T436" s="73"/>
      <c r="U436" s="14"/>
      <c r="V436" s="14"/>
      <c r="W436" s="14"/>
      <c r="X436" s="69"/>
      <c r="Y436" s="60">
        <f ca="1">Table25[[#This Row],[End Date]]+2-TODAY()</f>
        <v>-46005</v>
      </c>
      <c r="Z436" s="14">
        <f>IF(ISBLANK(Table25[[#This Row],[Roster Received By]]),1,0)</f>
        <v>1</v>
      </c>
      <c r="AA436" s="14">
        <f ca="1">IF(Table25[[#This Row],[Start Date]]&gt;TODAY(),1,)</f>
        <v>0</v>
      </c>
    </row>
    <row r="437" spans="1:27" s="52" customFormat="1" hidden="1" x14ac:dyDescent="0.25">
      <c r="B437" s="69"/>
      <c r="C437" s="70" t="e">
        <v>#N/A</v>
      </c>
      <c r="D437" s="70" t="e">
        <v>#N/A</v>
      </c>
      <c r="E437" s="69"/>
      <c r="F437" s="72"/>
      <c r="G437" s="72"/>
      <c r="H437" s="75"/>
      <c r="I437" s="75"/>
      <c r="J437" s="72"/>
      <c r="K437" s="72"/>
      <c r="L437" s="72"/>
      <c r="M437" s="72"/>
      <c r="N437" s="72"/>
      <c r="O437" s="69"/>
      <c r="P437" s="69"/>
      <c r="Q437" s="14" t="e">
        <v>#N/A</v>
      </c>
      <c r="R437" s="14" t="e">
        <v>#N/A</v>
      </c>
      <c r="S437" s="73"/>
      <c r="T437" s="73"/>
      <c r="U437" s="14"/>
      <c r="V437" s="14"/>
      <c r="W437" s="70"/>
      <c r="X437" s="69"/>
      <c r="Y437" s="79">
        <f ca="1">Table25[[#This Row],[End Date]]+2-TODAY()</f>
        <v>-46005</v>
      </c>
      <c r="Z437" s="14">
        <f>IF(ISBLANK(Table25[[#This Row],[Roster Received By]]),1,0)</f>
        <v>1</v>
      </c>
      <c r="AA437" s="70">
        <f ca="1">IF(Table25[[#This Row],[Start Date]]&gt;TODAY(),1,)</f>
        <v>0</v>
      </c>
    </row>
    <row r="438" spans="1:27" s="52" customFormat="1" hidden="1" x14ac:dyDescent="0.25">
      <c r="B438" s="86"/>
      <c r="C438" s="70" t="e">
        <v>#N/A</v>
      </c>
      <c r="D438" s="70" t="e">
        <v>#N/A</v>
      </c>
      <c r="E438" s="69"/>
      <c r="F438" s="56"/>
      <c r="G438" s="72"/>
      <c r="H438" s="72"/>
      <c r="I438" s="71"/>
      <c r="J438" s="71"/>
      <c r="K438" s="71"/>
      <c r="L438" s="71"/>
      <c r="M438" s="71"/>
      <c r="N438" s="71"/>
      <c r="O438" s="69"/>
      <c r="P438" s="69"/>
      <c r="Q438" s="14" t="e">
        <v>#N/A</v>
      </c>
      <c r="R438" s="14" t="e">
        <v>#N/A</v>
      </c>
      <c r="S438" s="14"/>
      <c r="T438" s="73"/>
      <c r="U438" s="14"/>
      <c r="V438" s="14"/>
      <c r="W438" s="70"/>
      <c r="X438" s="69"/>
      <c r="Y438" s="79">
        <f ca="1">Table25[[#This Row],[End Date]]+2-TODAY()</f>
        <v>-46005</v>
      </c>
      <c r="Z438" s="14">
        <f>IF(ISBLANK(Table25[[#This Row],[Roster Received By]]),1,0)</f>
        <v>1</v>
      </c>
      <c r="AA438" s="70">
        <f ca="1">IF(Table25[[#This Row],[Start Date]]&gt;TODAY(),1,)</f>
        <v>0</v>
      </c>
    </row>
    <row r="439" spans="1:27" s="52" customFormat="1" hidden="1" x14ac:dyDescent="0.25">
      <c r="A439" s="69"/>
      <c r="B439" s="86"/>
      <c r="C439" s="70" t="e">
        <v>#N/A</v>
      </c>
      <c r="D439" s="70" t="e">
        <v>#N/A</v>
      </c>
      <c r="E439" s="69"/>
      <c r="F439" s="72"/>
      <c r="G439" s="72"/>
      <c r="H439" s="75"/>
      <c r="I439" s="75"/>
      <c r="J439" s="72"/>
      <c r="K439" s="72"/>
      <c r="L439" s="72"/>
      <c r="M439" s="72"/>
      <c r="N439" s="72"/>
      <c r="O439" s="69"/>
      <c r="P439" s="69"/>
      <c r="Q439" s="14" t="e">
        <v>#N/A</v>
      </c>
      <c r="R439" s="14" t="e">
        <v>#N/A</v>
      </c>
      <c r="S439" s="14"/>
      <c r="T439" s="73"/>
      <c r="U439" s="14"/>
      <c r="V439" s="14"/>
      <c r="W439" s="70"/>
      <c r="X439" s="69"/>
      <c r="Y439" s="79">
        <f ca="1">Table25[[#This Row],[End Date]]+2-TODAY()</f>
        <v>-46005</v>
      </c>
      <c r="Z439" s="14">
        <f>IF(ISBLANK(Table25[[#This Row],[Roster Received By]]),1,0)</f>
        <v>1</v>
      </c>
      <c r="AA439" s="70">
        <f ca="1">IF(Table25[[#This Row],[Start Date]]&gt;TODAY(),1,)</f>
        <v>0</v>
      </c>
    </row>
    <row r="440" spans="1:27" s="52" customFormat="1" hidden="1" x14ac:dyDescent="0.25">
      <c r="B440" s="86"/>
      <c r="C440" s="70" t="e">
        <v>#N/A</v>
      </c>
      <c r="D440" s="70" t="e">
        <v>#N/A</v>
      </c>
      <c r="E440" s="69"/>
      <c r="F440" s="72"/>
      <c r="G440" s="72"/>
      <c r="H440" s="75"/>
      <c r="I440" s="75"/>
      <c r="J440" s="72"/>
      <c r="K440" s="72"/>
      <c r="L440" s="72"/>
      <c r="M440" s="72"/>
      <c r="N440" s="72"/>
      <c r="O440" s="69"/>
      <c r="P440" s="69"/>
      <c r="Q440" s="14" t="e">
        <v>#N/A</v>
      </c>
      <c r="R440" s="14" t="e">
        <v>#N/A</v>
      </c>
      <c r="S440" s="73"/>
      <c r="T440" s="73"/>
      <c r="U440" s="14"/>
      <c r="V440" s="14"/>
      <c r="W440" s="70"/>
      <c r="X440" s="69"/>
      <c r="Y440" s="79">
        <f ca="1">Table25[[#This Row],[End Date]]+2-TODAY()</f>
        <v>-46005</v>
      </c>
      <c r="Z440" s="14">
        <f>IF(ISBLANK(Table25[[#This Row],[Roster Received By]]),1,0)</f>
        <v>1</v>
      </c>
      <c r="AA440" s="70">
        <f ca="1">IF(Table25[[#This Row],[Start Date]]&gt;TODAY(),1,)</f>
        <v>0</v>
      </c>
    </row>
    <row r="441" spans="1:27" s="52" customFormat="1" hidden="1" x14ac:dyDescent="0.25">
      <c r="B441" s="69"/>
      <c r="C441" s="70" t="e">
        <v>#N/A</v>
      </c>
      <c r="D441" s="70" t="e">
        <v>#N/A</v>
      </c>
      <c r="E441" s="69"/>
      <c r="F441" s="72"/>
      <c r="G441" s="72"/>
      <c r="H441" s="72"/>
      <c r="I441" s="71"/>
      <c r="J441" s="71"/>
      <c r="K441" s="71"/>
      <c r="L441" s="71"/>
      <c r="M441" s="71"/>
      <c r="N441" s="71"/>
      <c r="O441" s="69"/>
      <c r="P441" s="69"/>
      <c r="Q441" s="14" t="e">
        <v>#N/A</v>
      </c>
      <c r="R441" s="14" t="e">
        <v>#N/A</v>
      </c>
      <c r="S441" s="14"/>
      <c r="T441" s="73"/>
      <c r="U441" s="14"/>
      <c r="V441" s="14"/>
      <c r="W441" s="70"/>
      <c r="X441" s="69"/>
      <c r="Y441" s="79">
        <f ca="1">Table25[[#This Row],[End Date]]+2-TODAY()</f>
        <v>-46005</v>
      </c>
      <c r="Z441" s="14">
        <f>IF(ISBLANK(Table25[[#This Row],[Roster Received By]]),1,0)</f>
        <v>1</v>
      </c>
      <c r="AA441" s="70">
        <f ca="1">IF(Table25[[#This Row],[Start Date]]&gt;TODAY(),1,)</f>
        <v>0</v>
      </c>
    </row>
    <row r="442" spans="1:27" s="52" customFormat="1" hidden="1" x14ac:dyDescent="0.25">
      <c r="B442" s="86"/>
      <c r="C442" s="70" t="e">
        <v>#N/A</v>
      </c>
      <c r="D442" s="70" t="e">
        <v>#N/A</v>
      </c>
      <c r="E442" s="69"/>
      <c r="F442" s="72"/>
      <c r="G442" s="72"/>
      <c r="H442" s="72"/>
      <c r="I442" s="71"/>
      <c r="J442" s="71"/>
      <c r="K442" s="71"/>
      <c r="L442" s="71"/>
      <c r="M442" s="71"/>
      <c r="N442" s="71"/>
      <c r="O442" s="69"/>
      <c r="P442" s="69"/>
      <c r="Q442" s="14" t="e">
        <v>#N/A</v>
      </c>
      <c r="R442" s="14" t="e">
        <v>#N/A</v>
      </c>
      <c r="S442" s="14"/>
      <c r="T442" s="73"/>
      <c r="U442" s="14"/>
      <c r="V442" s="14"/>
      <c r="W442" s="70"/>
      <c r="X442" s="69"/>
      <c r="Y442" s="79">
        <f ca="1">Table25[[#This Row],[End Date]]+2-TODAY()</f>
        <v>-46005</v>
      </c>
      <c r="Z442" s="14">
        <f>IF(ISBLANK(Table25[[#This Row],[Roster Received By]]),1,0)</f>
        <v>1</v>
      </c>
      <c r="AA442" s="70">
        <f ca="1">IF(Table25[[#This Row],[Start Date]]&gt;TODAY(),1,)</f>
        <v>0</v>
      </c>
    </row>
    <row r="443" spans="1:27" s="52" customFormat="1" hidden="1" x14ac:dyDescent="0.25">
      <c r="B443" s="69"/>
      <c r="C443" s="70" t="e">
        <v>#N/A</v>
      </c>
      <c r="D443" s="70" t="e">
        <v>#N/A</v>
      </c>
      <c r="E443" s="69"/>
      <c r="F443" s="72"/>
      <c r="G443" s="72"/>
      <c r="H443" s="75"/>
      <c r="I443" s="75"/>
      <c r="J443" s="72"/>
      <c r="K443" s="72"/>
      <c r="L443" s="72"/>
      <c r="M443" s="72"/>
      <c r="N443" s="72"/>
      <c r="O443" s="69"/>
      <c r="P443" s="69"/>
      <c r="Q443" s="14" t="e">
        <v>#N/A</v>
      </c>
      <c r="R443" s="14" t="e">
        <v>#N/A</v>
      </c>
      <c r="S443" s="14"/>
      <c r="T443" s="73"/>
      <c r="U443" s="14"/>
      <c r="V443" s="14"/>
      <c r="W443" s="14"/>
      <c r="X443" s="69"/>
      <c r="Y443" s="60">
        <f ca="1">Table25[[#This Row],[End Date]]+2-TODAY()</f>
        <v>-46005</v>
      </c>
      <c r="Z443" s="14">
        <f>IF(ISBLANK(Table25[[#This Row],[Roster Received By]]),1,0)</f>
        <v>1</v>
      </c>
      <c r="AA443" s="14">
        <f ca="1">IF(Table25[[#This Row],[Start Date]]&gt;TODAY(),1,)</f>
        <v>0</v>
      </c>
    </row>
    <row r="444" spans="1:27" s="52" customFormat="1" hidden="1" x14ac:dyDescent="0.25">
      <c r="A444" s="69"/>
      <c r="B444" s="86"/>
      <c r="C444" s="70" t="e">
        <v>#N/A</v>
      </c>
      <c r="D444" s="70" t="e">
        <v>#N/A</v>
      </c>
      <c r="E444" s="69"/>
      <c r="F444" s="56"/>
      <c r="G444" s="56"/>
      <c r="H444" s="56"/>
      <c r="I444" s="71"/>
      <c r="J444" s="71"/>
      <c r="K444" s="71"/>
      <c r="L444" s="71"/>
      <c r="M444" s="71"/>
      <c r="N444" s="71"/>
      <c r="O444" s="69"/>
      <c r="P444" s="69"/>
      <c r="Q444" s="14" t="e">
        <v>#N/A</v>
      </c>
      <c r="R444" s="14" t="e">
        <v>#N/A</v>
      </c>
      <c r="S444" s="14"/>
      <c r="T444" s="73"/>
      <c r="U444" s="14"/>
      <c r="V444" s="14"/>
      <c r="W444" s="70"/>
      <c r="X444" s="69"/>
      <c r="Y444" s="79">
        <f ca="1">Table25[[#This Row],[End Date]]+2-TODAY()</f>
        <v>-46005</v>
      </c>
      <c r="Z444" s="14">
        <f>IF(ISBLANK(Table25[[#This Row],[Roster Received By]]),1,0)</f>
        <v>1</v>
      </c>
      <c r="AA444" s="70">
        <f ca="1">IF(Table25[[#This Row],[Start Date]]&gt;TODAY(),1,)</f>
        <v>0</v>
      </c>
    </row>
    <row r="445" spans="1:27" s="52" customFormat="1" hidden="1" x14ac:dyDescent="0.25">
      <c r="B445" s="69"/>
      <c r="C445" s="70" t="e">
        <v>#N/A</v>
      </c>
      <c r="D445" s="70" t="e">
        <v>#N/A</v>
      </c>
      <c r="E445" s="69"/>
      <c r="F445" s="72"/>
      <c r="G445" s="72"/>
      <c r="H445" s="72"/>
      <c r="I445" s="71"/>
      <c r="J445" s="71"/>
      <c r="K445" s="71"/>
      <c r="L445" s="71"/>
      <c r="M445" s="71"/>
      <c r="N445" s="71"/>
      <c r="O445" s="69"/>
      <c r="P445" s="69"/>
      <c r="Q445" s="14" t="e">
        <v>#N/A</v>
      </c>
      <c r="R445" s="14" t="e">
        <v>#N/A</v>
      </c>
      <c r="S445" s="14"/>
      <c r="T445" s="73"/>
      <c r="U445" s="14"/>
      <c r="V445" s="14"/>
      <c r="W445" s="70"/>
      <c r="X445" s="69"/>
      <c r="Y445" s="79">
        <f ca="1">Table25[[#This Row],[End Date]]+2-TODAY()</f>
        <v>-46005</v>
      </c>
      <c r="Z445" s="14">
        <f>IF(ISBLANK(Table25[[#This Row],[Roster Received By]]),1,0)</f>
        <v>1</v>
      </c>
      <c r="AA445" s="70">
        <f ca="1">IF(Table25[[#This Row],[Start Date]]&gt;TODAY(),1,)</f>
        <v>0</v>
      </c>
    </row>
    <row r="446" spans="1:27" s="52" customFormat="1" hidden="1" x14ac:dyDescent="0.25">
      <c r="B446" s="69"/>
      <c r="C446" s="70" t="e">
        <v>#N/A</v>
      </c>
      <c r="D446" s="70" t="e">
        <v>#N/A</v>
      </c>
      <c r="E446" s="69"/>
      <c r="F446" s="72"/>
      <c r="G446" s="72"/>
      <c r="H446" s="72"/>
      <c r="I446" s="71"/>
      <c r="J446" s="71"/>
      <c r="K446" s="71"/>
      <c r="L446" s="71"/>
      <c r="M446" s="71"/>
      <c r="N446" s="71"/>
      <c r="O446" s="69"/>
      <c r="P446" s="69"/>
      <c r="Q446" s="14" t="e">
        <v>#N/A</v>
      </c>
      <c r="R446" s="14" t="e">
        <v>#N/A</v>
      </c>
      <c r="S446" s="14"/>
      <c r="T446" s="73"/>
      <c r="U446" s="14"/>
      <c r="V446" s="14"/>
      <c r="W446" s="70"/>
      <c r="X446" s="69"/>
      <c r="Y446" s="79">
        <f ca="1">Table25[[#This Row],[End Date]]+2-TODAY()</f>
        <v>-46005</v>
      </c>
      <c r="Z446" s="14">
        <f>IF(ISBLANK(Table25[[#This Row],[Roster Received By]]),1,0)</f>
        <v>1</v>
      </c>
      <c r="AA446" s="70">
        <f ca="1">IF(Table25[[#This Row],[Start Date]]&gt;TODAY(),1,)</f>
        <v>0</v>
      </c>
    </row>
    <row r="447" spans="1:27" s="52" customFormat="1" hidden="1" x14ac:dyDescent="0.25">
      <c r="B447" s="69"/>
      <c r="C447" s="70" t="e">
        <v>#N/A</v>
      </c>
      <c r="D447" s="70" t="e">
        <v>#N/A</v>
      </c>
      <c r="E447" s="69"/>
      <c r="F447" s="72"/>
      <c r="G447" s="72"/>
      <c r="H447" s="72"/>
      <c r="I447" s="71"/>
      <c r="J447" s="71"/>
      <c r="K447" s="71"/>
      <c r="L447" s="71"/>
      <c r="M447" s="71"/>
      <c r="N447" s="71"/>
      <c r="O447" s="69"/>
      <c r="P447" s="69"/>
      <c r="Q447" s="14" t="e">
        <v>#N/A</v>
      </c>
      <c r="R447" s="14" t="e">
        <v>#N/A</v>
      </c>
      <c r="S447" s="14"/>
      <c r="T447" s="73"/>
      <c r="U447" s="14"/>
      <c r="V447" s="14"/>
      <c r="W447" s="70"/>
      <c r="X447" s="69"/>
      <c r="Y447" s="79">
        <f ca="1">Table25[[#This Row],[End Date]]+2-TODAY()</f>
        <v>-46005</v>
      </c>
      <c r="Z447" s="14">
        <f>IF(ISBLANK(Table25[[#This Row],[Roster Received By]]),1,0)</f>
        <v>1</v>
      </c>
      <c r="AA447" s="70">
        <f ca="1">IF(Table25[[#This Row],[Start Date]]&gt;TODAY(),1,)</f>
        <v>0</v>
      </c>
    </row>
    <row r="448" spans="1:27" s="52" customFormat="1" hidden="1" x14ac:dyDescent="0.25">
      <c r="A448" s="112"/>
      <c r="B448" s="69"/>
      <c r="C448" s="70" t="e">
        <v>#N/A</v>
      </c>
      <c r="D448" s="70" t="e">
        <v>#N/A</v>
      </c>
      <c r="E448" s="69"/>
      <c r="F448" s="72"/>
      <c r="G448" s="72"/>
      <c r="H448" s="75"/>
      <c r="I448" s="75"/>
      <c r="J448" s="72"/>
      <c r="K448" s="72"/>
      <c r="L448" s="72"/>
      <c r="M448" s="72"/>
      <c r="N448" s="72"/>
      <c r="O448" s="69"/>
      <c r="P448" s="69"/>
      <c r="Q448" s="14" t="e">
        <v>#N/A</v>
      </c>
      <c r="R448" s="14" t="e">
        <v>#N/A</v>
      </c>
      <c r="S448" s="73"/>
      <c r="T448" s="73"/>
      <c r="U448" s="14"/>
      <c r="V448" s="14"/>
      <c r="W448" s="70"/>
      <c r="X448" s="69"/>
      <c r="Y448" s="79">
        <f ca="1">Table25[[#This Row],[End Date]]+2-TODAY()</f>
        <v>-46005</v>
      </c>
      <c r="Z448" s="14">
        <f>IF(ISBLANK(Table25[[#This Row],[Roster Received By]]),1,0)</f>
        <v>1</v>
      </c>
      <c r="AA448" s="70">
        <f ca="1">IF(Table25[[#This Row],[Start Date]]&gt;TODAY(),1,)</f>
        <v>0</v>
      </c>
    </row>
    <row r="449" spans="1:27" s="52" customFormat="1" hidden="1" x14ac:dyDescent="0.25">
      <c r="B449" s="69"/>
      <c r="C449" s="70" t="e">
        <v>#N/A</v>
      </c>
      <c r="D449" s="70" t="e">
        <v>#N/A</v>
      </c>
      <c r="E449" s="69"/>
      <c r="F449" s="72"/>
      <c r="G449" s="72"/>
      <c r="H449" s="72"/>
      <c r="I449" s="71"/>
      <c r="J449" s="71"/>
      <c r="K449" s="71"/>
      <c r="L449" s="71"/>
      <c r="M449" s="71"/>
      <c r="N449" s="71"/>
      <c r="O449" s="69"/>
      <c r="P449" s="69"/>
      <c r="Q449" s="14" t="e">
        <v>#N/A</v>
      </c>
      <c r="R449" s="14" t="e">
        <v>#N/A</v>
      </c>
      <c r="S449" s="14"/>
      <c r="T449" s="73"/>
      <c r="U449" s="14"/>
      <c r="V449" s="14"/>
      <c r="W449" s="70"/>
      <c r="X449" s="69"/>
      <c r="Y449" s="79">
        <f ca="1">Table25[[#This Row],[End Date]]+2-TODAY()</f>
        <v>-46005</v>
      </c>
      <c r="Z449" s="14">
        <f>IF(ISBLANK(Table25[[#This Row],[Roster Received By]]),1,0)</f>
        <v>1</v>
      </c>
      <c r="AA449" s="70">
        <f ca="1">IF(Table25[[#This Row],[Start Date]]&gt;TODAY(),1,)</f>
        <v>0</v>
      </c>
    </row>
    <row r="450" spans="1:27" s="52" customFormat="1" hidden="1" x14ac:dyDescent="0.25">
      <c r="A450" s="69"/>
      <c r="B450" s="69"/>
      <c r="C450" s="70" t="e">
        <v>#N/A</v>
      </c>
      <c r="D450" s="70" t="e">
        <v>#N/A</v>
      </c>
      <c r="E450" s="69"/>
      <c r="F450" s="72"/>
      <c r="G450" s="72"/>
      <c r="H450" s="72"/>
      <c r="I450" s="71"/>
      <c r="J450" s="71"/>
      <c r="K450" s="71"/>
      <c r="L450" s="71"/>
      <c r="M450" s="71"/>
      <c r="N450" s="71"/>
      <c r="O450" s="69"/>
      <c r="P450" s="69"/>
      <c r="Q450" s="14" t="e">
        <v>#N/A</v>
      </c>
      <c r="R450" s="14" t="e">
        <v>#N/A</v>
      </c>
      <c r="S450" s="14"/>
      <c r="T450" s="73"/>
      <c r="U450" s="14"/>
      <c r="V450" s="14"/>
      <c r="W450" s="70"/>
      <c r="X450" s="69"/>
      <c r="Y450" s="79">
        <f ca="1">Table25[[#This Row],[End Date]]+2-TODAY()</f>
        <v>-46005</v>
      </c>
      <c r="Z450" s="14">
        <f>IF(ISBLANK(Table25[[#This Row],[Roster Received By]]),1,0)</f>
        <v>1</v>
      </c>
      <c r="AA450" s="70">
        <f ca="1">IF(Table25[[#This Row],[Start Date]]&gt;TODAY(),1,)</f>
        <v>0</v>
      </c>
    </row>
    <row r="451" spans="1:27" s="52" customFormat="1" hidden="1" x14ac:dyDescent="0.25">
      <c r="B451" s="69"/>
      <c r="C451" s="70" t="e">
        <v>#N/A</v>
      </c>
      <c r="D451" s="70" t="e">
        <v>#N/A</v>
      </c>
      <c r="E451" s="69"/>
      <c r="F451" s="72"/>
      <c r="G451" s="72"/>
      <c r="H451" s="75"/>
      <c r="I451" s="75"/>
      <c r="J451" s="72"/>
      <c r="K451" s="72"/>
      <c r="L451" s="72"/>
      <c r="M451" s="72"/>
      <c r="N451" s="72"/>
      <c r="O451" s="69"/>
      <c r="P451" s="69"/>
      <c r="Q451" s="14" t="e">
        <v>#N/A</v>
      </c>
      <c r="R451" s="14" t="e">
        <v>#N/A</v>
      </c>
      <c r="S451" s="73"/>
      <c r="T451" s="73"/>
      <c r="U451" s="14"/>
      <c r="V451" s="14"/>
      <c r="W451" s="70"/>
      <c r="X451" s="69"/>
      <c r="Y451" s="79">
        <f ca="1">Table25[[#This Row],[End Date]]+2-TODAY()</f>
        <v>-46005</v>
      </c>
      <c r="Z451" s="14">
        <f>IF(ISBLANK(Table25[[#This Row],[Roster Received By]]),1,0)</f>
        <v>1</v>
      </c>
      <c r="AA451" s="70">
        <f ca="1">IF(Table25[[#This Row],[Start Date]]&gt;TODAY(),1,)</f>
        <v>0</v>
      </c>
    </row>
    <row r="452" spans="1:27" s="52" customFormat="1" hidden="1" x14ac:dyDescent="0.25">
      <c r="B452" s="69"/>
      <c r="C452" s="70" t="e">
        <v>#N/A</v>
      </c>
      <c r="D452" s="70" t="e">
        <v>#N/A</v>
      </c>
      <c r="E452" s="69"/>
      <c r="F452" s="72"/>
      <c r="G452" s="72"/>
      <c r="H452" s="75"/>
      <c r="I452" s="75"/>
      <c r="J452" s="72"/>
      <c r="K452" s="72"/>
      <c r="L452" s="72"/>
      <c r="M452" s="72"/>
      <c r="N452" s="72"/>
      <c r="O452" s="69"/>
      <c r="P452" s="69"/>
      <c r="Q452" s="14" t="e">
        <v>#N/A</v>
      </c>
      <c r="R452" s="14" t="e">
        <v>#N/A</v>
      </c>
      <c r="S452" s="14"/>
      <c r="T452" s="73"/>
      <c r="U452" s="14"/>
      <c r="V452" s="14"/>
      <c r="W452" s="70"/>
      <c r="X452" s="69"/>
      <c r="Y452" s="79">
        <f ca="1">Table25[[#This Row],[End Date]]+2-TODAY()</f>
        <v>-46005</v>
      </c>
      <c r="Z452" s="14">
        <f>IF(ISBLANK(Table25[[#This Row],[Roster Received By]]),1,0)</f>
        <v>1</v>
      </c>
      <c r="AA452" s="70">
        <f ca="1">IF(Table25[[#This Row],[Start Date]]&gt;TODAY(),1,)</f>
        <v>0</v>
      </c>
    </row>
    <row r="453" spans="1:27" s="52" customFormat="1" hidden="1" x14ac:dyDescent="0.25">
      <c r="B453" s="69"/>
      <c r="C453" s="70" t="e">
        <v>#N/A</v>
      </c>
      <c r="D453" s="70" t="e">
        <v>#N/A</v>
      </c>
      <c r="E453" s="69"/>
      <c r="F453" s="72"/>
      <c r="G453" s="72"/>
      <c r="H453" s="75"/>
      <c r="I453" s="75"/>
      <c r="J453" s="72"/>
      <c r="K453" s="72"/>
      <c r="L453" s="72"/>
      <c r="M453" s="72"/>
      <c r="N453" s="72"/>
      <c r="O453" s="69"/>
      <c r="P453" s="69"/>
      <c r="Q453" s="14" t="e">
        <v>#N/A</v>
      </c>
      <c r="R453" s="14" t="e">
        <v>#N/A</v>
      </c>
      <c r="S453" s="73"/>
      <c r="T453" s="73"/>
      <c r="U453" s="14"/>
      <c r="V453" s="14"/>
      <c r="W453" s="70"/>
      <c r="X453" s="69"/>
      <c r="Y453" s="79">
        <f ca="1">Table25[[#This Row],[End Date]]+2-TODAY()</f>
        <v>-46005</v>
      </c>
      <c r="Z453" s="14">
        <f>IF(ISBLANK(Table25[[#This Row],[Roster Received By]]),1,0)</f>
        <v>1</v>
      </c>
      <c r="AA453" s="70">
        <f ca="1">IF(Table25[[#This Row],[Start Date]]&gt;TODAY(),1,)</f>
        <v>0</v>
      </c>
    </row>
    <row r="454" spans="1:27" s="52" customFormat="1" hidden="1" x14ac:dyDescent="0.25">
      <c r="B454" s="69"/>
      <c r="C454" s="70" t="e">
        <v>#N/A</v>
      </c>
      <c r="D454" s="70" t="e">
        <v>#N/A</v>
      </c>
      <c r="E454" s="69"/>
      <c r="F454" s="72"/>
      <c r="G454" s="72"/>
      <c r="H454" s="75"/>
      <c r="I454" s="75"/>
      <c r="J454" s="72"/>
      <c r="K454" s="72"/>
      <c r="L454" s="72"/>
      <c r="M454" s="72"/>
      <c r="N454" s="72"/>
      <c r="O454" s="69"/>
      <c r="P454" s="69"/>
      <c r="Q454" s="14" t="e">
        <v>#N/A</v>
      </c>
      <c r="R454" s="14" t="e">
        <v>#N/A</v>
      </c>
      <c r="S454" s="14"/>
      <c r="T454" s="73"/>
      <c r="U454" s="14"/>
      <c r="V454" s="14"/>
      <c r="W454" s="14"/>
      <c r="X454" s="69"/>
      <c r="Y454" s="60">
        <f ca="1">Table25[[#This Row],[End Date]]+2-TODAY()</f>
        <v>-46005</v>
      </c>
      <c r="Z454" s="14">
        <f>IF(ISBLANK(Table25[[#This Row],[Roster Received By]]),1,0)</f>
        <v>1</v>
      </c>
      <c r="AA454" s="14">
        <f ca="1">IF(Table25[[#This Row],[Start Date]]&gt;TODAY(),1,)</f>
        <v>0</v>
      </c>
    </row>
    <row r="455" spans="1:27" s="52" customFormat="1" hidden="1" x14ac:dyDescent="0.25">
      <c r="B455" s="69"/>
      <c r="C455" s="70" t="e">
        <v>#N/A</v>
      </c>
      <c r="D455" s="70" t="e">
        <v>#N/A</v>
      </c>
      <c r="E455" s="69"/>
      <c r="F455" s="72"/>
      <c r="G455" s="72"/>
      <c r="H455" s="75"/>
      <c r="I455" s="75"/>
      <c r="J455" s="72"/>
      <c r="K455" s="72"/>
      <c r="L455" s="72"/>
      <c r="M455" s="72"/>
      <c r="N455" s="72"/>
      <c r="O455" s="69"/>
      <c r="P455" s="69"/>
      <c r="Q455" s="14" t="e">
        <v>#N/A</v>
      </c>
      <c r="R455" s="14" t="e">
        <v>#N/A</v>
      </c>
      <c r="S455" s="14"/>
      <c r="T455" s="73"/>
      <c r="U455" s="14"/>
      <c r="V455" s="14"/>
      <c r="W455" s="70"/>
      <c r="X455" s="69"/>
      <c r="Y455" s="79">
        <f ca="1">Table25[[#This Row],[End Date]]+2-TODAY()</f>
        <v>-46005</v>
      </c>
      <c r="Z455" s="14">
        <f>IF(ISBLANK(Table25[[#This Row],[Roster Received By]]),1,0)</f>
        <v>1</v>
      </c>
      <c r="AA455" s="70">
        <f ca="1">IF(Table25[[#This Row],[Start Date]]&gt;TODAY(),1,)</f>
        <v>0</v>
      </c>
    </row>
    <row r="456" spans="1:27" s="52" customFormat="1" hidden="1" x14ac:dyDescent="0.25">
      <c r="B456" s="69"/>
      <c r="C456" s="70" t="e">
        <v>#N/A</v>
      </c>
      <c r="D456" s="70" t="e">
        <v>#N/A</v>
      </c>
      <c r="E456" s="54"/>
      <c r="F456" s="72"/>
      <c r="G456" s="72"/>
      <c r="H456" s="75"/>
      <c r="I456" s="75"/>
      <c r="J456" s="72"/>
      <c r="K456" s="72"/>
      <c r="L456" s="72"/>
      <c r="M456" s="72"/>
      <c r="N456" s="72"/>
      <c r="O456" s="69"/>
      <c r="P456" s="69"/>
      <c r="Q456" s="14" t="e">
        <v>#N/A</v>
      </c>
      <c r="R456" s="14" t="e">
        <v>#N/A</v>
      </c>
      <c r="S456" s="14"/>
      <c r="T456" s="73"/>
      <c r="U456" s="14"/>
      <c r="V456" s="14"/>
      <c r="W456" s="70"/>
      <c r="X456" s="69"/>
      <c r="Y456" s="79">
        <f ca="1">Table25[[#This Row],[End Date]]+2-TODAY()</f>
        <v>-46005</v>
      </c>
      <c r="Z456" s="14">
        <f>IF(ISBLANK(Table25[[#This Row],[Roster Received By]]),1,0)</f>
        <v>1</v>
      </c>
      <c r="AA456" s="70">
        <f ca="1">IF(Table25[[#This Row],[Start Date]]&gt;TODAY(),1,)</f>
        <v>0</v>
      </c>
    </row>
    <row r="457" spans="1:27" s="52" customFormat="1" hidden="1" x14ac:dyDescent="0.25">
      <c r="B457" s="69"/>
      <c r="C457" s="70" t="e">
        <v>#N/A</v>
      </c>
      <c r="D457" s="70" t="e">
        <v>#N/A</v>
      </c>
      <c r="E457" s="69"/>
      <c r="F457" s="72"/>
      <c r="G457" s="72"/>
      <c r="H457" s="75"/>
      <c r="I457" s="75"/>
      <c r="J457" s="72"/>
      <c r="K457" s="72"/>
      <c r="L457" s="72"/>
      <c r="M457" s="72"/>
      <c r="N457" s="72"/>
      <c r="O457" s="69"/>
      <c r="P457" s="69"/>
      <c r="Q457" s="14" t="e">
        <v>#N/A</v>
      </c>
      <c r="R457" s="14" t="e">
        <v>#N/A</v>
      </c>
      <c r="S457" s="73"/>
      <c r="T457" s="73"/>
      <c r="U457" s="14"/>
      <c r="V457" s="14"/>
      <c r="W457" s="70"/>
      <c r="X457" s="69"/>
      <c r="Y457" s="79">
        <f ca="1">Table25[[#This Row],[End Date]]+2-TODAY()</f>
        <v>-46005</v>
      </c>
      <c r="Z457" s="14">
        <f>IF(ISBLANK(Table25[[#This Row],[Roster Received By]]),1,0)</f>
        <v>1</v>
      </c>
      <c r="AA457" s="70">
        <f ca="1">IF(Table25[[#This Row],[Start Date]]&gt;TODAY(),1,)</f>
        <v>0</v>
      </c>
    </row>
    <row r="458" spans="1:27" s="52" customFormat="1" ht="15.75" hidden="1" thickBot="1" x14ac:dyDescent="0.3">
      <c r="A458" s="113"/>
      <c r="B458" s="113"/>
      <c r="C458" s="114" t="e">
        <v>#N/A</v>
      </c>
      <c r="D458" s="114" t="e">
        <v>#N/A</v>
      </c>
      <c r="E458" s="69"/>
      <c r="F458" s="72"/>
      <c r="G458" s="72"/>
      <c r="H458" s="75"/>
      <c r="I458" s="75"/>
      <c r="J458" s="115"/>
      <c r="K458" s="115"/>
      <c r="L458" s="115"/>
      <c r="M458" s="115"/>
      <c r="N458" s="115"/>
      <c r="O458" s="69"/>
      <c r="P458" s="69"/>
      <c r="Q458" s="14" t="e">
        <v>#N/A</v>
      </c>
      <c r="R458" s="14" t="e">
        <v>#N/A</v>
      </c>
      <c r="S458" s="116"/>
      <c r="T458" s="73"/>
      <c r="U458" s="14"/>
      <c r="V458" s="14"/>
      <c r="W458" s="14"/>
      <c r="X458" s="69"/>
      <c r="Y458" s="60">
        <f ca="1">Table25[[#This Row],[End Date]]+2-TODAY()</f>
        <v>-46005</v>
      </c>
      <c r="Z458" s="14">
        <f>IF(ISBLANK(Table25[[#This Row],[Roster Received By]]),1,0)</f>
        <v>1</v>
      </c>
      <c r="AA458" s="14">
        <f ca="1">IF(Table25[[#This Row],[Start Date]]&gt;TODAY(),1,)</f>
        <v>0</v>
      </c>
    </row>
    <row r="459" spans="1:27" x14ac:dyDescent="0.25">
      <c r="A459" s="139" t="s">
        <v>128</v>
      </c>
      <c r="B459" s="139">
        <f>SUBTOTAL(103,Table25[Course Title])</f>
        <v>27</v>
      </c>
      <c r="C459" s="139"/>
      <c r="D459" s="139"/>
      <c r="E459" s="139"/>
      <c r="F459" s="140"/>
      <c r="G459" s="140"/>
      <c r="H459" s="139"/>
      <c r="I459" s="139"/>
      <c r="J459" s="139"/>
      <c r="K459" s="139"/>
      <c r="L459" s="139"/>
      <c r="M459" s="139"/>
      <c r="N459" s="139"/>
      <c r="O459" s="139"/>
      <c r="P459" s="139"/>
      <c r="Q459" s="141">
        <f>SUBTOTAL(109,Q4:Q458)</f>
        <v>810</v>
      </c>
      <c r="R459" s="141">
        <f>SUBTOTAL(109,Table25[Course Length (Days)])</f>
        <v>135</v>
      </c>
      <c r="S459" s="141">
        <f>SUBTOTAL(109,S4:S458)</f>
        <v>0</v>
      </c>
      <c r="T459" s="141">
        <f t="shared" ref="T459:W459" si="0">SUBTOTAL(109,T4:T458)</f>
        <v>0</v>
      </c>
      <c r="U459" s="141">
        <f t="shared" si="0"/>
        <v>0</v>
      </c>
      <c r="V459" s="141">
        <f t="shared" si="0"/>
        <v>0</v>
      </c>
      <c r="W459" s="141">
        <f t="shared" si="0"/>
        <v>0</v>
      </c>
      <c r="X459" s="139">
        <f>SUBTOTAL(103,Table25[Roster Received By])</f>
        <v>0</v>
      </c>
      <c r="Y459" s="142"/>
      <c r="Z459" s="139"/>
      <c r="AA459" s="139"/>
    </row>
  </sheetData>
  <protectedRanges>
    <protectedRange algorithmName="SHA-512" hashValue="n6K25g9uzAcpntxjqTQaPVdKX1eij75CLB1gBuUNBybVL5B3VaxVW/Tcen54TXijIel0fCN9KO3xZiLZCJMSZw==" saltValue="89UdTK4UUElaUoKBccfOYw==" spinCount="100000" sqref="C3:D3" name="CIN CDP"/>
    <protectedRange algorithmName="SHA-512" hashValue="n6K25g9uzAcpntxjqTQaPVdKX1eij75CLB1gBuUNBybVL5B3VaxVW/Tcen54TXijIel0fCN9KO3xZiLZCJMSZw==" saltValue="89UdTK4UUElaUoKBccfOYw==" spinCount="100000" sqref="C183:D458 C113:D181 C4:D112" name="CIN CDP_1"/>
    <protectedRange algorithmName="SHA-512" hashValue="n6K25g9uzAcpntxjqTQaPVdKX1eij75CLB1gBuUNBybVL5B3VaxVW/Tcen54TXijIel0fCN9KO3xZiLZCJMSZw==" saltValue="89UdTK4UUElaUoKBccfOYw==" spinCount="100000" sqref="C182:D182" name="CIN CDP_1_1_2"/>
  </protectedRanges>
  <conditionalFormatting sqref="A14">
    <cfRule type="expression" dxfId="1611" priority="27">
      <formula>$T14="McQueen, Jennifer"</formula>
    </cfRule>
    <cfRule type="expression" dxfId="1610" priority="25">
      <formula>$T14="Benzick, Sue"</formula>
    </cfRule>
    <cfRule type="expression" dxfId="1609" priority="26">
      <formula>$T14="Jenne, Richard"</formula>
    </cfRule>
  </conditionalFormatting>
  <conditionalFormatting sqref="A5:B8 A9:A10 A34:A35 A36:B36 A37 A38:B39 J39:N44 A41:A43 F41:G44 A44:B54 E45:G45 F46:G46 E47:G48 F49:G50 J51:N51 F51:F52 E53:F53 J53:N53 E54:H54 A55:A57 E58 E59:F63 A59:A67 F64 E65:F66 A69:A71 B70 J75:N75 A76:A77 B86 A86:A87 A110:B110 A114 A124:A128 A130:A136 A138:A140 J142:N142 A142:A150 J144:N145 E147:E151 J149:N149 B150:B151 A152:A171 B153:B155 B157:B172 J158:N162 J165:N165 E167:E168 J167:N168 E170:E172 A173:B173 J174:N174 B174:B181 E174:E181 A175:A176 J176:N177 A178 J180:N181 J183:N186 E183:E190 B183:B191 A185:A189 F186:G186 F188:H190 E192:E198 A192:B200 E200 B201:B202 A201:A214 B208 A216:A230 B217:B219 B222 B226 A232:A236 J236:N236 A240 A248 A269 A280 A287 E288:E295 E297:E310 F299:H299 F301:H301 E312:E315 A315 A328 A371 E381:E386 E388:E393 M394:N394 E395:E397 E399:E403 A411 E412:E419 A417 A422">
    <cfRule type="expression" dxfId="1608" priority="212">
      <formula>$T5="Jenne, Richard"</formula>
    </cfRule>
    <cfRule type="expression" dxfId="1607" priority="213">
      <formula>$T5="McQueen, Jennifer"</formula>
    </cfRule>
    <cfRule type="expression" dxfId="1606" priority="211">
      <formula>$T5="Benzick, Sue"</formula>
    </cfRule>
  </conditionalFormatting>
  <conditionalFormatting sqref="A182:B182">
    <cfRule type="expression" dxfId="1605" priority="43">
      <formula>$T182="Benzick, Sue"</formula>
    </cfRule>
    <cfRule type="expression" dxfId="1604" priority="44">
      <formula>$T182="Jenne, Richard"</formula>
    </cfRule>
    <cfRule type="expression" dxfId="1603" priority="45">
      <formula>$T182="McQueen, Jennifer"</formula>
    </cfRule>
  </conditionalFormatting>
  <conditionalFormatting sqref="B95">
    <cfRule type="expression" dxfId="1602" priority="22">
      <formula>$T95="Benzick, Sue"</formula>
    </cfRule>
    <cfRule type="expression" dxfId="1601" priority="23">
      <formula>$T95="Jenne, Richard"</formula>
    </cfRule>
    <cfRule type="expression" dxfId="1600" priority="24">
      <formula>$T95="McQueen, Jennifer"</formula>
    </cfRule>
  </conditionalFormatting>
  <conditionalFormatting sqref="E154">
    <cfRule type="expression" dxfId="1599" priority="52">
      <formula>#REF!="Benzick, Sue"</formula>
    </cfRule>
    <cfRule type="expression" dxfId="1598" priority="53">
      <formula>#REF!="Jenne, Richard"</formula>
    </cfRule>
    <cfRule type="expression" dxfId="1597" priority="54">
      <formula>#REF!="McQueen, Jennifer"</formula>
    </cfRule>
  </conditionalFormatting>
  <conditionalFormatting sqref="E95:F95 F96">
    <cfRule type="expression" dxfId="1596" priority="19">
      <formula>$R95="Benzick, Sue"</formula>
    </cfRule>
    <cfRule type="expression" dxfId="1595" priority="20">
      <formula>$R95="Jenne, Richard"</formula>
    </cfRule>
    <cfRule type="expression" dxfId="1594" priority="21">
      <formula>$R95="McQueen, Jennifer"</formula>
    </cfRule>
  </conditionalFormatting>
  <conditionalFormatting sqref="E98:F98">
    <cfRule type="expression" dxfId="1593" priority="17">
      <formula>$R98="Jenne, Richard"</formula>
    </cfRule>
    <cfRule type="expression" dxfId="1592" priority="18">
      <formula>$R98="McQueen, Jennifer"</formula>
    </cfRule>
    <cfRule type="expression" dxfId="1591" priority="16">
      <formula>$R98="Benzick, Sue"</formula>
    </cfRule>
  </conditionalFormatting>
  <conditionalFormatting sqref="E113:G115 E116:H116 F117:G117">
    <cfRule type="expression" dxfId="1590" priority="200">
      <formula>#REF!="Jenne, Richard"</formula>
    </cfRule>
    <cfRule type="expression" dxfId="1589" priority="199">
      <formula>#REF!="Benzick, Sue"</formula>
    </cfRule>
    <cfRule type="expression" dxfId="1588" priority="201">
      <formula>#REF!="McQueen, Jennifer"</formula>
    </cfRule>
  </conditionalFormatting>
  <conditionalFormatting sqref="E121:G122">
    <cfRule type="expression" dxfId="1587" priority="178">
      <formula>#REF!="Benzick, Sue"</formula>
    </cfRule>
    <cfRule type="expression" dxfId="1586" priority="179">
      <formula>#REF!="Jenne, Richard"</formula>
    </cfRule>
    <cfRule type="expression" dxfId="1585" priority="180">
      <formula>#REF!="McQueen, Jennifer"</formula>
    </cfRule>
  </conditionalFormatting>
  <conditionalFormatting sqref="E199:G199 H219:I219 H220 H221:I226 I234 H235:I236 H239:I245 H255:I256 H258:I258 H274:I274 H275 H276:I280 H288:I288">
    <cfRule type="expression" dxfId="1584" priority="189">
      <formula>#REF!="McQueen, Jennifer"</formula>
    </cfRule>
    <cfRule type="expression" dxfId="1583" priority="188">
      <formula>#REF!="Jenne, Richard"</formula>
    </cfRule>
    <cfRule type="expression" dxfId="1582" priority="187">
      <formula>#REF!="Benzick, Sue"</formula>
    </cfRule>
  </conditionalFormatting>
  <conditionalFormatting sqref="E213:G217">
    <cfRule type="expression" dxfId="1581" priority="166">
      <formula>#REF!="Benzick, Sue"</formula>
    </cfRule>
    <cfRule type="expression" dxfId="1580" priority="167">
      <formula>#REF!="Jenne, Richard"</formula>
    </cfRule>
    <cfRule type="expression" dxfId="1579" priority="168">
      <formula>#REF!="McQueen, Jennifer"</formula>
    </cfRule>
  </conditionalFormatting>
  <conditionalFormatting sqref="E445:G445 E458:G458">
    <cfRule type="expression" dxfId="1578" priority="156">
      <formula>#REF!="McQueen, Jennifer"</formula>
    </cfRule>
    <cfRule type="expression" dxfId="1577" priority="154">
      <formula>#REF!="Benzick, Sue"</formula>
    </cfRule>
    <cfRule type="expression" dxfId="1576" priority="155">
      <formula>#REF!="Jenne, Richard"</formula>
    </cfRule>
  </conditionalFormatting>
  <conditionalFormatting sqref="E119:H120">
    <cfRule type="expression" dxfId="1575" priority="197">
      <formula>#REF!="Jenne, Richard"</formula>
    </cfRule>
    <cfRule type="expression" dxfId="1574" priority="196">
      <formula>#REF!="Benzick, Sue"</formula>
    </cfRule>
    <cfRule type="expression" dxfId="1573" priority="198">
      <formula>#REF!="McQueen, Jennifer"</formula>
    </cfRule>
  </conditionalFormatting>
  <conditionalFormatting sqref="E123:H124 E125:G125">
    <cfRule type="expression" dxfId="1572" priority="181">
      <formula>#REF!="Benzick, Sue"</formula>
    </cfRule>
    <cfRule type="expression" dxfId="1571" priority="182">
      <formula>#REF!="Jenne, Richard"</formula>
    </cfRule>
    <cfRule type="expression" dxfId="1570" priority="183">
      <formula>#REF!="McQueen, Jennifer"</formula>
    </cfRule>
  </conditionalFormatting>
  <conditionalFormatting sqref="E126:H126 E130:H130 F131:I131 E132:I132 H133:I135 H138:I145 H147:I147 H149:I149 H154:I154 H161 H162:I162 H165:I165 H167:I168 H170:I170 H172:I174 H177:I177 I184 H185:I186 H187 H191">
    <cfRule type="expression" dxfId="1569" priority="184">
      <formula>#REF!="Benzick, Sue"</formula>
    </cfRule>
    <cfRule type="expression" dxfId="1568" priority="186">
      <formula>#REF!="McQueen, Jennifer"</formula>
    </cfRule>
    <cfRule type="expression" dxfId="1567" priority="185">
      <formula>#REF!="Jenne, Richard"</formula>
    </cfRule>
  </conditionalFormatting>
  <conditionalFormatting sqref="E200:H200 E201:G205 F206:G206 E207:G207 E208:I210 E211:H211 H229:I233 H247:I248 H250:I250 H263:I264 H269:I269 H271:I272 H282:I282 H287:N287">
    <cfRule type="expression" dxfId="1566" priority="174">
      <formula>#REF!="McQueen, Jennifer"</formula>
    </cfRule>
    <cfRule type="expression" dxfId="1565" priority="173">
      <formula>#REF!="Jenne, Richard"</formula>
    </cfRule>
    <cfRule type="expression" dxfId="1564" priority="172">
      <formula>#REF!="Benzick, Sue"</formula>
    </cfRule>
  </conditionalFormatting>
  <conditionalFormatting sqref="E218:H218">
    <cfRule type="expression" dxfId="1563" priority="169">
      <formula>#REF!="Benzick, Sue"</formula>
    </cfRule>
    <cfRule type="expression" dxfId="1562" priority="170">
      <formula>#REF!="Jenne, Richard"</formula>
    </cfRule>
    <cfRule type="expression" dxfId="1561" priority="171">
      <formula>#REF!="McQueen, Jennifer"</formula>
    </cfRule>
  </conditionalFormatting>
  <conditionalFormatting sqref="F153 F159:F160 F163">
    <cfRule type="expression" dxfId="1560" priority="151">
      <formula>$S154="Benzick, Sue"</formula>
    </cfRule>
    <cfRule type="expression" dxfId="1559" priority="153">
      <formula>$S154="McQueen, Jennifer"</formula>
    </cfRule>
    <cfRule type="expression" dxfId="1558" priority="152">
      <formula>$S154="Jenne, Richard"</formula>
    </cfRule>
  </conditionalFormatting>
  <conditionalFormatting sqref="F154:F155 F164">
    <cfRule type="expression" dxfId="1557" priority="150">
      <formula>$S156="McQueen, Jennifer"</formula>
    </cfRule>
    <cfRule type="expression" dxfId="1556" priority="149">
      <formula>$S156="Jenne, Richard"</formula>
    </cfRule>
    <cfRule type="expression" dxfId="1555" priority="148">
      <formula>$S156="Benzick, Sue"</formula>
    </cfRule>
  </conditionalFormatting>
  <conditionalFormatting sqref="F162">
    <cfRule type="expression" dxfId="1554" priority="143">
      <formula>#REF!="Jenne, Richard"</formula>
    </cfRule>
    <cfRule type="expression" dxfId="1553" priority="142">
      <formula>#REF!="Benzick, Sue"</formula>
    </cfRule>
    <cfRule type="expression" dxfId="1552" priority="144">
      <formula>#REF!="McQueen, Jennifer"</formula>
    </cfRule>
  </conditionalFormatting>
  <conditionalFormatting sqref="F166">
    <cfRule type="expression" dxfId="1551" priority="141">
      <formula>$S170="McQueen, Jennifer"</formula>
    </cfRule>
    <cfRule type="expression" dxfId="1550" priority="139">
      <formula>$S170="Benzick, Sue"</formula>
    </cfRule>
    <cfRule type="expression" dxfId="1549" priority="140">
      <formula>$S170="Jenne, Richard"</formula>
    </cfRule>
  </conditionalFormatting>
  <conditionalFormatting sqref="F193 F195">
    <cfRule type="expression" dxfId="1548" priority="205">
      <formula>$T194="Benzick, Sue"</formula>
    </cfRule>
    <cfRule type="expression" dxfId="1547" priority="206">
      <formula>$T194="Jenne, Richard"</formula>
    </cfRule>
    <cfRule type="expression" dxfId="1546" priority="207">
      <formula>$T194="McQueen, Jennifer"</formula>
    </cfRule>
  </conditionalFormatting>
  <conditionalFormatting sqref="F194">
    <cfRule type="expression" dxfId="1545" priority="227">
      <formula>#REF!="Jenne, Richard"</formula>
    </cfRule>
    <cfRule type="expression" dxfId="1544" priority="226">
      <formula>#REF!="Benzick, Sue"</formula>
    </cfRule>
    <cfRule type="expression" dxfId="1543" priority="228">
      <formula>#REF!="McQueen, Jennifer"</formula>
    </cfRule>
  </conditionalFormatting>
  <conditionalFormatting sqref="F302">
    <cfRule type="expression" dxfId="1542" priority="224">
      <formula>#REF!="Jenne, Richard"</formula>
    </cfRule>
    <cfRule type="expression" dxfId="1541" priority="225">
      <formula>#REF!="McQueen, Jennifer"</formula>
    </cfRule>
    <cfRule type="expression" dxfId="1540" priority="223">
      <formula>#REF!="Benzick, Sue"</formula>
    </cfRule>
  </conditionalFormatting>
  <conditionalFormatting sqref="F67:G67 E68:H68 E86:F86 F87 E89:F89 E109:F110 F135:G135 F150:F151 J217:M217">
    <cfRule type="expression" dxfId="1539" priority="210">
      <formula>$R67="McQueen, Jennifer"</formula>
    </cfRule>
    <cfRule type="expression" dxfId="1538" priority="208">
      <formula>$R67="Benzick, Sue"</formula>
    </cfRule>
    <cfRule type="expression" dxfId="1537" priority="209">
      <formula>$R67="Jenne, Richard"</formula>
    </cfRule>
  </conditionalFormatting>
  <conditionalFormatting sqref="F162:G162">
    <cfRule type="expression" dxfId="1536" priority="145">
      <formula>#REF!="Benzick, Sue"</formula>
    </cfRule>
    <cfRule type="expression" dxfId="1535" priority="147">
      <formula>#REF!="McQueen, Jennifer"</formula>
    </cfRule>
    <cfRule type="expression" dxfId="1534" priority="146">
      <formula>#REF!="Jenne, Richard"</formula>
    </cfRule>
  </conditionalFormatting>
  <conditionalFormatting sqref="F296:H296 H397:I402 H403">
    <cfRule type="expression" dxfId="1533" priority="165">
      <formula>#REF!="McQueen, Jennifer"</formula>
    </cfRule>
    <cfRule type="expression" dxfId="1532" priority="164">
      <formula>#REF!="Jenne, Richard"</formula>
    </cfRule>
    <cfRule type="expression" dxfId="1531" priority="163">
      <formula>#REF!="Benzick, Sue"</formula>
    </cfRule>
  </conditionalFormatting>
  <conditionalFormatting sqref="F297:H298 F382:H382 F384:H384 F385:G386">
    <cfRule type="expression" dxfId="1530" priority="160">
      <formula>$P297="Benzick, Sue"</formula>
    </cfRule>
    <cfRule type="expression" dxfId="1529" priority="162">
      <formula>$P297="McQueen, Jennifer"</formula>
    </cfRule>
    <cfRule type="expression" dxfId="1528" priority="161">
      <formula>$P297="Jenne, Richard"</formula>
    </cfRule>
  </conditionalFormatting>
  <conditionalFormatting sqref="F381:H381 F383:H383 F387:H388 F389:G390 F391:H393 F394:I394 F395:H396 F397:G398 H404:I404 H406:I409">
    <cfRule type="expression" dxfId="1527" priority="159">
      <formula>#REF!="McQueen, Jennifer"</formula>
    </cfRule>
    <cfRule type="expression" dxfId="1526" priority="158">
      <formula>#REF!="Jenne, Richard"</formula>
    </cfRule>
    <cfRule type="expression" dxfId="1525" priority="157">
      <formula>#REF!="Benzick, Sue"</formula>
    </cfRule>
  </conditionalFormatting>
  <conditionalFormatting sqref="G4:I4 H5:I11 H12:N12 J13:N13 H13:I16 H17:N17 H18:I31 G32:I35 G36:N36 G37:I37 F38:I38 F39:G40 H39:I44 H45:N50 H51:I53 I54:N54 I55 H56:I58 I59:I61 H62:I67 J65:N65 J67:N67 I68:N69 H69:H71 I70:I85 J72:N73 H74:H75 J76:N76 H77:H78 J79:N81 H82 J83:N83 H84:H85 H86:I88 H89:H103 I89:N105 H105 I116:N116 H117:I117 E118:I118 I119:N120 I123:N124 I126:N127 E127:G127 I130:N130 I136:N136 I146 I148:N148 I150:N153 I155:N157 H158:I160 I163:N164 H166:N166 I169:N169 H171:N171 I173:N173 I178:N179 H180:I181 H183:I183 I192:N192 I194:N198 H200:N200 H203 H206:N206 I211 H212:I217 I218 I227:N228 I237:N238 I249:N249 I251:N253 I254 I259:N262 I265:N268 I270:N270 I273:N273 I281:N281 I283:N284 I286:N286 I290:N290 I293:N294 H295:I295 I296:N299 H300:I300 I301:N301 I305:N305 H306:I306 H307:N307 I308:N311 H314:I314 I316:N316 I319:N321 I325:N325 I329:N330 I333:N333 I336:N336 I340:N340 I345:N345 I349:N349 I351:N351 I353:N353 H354:I354 I359:N359 H362:I362 I364:N367 I374:N374 I378:N384 I387:N388 I391:N391 I392 I393:N393 I395:N396 I405:N405 I410:N411 H412:I412 I413:N414 H415:I416 I417:N417 H418:I418 I419 H420:I429 I430:N431 H432:I432 I433:N434 H435:I436 H443:I450 F446:G457 I451 H452:I458">
    <cfRule type="expression" dxfId="1524" priority="202">
      <formula>#REF!="Benzick, Sue"</formula>
    </cfRule>
    <cfRule type="expression" dxfId="1523" priority="204">
      <formula>#REF!="McQueen, Jennifer"</formula>
    </cfRule>
    <cfRule type="expression" dxfId="1522" priority="203">
      <formula>#REF!="Jenne, Richard"</formula>
    </cfRule>
  </conditionalFormatting>
  <conditionalFormatting sqref="G182:N182">
    <cfRule type="expression" dxfId="1521" priority="40">
      <formula>#REF!="Benzick, Sue"</formula>
    </cfRule>
    <cfRule type="expression" dxfId="1520" priority="41">
      <formula>#REF!="Jenne, Richard"</formula>
    </cfRule>
    <cfRule type="expression" dxfId="1519" priority="42">
      <formula>#REF!="McQueen, Jennifer"</formula>
    </cfRule>
  </conditionalFormatting>
  <conditionalFormatting sqref="H55 H61 H121:I122 H125:I125 H127 H128:I129 H137 H169 H173 H175:H176 H184">
    <cfRule type="expression" dxfId="1518" priority="177">
      <formula>#REF!="McQueen, Jennifer"</formula>
    </cfRule>
    <cfRule type="expression" dxfId="1517" priority="176">
      <formula>#REF!="Jenne, Richard"</formula>
    </cfRule>
    <cfRule type="expression" dxfId="1516" priority="175">
      <formula>#REF!="Benzick, Sue"</formula>
    </cfRule>
  </conditionalFormatting>
  <conditionalFormatting sqref="H234">
    <cfRule type="expression" dxfId="1515" priority="37">
      <formula>#REF!="Benzick, Sue"</formula>
    </cfRule>
    <cfRule type="expression" dxfId="1514" priority="38">
      <formula>#REF!="Jenne, Richard"</formula>
    </cfRule>
    <cfRule type="expression" dxfId="1513" priority="39">
      <formula>#REF!="McQueen, Jennifer"</formula>
    </cfRule>
  </conditionalFormatting>
  <conditionalFormatting sqref="H106:I115">
    <cfRule type="expression" dxfId="1512" priority="191">
      <formula>#REF!="Jenne, Richard"</formula>
    </cfRule>
    <cfRule type="expression" dxfId="1511" priority="190">
      <formula>#REF!="Benzick, Sue"</formula>
    </cfRule>
    <cfRule type="expression" dxfId="1510" priority="192">
      <formula>#REF!="McQueen, Jennifer"</formula>
    </cfRule>
  </conditionalFormatting>
  <conditionalFormatting sqref="I161">
    <cfRule type="expression" dxfId="1509" priority="34">
      <formula>#REF!="Benzick, Sue"</formula>
    </cfRule>
    <cfRule type="expression" dxfId="1508" priority="35">
      <formula>#REF!="Jenne, Richard"</formula>
    </cfRule>
    <cfRule type="expression" dxfId="1507" priority="36">
      <formula>#REF!="McQueen, Jennifer"</formula>
    </cfRule>
  </conditionalFormatting>
  <conditionalFormatting sqref="I175:I176">
    <cfRule type="expression" dxfId="1506" priority="55">
      <formula>#REF!="Benzick, Sue"</formula>
    </cfRule>
    <cfRule type="expression" dxfId="1505" priority="56">
      <formula>#REF!="Jenne, Richard"</formula>
    </cfRule>
    <cfRule type="expression" dxfId="1504" priority="57">
      <formula>#REF!="McQueen, Jennifer"</formula>
    </cfRule>
  </conditionalFormatting>
  <conditionalFormatting sqref="I203">
    <cfRule type="expression" dxfId="1503" priority="118">
      <formula>#REF!="Benzick, Sue"</formula>
    </cfRule>
    <cfRule type="expression" dxfId="1502" priority="119">
      <formula>#REF!="Jenne, Richard"</formula>
    </cfRule>
    <cfRule type="expression" dxfId="1501" priority="120">
      <formula>#REF!="McQueen, Jennifer"</formula>
    </cfRule>
  </conditionalFormatting>
  <conditionalFormatting sqref="I220">
    <cfRule type="expression" dxfId="1500" priority="82">
      <formula>#REF!="Benzick, Sue"</formula>
    </cfRule>
    <cfRule type="expression" dxfId="1499" priority="83">
      <formula>#REF!="Jenne, Richard"</formula>
    </cfRule>
    <cfRule type="expression" dxfId="1498" priority="84">
      <formula>#REF!="McQueen, Jennifer"</formula>
    </cfRule>
  </conditionalFormatting>
  <conditionalFormatting sqref="I246">
    <cfRule type="expression" dxfId="1497" priority="76">
      <formula>#REF!="Benzick, Sue"</formula>
    </cfRule>
    <cfRule type="expression" dxfId="1496" priority="77">
      <formula>#REF!="Jenne, Richard"</formula>
    </cfRule>
    <cfRule type="expression" dxfId="1495" priority="78">
      <formula>#REF!="McQueen, Jennifer"</formula>
    </cfRule>
  </conditionalFormatting>
  <conditionalFormatting sqref="I285">
    <cfRule type="expression" dxfId="1494" priority="112">
      <formula>#REF!="Benzick, Sue"</formula>
    </cfRule>
    <cfRule type="expression" dxfId="1493" priority="114">
      <formula>#REF!="McQueen, Jennifer"</formula>
    </cfRule>
    <cfRule type="expression" dxfId="1492" priority="113">
      <formula>#REF!="Jenne, Richard"</formula>
    </cfRule>
  </conditionalFormatting>
  <conditionalFormatting sqref="I332">
    <cfRule type="expression" dxfId="1491" priority="116">
      <formula>#REF!="Jenne, Richard"</formula>
    </cfRule>
    <cfRule type="expression" dxfId="1490" priority="115">
      <formula>#REF!="Benzick, Sue"</formula>
    </cfRule>
    <cfRule type="expression" dxfId="1489" priority="117">
      <formula>#REF!="McQueen, Jennifer"</formula>
    </cfRule>
  </conditionalFormatting>
  <conditionalFormatting sqref="I187:N190">
    <cfRule type="expression" dxfId="1488" priority="94">
      <formula>#REF!="Benzick, Sue"</formula>
    </cfRule>
    <cfRule type="expression" dxfId="1487" priority="96">
      <formula>#REF!="McQueen, Jennifer"</formula>
    </cfRule>
    <cfRule type="expression" dxfId="1486" priority="95">
      <formula>#REF!="Jenne, Richard"</formula>
    </cfRule>
  </conditionalFormatting>
  <conditionalFormatting sqref="I257:N257">
    <cfRule type="expression" dxfId="1485" priority="29">
      <formula>#REF!="Jenne, Richard"</formula>
    </cfRule>
    <cfRule type="expression" dxfId="1484" priority="30">
      <formula>#REF!="McQueen, Jennifer"</formula>
    </cfRule>
    <cfRule type="expression" dxfId="1483" priority="28">
      <formula>#REF!="Benzick, Sue"</formula>
    </cfRule>
  </conditionalFormatting>
  <conditionalFormatting sqref="I275:N275">
    <cfRule type="expression" dxfId="1482" priority="31">
      <formula>#REF!="Benzick, Sue"</formula>
    </cfRule>
    <cfRule type="expression" dxfId="1481" priority="33">
      <formula>#REF!="McQueen, Jennifer"</formula>
    </cfRule>
    <cfRule type="expression" dxfId="1480" priority="32">
      <formula>#REF!="Jenne, Richard"</formula>
    </cfRule>
  </conditionalFormatting>
  <conditionalFormatting sqref="I403:N403">
    <cfRule type="expression" dxfId="1479" priority="93">
      <formula>#REF!="McQueen, Jennifer"</formula>
    </cfRule>
    <cfRule type="expression" dxfId="1478" priority="91">
      <formula>#REF!="Benzick, Sue"</formula>
    </cfRule>
    <cfRule type="expression" dxfId="1477" priority="92">
      <formula>#REF!="Jenne, Richard"</formula>
    </cfRule>
  </conditionalFormatting>
  <conditionalFormatting sqref="I437:N442">
    <cfRule type="expression" dxfId="1476" priority="121">
      <formula>#REF!="Benzick, Sue"</formula>
    </cfRule>
    <cfRule type="expression" dxfId="1475" priority="122">
      <formula>#REF!="Jenne, Richard"</formula>
    </cfRule>
    <cfRule type="expression" dxfId="1474" priority="123">
      <formula>#REF!="McQueen, Jennifer"</formula>
    </cfRule>
  </conditionalFormatting>
  <conditionalFormatting sqref="J62">
    <cfRule type="expression" dxfId="1473" priority="111">
      <formula>#REF!="McQueen, Jennifer"</formula>
    </cfRule>
    <cfRule type="expression" dxfId="1472" priority="110">
      <formula>#REF!="Jenne, Richard"</formula>
    </cfRule>
    <cfRule type="expression" dxfId="1471" priority="109">
      <formula>#REF!="Benzick, Sue"</formula>
    </cfRule>
  </conditionalFormatting>
  <conditionalFormatting sqref="J220">
    <cfRule type="expression" dxfId="1470" priority="79">
      <formula>$T220="Benzick, Sue"</formula>
    </cfRule>
    <cfRule type="expression" dxfId="1469" priority="80">
      <formula>$T220="Jenne, Richard"</formula>
    </cfRule>
    <cfRule type="expression" dxfId="1468" priority="81">
      <formula>$T220="McQueen, Jennifer"</formula>
    </cfRule>
  </conditionalFormatting>
  <conditionalFormatting sqref="J246">
    <cfRule type="expression" dxfId="1467" priority="75">
      <formula>$T246="McQueen, Jennifer"</formula>
    </cfRule>
    <cfRule type="expression" dxfId="1466" priority="74">
      <formula>$T246="Jenne, Richard"</formula>
    </cfRule>
    <cfRule type="expression" dxfId="1465" priority="73">
      <formula>$T246="Benzick, Sue"</formula>
    </cfRule>
  </conditionalFormatting>
  <conditionalFormatting sqref="J254">
    <cfRule type="expression" dxfId="1464" priority="71">
      <formula>$T254="Jenne, Richard"</formula>
    </cfRule>
    <cfRule type="expression" dxfId="1463" priority="70">
      <formula>$T254="Benzick, Sue"</formula>
    </cfRule>
    <cfRule type="expression" dxfId="1462" priority="72">
      <formula>$T254="McQueen, Jennifer"</formula>
    </cfRule>
  </conditionalFormatting>
  <conditionalFormatting sqref="J392">
    <cfRule type="expression" dxfId="1461" priority="67">
      <formula>$T392="Benzick, Sue"</formula>
    </cfRule>
    <cfRule type="expression" dxfId="1460" priority="69">
      <formula>$T392="McQueen, Jennifer"</formula>
    </cfRule>
    <cfRule type="expression" dxfId="1459" priority="68">
      <formula>$T392="Jenne, Richard"</formula>
    </cfRule>
  </conditionalFormatting>
  <conditionalFormatting sqref="J449">
    <cfRule type="expression" dxfId="1458" priority="66">
      <formula>$T449="McQueen, Jennifer"</formula>
    </cfRule>
    <cfRule type="expression" dxfId="1457" priority="65">
      <formula>$T449="Jenne, Richard"</formula>
    </cfRule>
    <cfRule type="expression" dxfId="1456" priority="64">
      <formula>$T449="Benzick, Sue"</formula>
    </cfRule>
  </conditionalFormatting>
  <conditionalFormatting sqref="J4:N11 T4:T81 J14:N16 J18:N35 A32:A33 S32:S37 S39:S47 S49 S51:S65 E55:F55 F69:G70 S69:S80 E71:G71 E72:H72 F73:H73 E74:G74 J74:N74 F75:G75 F76:H76 E76:E78 F77:G77 J78:N78 F78:F79 A78:A81 E80:F81 S82:T122 J88:N88 J106:N106 B107 A108 J108:N109 A109:B109 E111:F111 J113:N115 J117:N117 T123 S124:T136 A129 E133 J134:N134 E136:H136 E138:G138 S138:T138 J138:N139 E139 S139:S140 T139:T146 F140 K140 M140:N140 F142:G145 S142:S146 F146:H146 J146:N147 F147:F148 F152 E152:E153 E155:E159 E161:E164 E166 E173 F186:F187 S192:T204 J200:N200 J202:N202 T205:T206 S207:T231 J209:N209 J211:N215 A215 J218:N219 J222:N222 J232:N232 S232:S236 T232:T245 J235:N235 T247 J248:N248 S248:T248 T249:T458 A282 A331 J332:N332 A412 A423">
    <cfRule type="expression" dxfId="1455" priority="214">
      <formula>$S4="Benzick, Sue"</formula>
    </cfRule>
    <cfRule type="expression" dxfId="1454" priority="215">
      <formula>$S4="Jenne, Richard"</formula>
    </cfRule>
    <cfRule type="expression" dxfId="1453" priority="216">
      <formula>$S4="McQueen, Jennifer"</formula>
    </cfRule>
  </conditionalFormatting>
  <conditionalFormatting sqref="J37:N37">
    <cfRule type="expression" dxfId="1452" priority="62">
      <formula>$S37="Jenne, Richard"</formula>
    </cfRule>
    <cfRule type="expression" dxfId="1451" priority="61">
      <formula>$S37="Benzick, Sue"</formula>
    </cfRule>
    <cfRule type="expression" dxfId="1450" priority="63">
      <formula>$S37="McQueen, Jennifer"</formula>
    </cfRule>
  </conditionalFormatting>
  <conditionalFormatting sqref="J64:N64">
    <cfRule type="expression" dxfId="1449" priority="89">
      <formula>$T64="Jenne, Richard"</formula>
    </cfRule>
    <cfRule type="expression" dxfId="1448" priority="88">
      <formula>$T64="Benzick, Sue"</formula>
    </cfRule>
    <cfRule type="expression" dxfId="1447" priority="90">
      <formula>$T64="McQueen, Jennifer"</formula>
    </cfRule>
  </conditionalFormatting>
  <conditionalFormatting sqref="J71:N71">
    <cfRule type="expression" dxfId="1446" priority="87">
      <formula>$T71="McQueen, Jennifer"</formula>
    </cfRule>
    <cfRule type="expression" dxfId="1445" priority="86">
      <formula>$T71="Jenne, Richard"</formula>
    </cfRule>
    <cfRule type="expression" dxfId="1444" priority="85">
      <formula>$T71="Benzick, Sue"</formula>
    </cfRule>
  </conditionalFormatting>
  <conditionalFormatting sqref="K62">
    <cfRule type="expression" dxfId="1443" priority="107">
      <formula>#REF!="Jenne, Richard"</formula>
    </cfRule>
    <cfRule type="expression" dxfId="1442" priority="106">
      <formula>#REF!="Benzick, Sue"</formula>
    </cfRule>
    <cfRule type="expression" dxfId="1441" priority="108">
      <formula>#REF!="McQueen, Jennifer"</formula>
    </cfRule>
  </conditionalFormatting>
  <conditionalFormatting sqref="L62">
    <cfRule type="expression" dxfId="1440" priority="105">
      <formula>#REF!="McQueen, Jennifer"</formula>
    </cfRule>
    <cfRule type="expression" dxfId="1439" priority="104">
      <formula>#REF!="Jenne, Richard"</formula>
    </cfRule>
    <cfRule type="expression" dxfId="1438" priority="103">
      <formula>#REF!="Benzick, Sue"</formula>
    </cfRule>
  </conditionalFormatting>
  <conditionalFormatting sqref="M62">
    <cfRule type="expression" dxfId="1437" priority="102">
      <formula>#REF!="McQueen, Jennifer"</formula>
    </cfRule>
    <cfRule type="expression" dxfId="1436" priority="100">
      <formula>#REF!="Benzick, Sue"</formula>
    </cfRule>
    <cfRule type="expression" dxfId="1435" priority="101">
      <formula>#REF!="Jenne, Richard"</formula>
    </cfRule>
  </conditionalFormatting>
  <conditionalFormatting sqref="N62">
    <cfRule type="expression" dxfId="1434" priority="99">
      <formula>#REF!="McQueen, Jennifer"</formula>
    </cfRule>
    <cfRule type="expression" dxfId="1433" priority="98">
      <formula>#REF!="Jenne, Richard"</formula>
    </cfRule>
    <cfRule type="expression" dxfId="1432" priority="97">
      <formula>#REF!="Benzick, Sue"</formula>
    </cfRule>
  </conditionalFormatting>
  <conditionalFormatting sqref="S147:T190">
    <cfRule type="expression" dxfId="1431" priority="48">
      <formula>$S147="McQueen, Jennifer"</formula>
    </cfRule>
    <cfRule type="expression" dxfId="1430" priority="47">
      <formula>$S147="Jenne, Richard"</formula>
    </cfRule>
    <cfRule type="expression" dxfId="1429" priority="46">
      <formula>$S147="Benzick, Sue"</formula>
    </cfRule>
  </conditionalFormatting>
  <conditionalFormatting sqref="W182">
    <cfRule type="expression" dxfId="1428" priority="49">
      <formula>$X182="Benzick, Sue"</formula>
    </cfRule>
    <cfRule type="expression" dxfId="1427" priority="50">
      <formula>$X182="Jenne, Richard"</formula>
    </cfRule>
    <cfRule type="expression" dxfId="1426" priority="51">
      <formula>$X182="McQueen, Jennifer"</formula>
    </cfRule>
  </conditionalFormatting>
  <conditionalFormatting sqref="W335:W337">
    <cfRule type="expression" dxfId="1425" priority="217">
      <formula>$Y335="Benzick, Sue"</formula>
    </cfRule>
    <cfRule type="expression" dxfId="1424" priority="218">
      <formula>$Y335="Jenne, Richard"</formula>
    </cfRule>
    <cfRule type="expression" dxfId="1423" priority="219">
      <formula>$Y335="McQueen, Jennifer"</formula>
    </cfRule>
  </conditionalFormatting>
  <conditionalFormatting sqref="Y4:Y136 W15:W37 J38:N38 W39:W47 W49 W51:W65 W69:W80 W82:W122 W124:W136 W138:W157 Y138:Y190 Y192:Y245 Y247:Y458">
    <cfRule type="expression" dxfId="1422" priority="220">
      <formula>$X4="Benzick, Sue"</formula>
    </cfRule>
    <cfRule type="expression" dxfId="1421" priority="222">
      <formula>$X4="McQueen, Jennifer"</formula>
    </cfRule>
    <cfRule type="expression" dxfId="1420" priority="221">
      <formula>$X4="Jenne, Richard"</formula>
    </cfRule>
  </conditionalFormatting>
  <dataValidations count="4">
    <dataValidation allowBlank="1" showInputMessage="1" showErrorMessage="1" sqref="S138:S190 S247:S458 S192:S245 S4:S136" xr:uid="{8780455E-7938-4059-9F47-AC5C5206BA80}"/>
    <dataValidation type="list" allowBlank="1" showInputMessage="1" showErrorMessage="1" sqref="A72:A74 A179:A181 A183" xr:uid="{A8717146-77B3-498F-BE6E-8CBEDB4CC742}">
      <formula1>Location</formula1>
    </dataValidation>
    <dataValidation type="list" allowBlank="1" showInputMessage="1" showErrorMessage="1" sqref="B460:B466 B468:B738 B4:B458" xr:uid="{7666D769-00E7-465B-BC46-F9D37AAA53EB}">
      <formula1>Class</formula1>
    </dataValidation>
    <dataValidation type="list" allowBlank="1" showInputMessage="1" showErrorMessage="1" sqref="O460:O682" xr:uid="{6971A40A-A76B-40E8-B1D8-FBAE654B1AB9}">
      <formula1>Instructor</formula1>
    </dataValidation>
  </dataValidations>
  <printOptions horizontalCentered="1" verticalCentered="1"/>
  <pageMargins left="0.7" right="0.7" top="0.75" bottom="0.75" header="0.3" footer="0.3"/>
  <pageSetup paperSize="5" scale="35" fitToHeight="0" orientation="landscape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DEC93-B20D-44F9-942E-18C37F1D2133}">
  <sheetPr>
    <pageSetUpPr fitToPage="1"/>
  </sheetPr>
  <dimension ref="A1:AA459"/>
  <sheetViews>
    <sheetView topLeftCell="B1" zoomScale="90" zoomScaleNormal="90" workbookViewId="0">
      <selection activeCell="AG31" sqref="AG31"/>
    </sheetView>
  </sheetViews>
  <sheetFormatPr defaultColWidth="8.7109375" defaultRowHeight="15" x14ac:dyDescent="0.25"/>
  <cols>
    <col min="1" max="1" width="42.7109375" style="8" bestFit="1" customWidth="1"/>
    <col min="2" max="2" width="64.28515625" style="9" customWidth="1"/>
    <col min="3" max="3" width="14.28515625" style="2" customWidth="1"/>
    <col min="4" max="4" width="16.28515625" style="11" customWidth="1"/>
    <col min="5" max="5" width="21.7109375" style="9" hidden="1" customWidth="1"/>
    <col min="6" max="6" width="17" style="10" bestFit="1" customWidth="1"/>
    <col min="7" max="7" width="15.7109375" style="10" bestFit="1" customWidth="1"/>
    <col min="8" max="9" width="9.7109375" style="33" customWidth="1"/>
    <col min="10" max="14" width="9.7109375" style="33" hidden="1" customWidth="1"/>
    <col min="15" max="15" width="20" style="9" bestFit="1" customWidth="1"/>
    <col min="16" max="16" width="18.42578125" style="9" bestFit="1" customWidth="1"/>
    <col min="17" max="17" width="20.28515625" style="8" customWidth="1"/>
    <col min="18" max="18" width="22.42578125" style="8" customWidth="1"/>
    <col min="19" max="19" width="20.28515625" style="12" hidden="1" customWidth="1"/>
    <col min="20" max="20" width="16" style="32" hidden="1" customWidth="1"/>
    <col min="21" max="21" width="12.28515625" style="32" hidden="1" customWidth="1"/>
    <col min="22" max="22" width="16.42578125" style="32" hidden="1" customWidth="1"/>
    <col min="23" max="23" width="15.7109375" style="32" hidden="1" customWidth="1"/>
    <col min="24" max="24" width="16.5703125" style="8" hidden="1" customWidth="1"/>
    <col min="25" max="25" width="16" style="32" hidden="1" customWidth="1"/>
    <col min="26" max="27" width="11" style="8" hidden="1" customWidth="1"/>
    <col min="28" max="16384" width="8.7109375" style="8"/>
  </cols>
  <sheetData>
    <row r="1" spans="1:27" x14ac:dyDescent="0.25">
      <c r="A1" s="8" t="s">
        <v>222</v>
      </c>
      <c r="B1" s="8"/>
      <c r="H1" s="10"/>
      <c r="I1" s="10"/>
      <c r="J1" s="10"/>
      <c r="K1" s="10"/>
      <c r="L1" s="10"/>
      <c r="M1" s="10"/>
      <c r="N1" s="10"/>
    </row>
    <row r="2" spans="1:27" ht="8.65" customHeight="1" x14ac:dyDescent="0.25">
      <c r="A2" s="9"/>
    </row>
    <row r="3" spans="1:27" s="30" customFormat="1" ht="72" customHeight="1" thickBot="1" x14ac:dyDescent="0.3">
      <c r="A3" s="26" t="s">
        <v>223</v>
      </c>
      <c r="B3" s="26" t="s">
        <v>130</v>
      </c>
      <c r="C3" s="26" t="s">
        <v>11</v>
      </c>
      <c r="D3" s="93" t="s">
        <v>131</v>
      </c>
      <c r="E3" s="26" t="s">
        <v>132</v>
      </c>
      <c r="F3" s="27" t="s">
        <v>133</v>
      </c>
      <c r="G3" s="27" t="s">
        <v>134</v>
      </c>
      <c r="H3" s="62" t="s">
        <v>135</v>
      </c>
      <c r="I3" s="62" t="s">
        <v>136</v>
      </c>
      <c r="J3" s="62" t="s">
        <v>137</v>
      </c>
      <c r="K3" s="62" t="s">
        <v>138</v>
      </c>
      <c r="L3" s="62" t="s">
        <v>139</v>
      </c>
      <c r="M3" s="62" t="s">
        <v>140</v>
      </c>
      <c r="N3" s="62" t="s">
        <v>141</v>
      </c>
      <c r="O3" s="26" t="s">
        <v>142</v>
      </c>
      <c r="P3" s="26" t="s">
        <v>143</v>
      </c>
      <c r="Q3" s="29" t="s">
        <v>144</v>
      </c>
      <c r="R3" s="29" t="s">
        <v>146</v>
      </c>
      <c r="S3" s="28" t="s">
        <v>150</v>
      </c>
      <c r="T3" s="28" t="s">
        <v>151</v>
      </c>
      <c r="U3" s="28" t="s">
        <v>152</v>
      </c>
      <c r="V3" s="28" t="s">
        <v>153</v>
      </c>
      <c r="W3" s="28" t="s">
        <v>154</v>
      </c>
      <c r="X3" s="28" t="s">
        <v>155</v>
      </c>
      <c r="Y3" s="28" t="s">
        <v>156</v>
      </c>
      <c r="Z3" s="28" t="s">
        <v>157</v>
      </c>
      <c r="AA3" s="28" t="s">
        <v>158</v>
      </c>
    </row>
    <row r="4" spans="1:27" s="76" customFormat="1" ht="14.25" customHeight="1" x14ac:dyDescent="0.25">
      <c r="A4" s="52"/>
      <c r="B4" s="69" t="s">
        <v>100</v>
      </c>
      <c r="C4" s="70" t="s">
        <v>101</v>
      </c>
      <c r="D4" s="70" t="s">
        <v>102</v>
      </c>
      <c r="E4" s="69"/>
      <c r="F4" s="72">
        <v>45937</v>
      </c>
      <c r="G4" s="72">
        <v>45941</v>
      </c>
      <c r="H4" s="75"/>
      <c r="I4" s="75">
        <v>0.33333333333333331</v>
      </c>
      <c r="J4" s="72"/>
      <c r="K4" s="72"/>
      <c r="L4" s="72"/>
      <c r="M4" s="72"/>
      <c r="N4" s="72"/>
      <c r="O4" s="69" t="s">
        <v>268</v>
      </c>
      <c r="P4" s="69" t="s">
        <v>172</v>
      </c>
      <c r="Q4" s="73">
        <v>45</v>
      </c>
      <c r="R4" s="74">
        <v>4</v>
      </c>
      <c r="S4" s="73"/>
      <c r="T4" s="73"/>
      <c r="U4" s="14"/>
      <c r="V4" s="14"/>
      <c r="W4" s="14"/>
      <c r="X4" s="69"/>
      <c r="Y4" s="60">
        <f ca="1">Table24[[#This Row],[End Date]]+2-TODAY()</f>
        <v>-64</v>
      </c>
      <c r="Z4" s="14">
        <f>IF(ISBLANK(Table24[[#This Row],[Roster Received By]]),1,0)</f>
        <v>1</v>
      </c>
      <c r="AA4" s="14">
        <f ca="1">IF(Table24[[#This Row],[Start Date]]&gt;TODAY(),1,)</f>
        <v>0</v>
      </c>
    </row>
    <row r="5" spans="1:27" s="106" customFormat="1" ht="14.25" customHeight="1" x14ac:dyDescent="0.25">
      <c r="A5" s="52"/>
      <c r="B5" s="69" t="s">
        <v>100</v>
      </c>
      <c r="C5" s="70" t="s">
        <v>101</v>
      </c>
      <c r="D5" s="70" t="s">
        <v>102</v>
      </c>
      <c r="E5" s="54"/>
      <c r="F5" s="72">
        <v>45586</v>
      </c>
      <c r="G5" s="72">
        <v>45590</v>
      </c>
      <c r="H5" s="78"/>
      <c r="I5" s="78">
        <v>0.41666666666666669</v>
      </c>
      <c r="J5" s="72"/>
      <c r="K5" s="72"/>
      <c r="L5" s="72"/>
      <c r="M5" s="72"/>
      <c r="N5" s="72"/>
      <c r="O5" s="69" t="s">
        <v>268</v>
      </c>
      <c r="P5" s="69" t="s">
        <v>172</v>
      </c>
      <c r="Q5" s="14">
        <v>45</v>
      </c>
      <c r="R5" s="14">
        <v>4</v>
      </c>
      <c r="S5" s="14"/>
      <c r="T5" s="73"/>
      <c r="U5" s="14"/>
      <c r="V5" s="14"/>
      <c r="W5" s="14"/>
      <c r="X5" s="69"/>
      <c r="Y5" s="60">
        <f ca="1">Table24[[#This Row],[End Date]]+2-TODAY()</f>
        <v>-415</v>
      </c>
      <c r="Z5" s="14">
        <f>IF(ISBLANK(Table24[[#This Row],[Roster Received By]]),1,0)</f>
        <v>1</v>
      </c>
      <c r="AA5" s="14">
        <f ca="1">IF(Table24[[#This Row],[Start Date]]&gt;TODAY(),1,)</f>
        <v>0</v>
      </c>
    </row>
    <row r="6" spans="1:27" s="76" customFormat="1" ht="14.25" customHeight="1" x14ac:dyDescent="0.25">
      <c r="A6" s="52"/>
      <c r="B6" s="69" t="s">
        <v>100</v>
      </c>
      <c r="C6" s="70" t="s">
        <v>101</v>
      </c>
      <c r="D6" s="70" t="s">
        <v>102</v>
      </c>
      <c r="E6" s="69"/>
      <c r="F6" s="72">
        <v>45600</v>
      </c>
      <c r="G6" s="72">
        <v>45603</v>
      </c>
      <c r="H6" s="72"/>
      <c r="I6" s="71">
        <v>0.33333333333333331</v>
      </c>
      <c r="J6" s="75"/>
      <c r="K6" s="75"/>
      <c r="L6" s="75"/>
      <c r="M6" s="75"/>
      <c r="N6" s="75"/>
      <c r="O6" s="69" t="s">
        <v>268</v>
      </c>
      <c r="P6" s="69" t="s">
        <v>172</v>
      </c>
      <c r="Q6" s="14">
        <v>45</v>
      </c>
      <c r="R6" s="14">
        <v>4</v>
      </c>
      <c r="S6" s="14"/>
      <c r="T6" s="73"/>
      <c r="U6" s="14"/>
      <c r="V6" s="14"/>
      <c r="W6" s="14"/>
      <c r="X6" s="69"/>
      <c r="Y6" s="60">
        <f ca="1">Table24[[#This Row],[End Date]]+2-TODAY()</f>
        <v>-402</v>
      </c>
      <c r="Z6" s="14">
        <f>IF(ISBLANK(Table24[[#This Row],[Roster Received By]]),1,0)</f>
        <v>1</v>
      </c>
      <c r="AA6" s="14">
        <f ca="1">IF(Table24[[#This Row],[Start Date]]&gt;TODAY(),1,)</f>
        <v>0</v>
      </c>
    </row>
    <row r="7" spans="1:27" s="76" customFormat="1" ht="14.25" customHeight="1" x14ac:dyDescent="0.25">
      <c r="A7" s="52"/>
      <c r="B7" s="69" t="s">
        <v>100</v>
      </c>
      <c r="C7" s="70" t="s">
        <v>101</v>
      </c>
      <c r="D7" s="70" t="s">
        <v>102</v>
      </c>
      <c r="E7" s="54"/>
      <c r="F7" s="72">
        <v>45614</v>
      </c>
      <c r="G7" s="72">
        <v>45617</v>
      </c>
      <c r="H7" s="75"/>
      <c r="I7" s="75">
        <v>0.41666666666666669</v>
      </c>
      <c r="J7" s="72"/>
      <c r="K7" s="72"/>
      <c r="L7" s="72"/>
      <c r="M7" s="72"/>
      <c r="N7" s="72"/>
      <c r="O7" s="69" t="s">
        <v>268</v>
      </c>
      <c r="P7" s="69" t="s">
        <v>172</v>
      </c>
      <c r="Q7" s="14">
        <v>45</v>
      </c>
      <c r="R7" s="14">
        <v>4</v>
      </c>
      <c r="S7" s="14"/>
      <c r="T7" s="73"/>
      <c r="U7" s="14"/>
      <c r="V7" s="14"/>
      <c r="W7" s="14"/>
      <c r="X7" s="69"/>
      <c r="Y7" s="60">
        <f ca="1">Table24[[#This Row],[End Date]]+2-TODAY()</f>
        <v>-388</v>
      </c>
      <c r="Z7" s="14">
        <f>IF(ISBLANK(Table24[[#This Row],[Roster Received By]]),1,0)</f>
        <v>1</v>
      </c>
      <c r="AA7" s="14">
        <f ca="1">IF(Table24[[#This Row],[Start Date]]&gt;TODAY(),1,)</f>
        <v>0</v>
      </c>
    </row>
    <row r="8" spans="1:27" s="76" customFormat="1" ht="14.25" customHeight="1" x14ac:dyDescent="0.25">
      <c r="A8" s="52"/>
      <c r="B8" s="69" t="s">
        <v>100</v>
      </c>
      <c r="C8" s="70" t="s">
        <v>101</v>
      </c>
      <c r="D8" s="70" t="s">
        <v>102</v>
      </c>
      <c r="E8" s="69"/>
      <c r="F8" s="72">
        <v>45628</v>
      </c>
      <c r="G8" s="72">
        <v>45631</v>
      </c>
      <c r="H8" s="72"/>
      <c r="I8" s="71">
        <v>0.33333333333333331</v>
      </c>
      <c r="J8" s="75"/>
      <c r="K8" s="75"/>
      <c r="L8" s="75"/>
      <c r="M8" s="75"/>
      <c r="N8" s="75"/>
      <c r="O8" s="69" t="s">
        <v>268</v>
      </c>
      <c r="P8" s="69" t="s">
        <v>172</v>
      </c>
      <c r="Q8" s="14">
        <v>45</v>
      </c>
      <c r="R8" s="14">
        <v>4</v>
      </c>
      <c r="S8" s="14"/>
      <c r="T8" s="73"/>
      <c r="U8" s="14"/>
      <c r="V8" s="14"/>
      <c r="W8" s="70"/>
      <c r="X8" s="69"/>
      <c r="Y8" s="60">
        <f ca="1">Table24[[#This Row],[End Date]]+2-TODAY()</f>
        <v>-374</v>
      </c>
      <c r="Z8" s="14">
        <f>IF(ISBLANK(Table24[[#This Row],[Roster Received By]]),1,0)</f>
        <v>1</v>
      </c>
      <c r="AA8" s="14">
        <f ca="1">IF(Table24[[#This Row],[Start Date]]&gt;TODAY(),1,)</f>
        <v>0</v>
      </c>
    </row>
    <row r="9" spans="1:27" s="76" customFormat="1" ht="14.25" customHeight="1" x14ac:dyDescent="0.25">
      <c r="A9" s="52"/>
      <c r="B9" s="69" t="s">
        <v>100</v>
      </c>
      <c r="C9" s="70" t="s">
        <v>101</v>
      </c>
      <c r="D9" s="70" t="s">
        <v>102</v>
      </c>
      <c r="E9" s="69"/>
      <c r="F9" s="72">
        <v>46007</v>
      </c>
      <c r="G9" s="72">
        <v>46010</v>
      </c>
      <c r="H9" s="75"/>
      <c r="I9" s="71">
        <v>0.33333333333333331</v>
      </c>
      <c r="J9" s="72"/>
      <c r="K9" s="72"/>
      <c r="L9" s="72"/>
      <c r="M9" s="72"/>
      <c r="N9" s="72"/>
      <c r="O9" s="69" t="s">
        <v>268</v>
      </c>
      <c r="P9" s="69" t="s">
        <v>172</v>
      </c>
      <c r="Q9" s="14">
        <v>45</v>
      </c>
      <c r="R9" s="14">
        <v>4</v>
      </c>
      <c r="S9" s="73"/>
      <c r="T9" s="73"/>
      <c r="U9" s="14"/>
      <c r="V9" s="14"/>
      <c r="W9" s="70"/>
      <c r="X9" s="69"/>
      <c r="Y9" s="60">
        <f ca="1">Table24[[#This Row],[End Date]]+2-TODAY()</f>
        <v>5</v>
      </c>
      <c r="Z9" s="14">
        <f>IF(ISBLANK(Table24[[#This Row],[Roster Received By]]),1,0)</f>
        <v>1</v>
      </c>
      <c r="AA9" s="14">
        <f ca="1">IF(Table24[[#This Row],[Start Date]]&gt;TODAY(),1,)</f>
        <v>0</v>
      </c>
    </row>
    <row r="10" spans="1:27" s="76" customFormat="1" ht="14.25" customHeight="1" x14ac:dyDescent="0.25">
      <c r="A10" s="52"/>
      <c r="B10" s="69" t="s">
        <v>100</v>
      </c>
      <c r="C10" s="70" t="s">
        <v>101</v>
      </c>
      <c r="D10" s="70" t="s">
        <v>102</v>
      </c>
      <c r="E10" s="54"/>
      <c r="F10" s="72">
        <v>45670</v>
      </c>
      <c r="G10" s="72">
        <v>45673</v>
      </c>
      <c r="H10" s="78"/>
      <c r="I10" s="78">
        <v>0.54166666666666663</v>
      </c>
      <c r="J10" s="72"/>
      <c r="K10" s="72"/>
      <c r="L10" s="72"/>
      <c r="M10" s="72"/>
      <c r="N10" s="72"/>
      <c r="O10" s="69" t="s">
        <v>268</v>
      </c>
      <c r="P10" s="69" t="s">
        <v>172</v>
      </c>
      <c r="Q10" s="14">
        <v>45</v>
      </c>
      <c r="R10" s="14">
        <v>4</v>
      </c>
      <c r="S10" s="14"/>
      <c r="T10" s="73"/>
      <c r="U10" s="14"/>
      <c r="V10" s="14"/>
      <c r="W10" s="14"/>
      <c r="X10" s="69"/>
      <c r="Y10" s="60">
        <f ca="1">Table24[[#This Row],[End Date]]+2-TODAY()</f>
        <v>-332</v>
      </c>
      <c r="Z10" s="14">
        <f>IF(ISBLANK(Table24[[#This Row],[Roster Received By]]),1,0)</f>
        <v>1</v>
      </c>
      <c r="AA10" s="14">
        <f ca="1">IF(Table24[[#This Row],[Start Date]]&gt;TODAY(),1,)</f>
        <v>0</v>
      </c>
    </row>
    <row r="11" spans="1:27" s="76" customFormat="1" ht="14.25" customHeight="1" x14ac:dyDescent="0.25">
      <c r="A11" s="52"/>
      <c r="B11" s="69" t="s">
        <v>100</v>
      </c>
      <c r="C11" s="70" t="s">
        <v>101</v>
      </c>
      <c r="D11" s="70" t="s">
        <v>102</v>
      </c>
      <c r="E11" s="54"/>
      <c r="F11" s="72">
        <v>45678</v>
      </c>
      <c r="G11" s="72">
        <v>45681</v>
      </c>
      <c r="H11" s="78"/>
      <c r="I11" s="78">
        <v>0.41666666666666669</v>
      </c>
      <c r="J11" s="72"/>
      <c r="K11" s="72"/>
      <c r="L11" s="72"/>
      <c r="M11" s="72"/>
      <c r="N11" s="72"/>
      <c r="O11" s="69" t="s">
        <v>268</v>
      </c>
      <c r="P11" s="69" t="s">
        <v>172</v>
      </c>
      <c r="Q11" s="14">
        <v>45</v>
      </c>
      <c r="R11" s="14">
        <v>4</v>
      </c>
      <c r="S11" s="73"/>
      <c r="T11" s="73"/>
      <c r="U11" s="14"/>
      <c r="V11" s="14"/>
      <c r="W11" s="14"/>
      <c r="X11" s="69"/>
      <c r="Y11" s="60">
        <f ca="1">Table24[[#This Row],[End Date]]+2-TODAY()</f>
        <v>-324</v>
      </c>
      <c r="Z11" s="14">
        <f>IF(ISBLANK(Table24[[#This Row],[Roster Received By]]),1,0)</f>
        <v>1</v>
      </c>
      <c r="AA11" s="14">
        <f ca="1">IF(Table24[[#This Row],[Start Date]]&gt;TODAY(),1,)</f>
        <v>0</v>
      </c>
    </row>
    <row r="12" spans="1:27" s="76" customFormat="1" ht="14.25" customHeight="1" x14ac:dyDescent="0.25">
      <c r="A12" s="52"/>
      <c r="B12" s="69" t="s">
        <v>100</v>
      </c>
      <c r="C12" s="70" t="s">
        <v>101</v>
      </c>
      <c r="D12" s="70" t="s">
        <v>102</v>
      </c>
      <c r="E12" s="69"/>
      <c r="F12" s="72">
        <v>45691</v>
      </c>
      <c r="G12" s="72">
        <v>45694</v>
      </c>
      <c r="H12" s="72"/>
      <c r="I12" s="71">
        <v>0.33333333333333331</v>
      </c>
      <c r="J12" s="75"/>
      <c r="K12" s="75"/>
      <c r="L12" s="75"/>
      <c r="M12" s="75"/>
      <c r="N12" s="75"/>
      <c r="O12" s="69" t="s">
        <v>268</v>
      </c>
      <c r="P12" s="69" t="s">
        <v>172</v>
      </c>
      <c r="Q12" s="14">
        <v>45</v>
      </c>
      <c r="R12" s="14">
        <v>4</v>
      </c>
      <c r="S12" s="14"/>
      <c r="T12" s="73"/>
      <c r="U12" s="14"/>
      <c r="V12" s="14"/>
      <c r="W12" s="14"/>
      <c r="X12" s="69"/>
      <c r="Y12" s="60">
        <f ca="1">Table24[[#This Row],[End Date]]+2-TODAY()</f>
        <v>-311</v>
      </c>
      <c r="Z12" s="14">
        <f>IF(ISBLANK(Table24[[#This Row],[Roster Received By]]),1,0)</f>
        <v>1</v>
      </c>
      <c r="AA12" s="14">
        <f ca="1">IF(Table24[[#This Row],[Start Date]]&gt;TODAY(),1,)</f>
        <v>0</v>
      </c>
    </row>
    <row r="13" spans="1:27" s="76" customFormat="1" ht="14.25" customHeight="1" x14ac:dyDescent="0.25">
      <c r="A13" s="52"/>
      <c r="B13" s="69" t="s">
        <v>100</v>
      </c>
      <c r="C13" s="70" t="s">
        <v>101</v>
      </c>
      <c r="D13" s="70" t="s">
        <v>102</v>
      </c>
      <c r="E13" s="69"/>
      <c r="F13" s="72">
        <v>45712</v>
      </c>
      <c r="G13" s="72">
        <v>45715</v>
      </c>
      <c r="H13" s="72"/>
      <c r="I13" s="71">
        <v>0.79166666666666663</v>
      </c>
      <c r="J13" s="75"/>
      <c r="K13" s="75"/>
      <c r="L13" s="75"/>
      <c r="M13" s="75"/>
      <c r="N13" s="75"/>
      <c r="O13" s="69" t="s">
        <v>268</v>
      </c>
      <c r="P13" s="69" t="s">
        <v>172</v>
      </c>
      <c r="Q13" s="14">
        <v>45</v>
      </c>
      <c r="R13" s="14">
        <v>4</v>
      </c>
      <c r="S13" s="14"/>
      <c r="T13" s="73"/>
      <c r="U13" s="14"/>
      <c r="V13" s="14"/>
      <c r="W13" s="14"/>
      <c r="X13" s="69"/>
      <c r="Y13" s="60">
        <f ca="1">Table24[[#This Row],[End Date]]+2-TODAY()</f>
        <v>-290</v>
      </c>
      <c r="Z13" s="14">
        <f>IF(ISBLANK(Table24[[#This Row],[Roster Received By]]),1,0)</f>
        <v>1</v>
      </c>
      <c r="AA13" s="14">
        <f ca="1">IF(Table24[[#This Row],[Start Date]]&gt;TODAY(),1,)</f>
        <v>0</v>
      </c>
    </row>
    <row r="14" spans="1:27" s="76" customFormat="1" ht="14.25" customHeight="1" x14ac:dyDescent="0.25">
      <c r="A14" s="52"/>
      <c r="B14" s="69" t="s">
        <v>100</v>
      </c>
      <c r="C14" s="70" t="s">
        <v>101</v>
      </c>
      <c r="D14" s="70" t="s">
        <v>102</v>
      </c>
      <c r="E14" s="69"/>
      <c r="F14" s="72">
        <v>45720</v>
      </c>
      <c r="G14" s="72">
        <v>45723</v>
      </c>
      <c r="H14" s="72"/>
      <c r="I14" s="71">
        <v>0.45833333333333331</v>
      </c>
      <c r="J14" s="75"/>
      <c r="K14" s="75"/>
      <c r="L14" s="75"/>
      <c r="M14" s="75"/>
      <c r="N14" s="75"/>
      <c r="O14" s="69" t="s">
        <v>268</v>
      </c>
      <c r="P14" s="69" t="s">
        <v>172</v>
      </c>
      <c r="Q14" s="14">
        <v>45</v>
      </c>
      <c r="R14" s="14">
        <v>4</v>
      </c>
      <c r="S14" s="73"/>
      <c r="T14" s="73"/>
      <c r="U14" s="14"/>
      <c r="V14" s="14"/>
      <c r="W14" s="14"/>
      <c r="X14" s="69"/>
      <c r="Y14" s="60">
        <f ca="1">Table24[[#This Row],[End Date]]+2-TODAY()</f>
        <v>-282</v>
      </c>
      <c r="Z14" s="14">
        <f>IF(ISBLANK(Table24[[#This Row],[Roster Received By]]),1,0)</f>
        <v>1</v>
      </c>
      <c r="AA14" s="14">
        <f ca="1">IF(Table24[[#This Row],[Start Date]]&gt;TODAY(),1,)</f>
        <v>0</v>
      </c>
    </row>
    <row r="15" spans="1:27" s="76" customFormat="1" ht="14.25" customHeight="1" x14ac:dyDescent="0.25">
      <c r="A15" s="52"/>
      <c r="B15" s="69" t="s">
        <v>100</v>
      </c>
      <c r="C15" s="70" t="s">
        <v>101</v>
      </c>
      <c r="D15" s="70" t="s">
        <v>102</v>
      </c>
      <c r="E15" s="69"/>
      <c r="F15" s="72">
        <v>45733</v>
      </c>
      <c r="G15" s="72">
        <v>45736</v>
      </c>
      <c r="H15" s="72"/>
      <c r="I15" s="71">
        <v>0.29166666666666669</v>
      </c>
      <c r="J15" s="75"/>
      <c r="K15" s="75"/>
      <c r="L15" s="75"/>
      <c r="M15" s="75"/>
      <c r="N15" s="75"/>
      <c r="O15" s="69" t="s">
        <v>268</v>
      </c>
      <c r="P15" s="69" t="s">
        <v>172</v>
      </c>
      <c r="Q15" s="14">
        <v>45</v>
      </c>
      <c r="R15" s="14">
        <v>4</v>
      </c>
      <c r="S15" s="14"/>
      <c r="T15" s="73"/>
      <c r="U15" s="14"/>
      <c r="V15" s="14"/>
      <c r="W15" s="14"/>
      <c r="X15" s="69"/>
      <c r="Y15" s="60">
        <f ca="1">Table24[[#This Row],[End Date]]+2-TODAY()</f>
        <v>-269</v>
      </c>
      <c r="Z15" s="14">
        <f>IF(ISBLANK(Table24[[#This Row],[Roster Received By]]),1,0)</f>
        <v>1</v>
      </c>
      <c r="AA15" s="14">
        <f ca="1">IF(Table24[[#This Row],[Start Date]]&gt;TODAY(),1,)</f>
        <v>0</v>
      </c>
    </row>
    <row r="16" spans="1:27" s="76" customFormat="1" ht="14.25" customHeight="1" x14ac:dyDescent="0.25">
      <c r="A16" s="52"/>
      <c r="B16" s="69" t="s">
        <v>100</v>
      </c>
      <c r="C16" s="70" t="s">
        <v>101</v>
      </c>
      <c r="D16" s="70" t="s">
        <v>102</v>
      </c>
      <c r="E16" s="69"/>
      <c r="F16" s="72">
        <v>45747</v>
      </c>
      <c r="G16" s="72">
        <v>45750</v>
      </c>
      <c r="H16" s="72"/>
      <c r="I16" s="71">
        <v>0.33333333333333331</v>
      </c>
      <c r="J16" s="75"/>
      <c r="K16" s="75"/>
      <c r="L16" s="75"/>
      <c r="M16" s="75"/>
      <c r="N16" s="75"/>
      <c r="O16" s="69" t="s">
        <v>268</v>
      </c>
      <c r="P16" s="69" t="s">
        <v>172</v>
      </c>
      <c r="Q16" s="14">
        <v>45</v>
      </c>
      <c r="R16" s="14">
        <v>4</v>
      </c>
      <c r="S16" s="14"/>
      <c r="T16" s="73"/>
      <c r="U16" s="14"/>
      <c r="V16" s="14"/>
      <c r="W16" s="14"/>
      <c r="X16" s="69"/>
      <c r="Y16" s="60">
        <f ca="1">Table24[[#This Row],[End Date]]+2-TODAY()</f>
        <v>-255</v>
      </c>
      <c r="Z16" s="14">
        <f>IF(ISBLANK(Table24[[#This Row],[Roster Received By]]),1,0)</f>
        <v>1</v>
      </c>
      <c r="AA16" s="14">
        <f ca="1">IF(Table24[[#This Row],[Start Date]]&gt;TODAY(),1,)</f>
        <v>0</v>
      </c>
    </row>
    <row r="17" spans="1:27" s="76" customFormat="1" ht="14.25" customHeight="1" x14ac:dyDescent="0.25">
      <c r="A17" s="52"/>
      <c r="B17" s="69" t="s">
        <v>100</v>
      </c>
      <c r="C17" s="70" t="s">
        <v>101</v>
      </c>
      <c r="D17" s="70" t="s">
        <v>102</v>
      </c>
      <c r="E17" s="69"/>
      <c r="F17" s="72">
        <v>45762</v>
      </c>
      <c r="G17" s="72">
        <v>45765</v>
      </c>
      <c r="H17" s="72"/>
      <c r="I17" s="71">
        <v>0.41666666666666669</v>
      </c>
      <c r="J17" s="75"/>
      <c r="K17" s="75"/>
      <c r="L17" s="75"/>
      <c r="M17" s="75"/>
      <c r="N17" s="75"/>
      <c r="O17" s="69" t="s">
        <v>268</v>
      </c>
      <c r="P17" s="69" t="s">
        <v>172</v>
      </c>
      <c r="Q17" s="14">
        <v>45</v>
      </c>
      <c r="R17" s="14">
        <v>4</v>
      </c>
      <c r="S17" s="73"/>
      <c r="T17" s="73"/>
      <c r="U17" s="14"/>
      <c r="V17" s="14"/>
      <c r="W17" s="14"/>
      <c r="X17" s="69"/>
      <c r="Y17" s="60">
        <f ca="1">Table24[[#This Row],[End Date]]+2-TODAY()</f>
        <v>-240</v>
      </c>
      <c r="Z17" s="14">
        <f>IF(ISBLANK(Table24[[#This Row],[Roster Received By]]),1,0)</f>
        <v>1</v>
      </c>
      <c r="AA17" s="14">
        <f ca="1">IF(Table24[[#This Row],[Start Date]]&gt;TODAY(),1,)</f>
        <v>0</v>
      </c>
    </row>
    <row r="18" spans="1:27" s="76" customFormat="1" ht="14.25" customHeight="1" x14ac:dyDescent="0.25">
      <c r="A18" s="52"/>
      <c r="B18" s="69" t="s">
        <v>100</v>
      </c>
      <c r="C18" s="70" t="s">
        <v>101</v>
      </c>
      <c r="D18" s="70" t="s">
        <v>102</v>
      </c>
      <c r="E18" s="69"/>
      <c r="F18" s="72">
        <v>45775</v>
      </c>
      <c r="G18" s="72">
        <v>45778</v>
      </c>
      <c r="H18" s="72"/>
      <c r="I18" s="71">
        <v>0.54166666666666663</v>
      </c>
      <c r="J18" s="75"/>
      <c r="K18" s="75"/>
      <c r="L18" s="75"/>
      <c r="M18" s="75"/>
      <c r="N18" s="75"/>
      <c r="O18" s="69" t="s">
        <v>268</v>
      </c>
      <c r="P18" s="69" t="s">
        <v>172</v>
      </c>
      <c r="Q18" s="14">
        <v>45</v>
      </c>
      <c r="R18" s="14">
        <v>4</v>
      </c>
      <c r="S18" s="73"/>
      <c r="T18" s="73"/>
      <c r="U18" s="14"/>
      <c r="V18" s="14"/>
      <c r="W18" s="14"/>
      <c r="X18" s="69"/>
      <c r="Y18" s="60">
        <f ca="1">Table24[[#This Row],[End Date]]+2-TODAY()</f>
        <v>-227</v>
      </c>
      <c r="Z18" s="14">
        <f>IF(ISBLANK(Table24[[#This Row],[Roster Received By]]),1,0)</f>
        <v>1</v>
      </c>
      <c r="AA18" s="14">
        <f ca="1">IF(Table24[[#This Row],[Start Date]]&gt;TODAY(),1,)</f>
        <v>0</v>
      </c>
    </row>
    <row r="19" spans="1:27" s="76" customFormat="1" ht="16.5" customHeight="1" x14ac:dyDescent="0.25">
      <c r="A19" s="121" t="s">
        <v>269</v>
      </c>
      <c r="B19" s="122" t="s">
        <v>100</v>
      </c>
      <c r="C19" s="124" t="s">
        <v>101</v>
      </c>
      <c r="D19" s="124" t="s">
        <v>102</v>
      </c>
      <c r="E19" s="122"/>
      <c r="F19" s="125">
        <v>45789</v>
      </c>
      <c r="G19" s="125">
        <v>45792</v>
      </c>
      <c r="H19" s="125"/>
      <c r="I19" s="126">
        <v>0.45833333333333331</v>
      </c>
      <c r="J19" s="128"/>
      <c r="K19" s="128"/>
      <c r="L19" s="128"/>
      <c r="M19" s="128"/>
      <c r="N19" s="128"/>
      <c r="O19" s="122" t="s">
        <v>268</v>
      </c>
      <c r="P19" s="122" t="s">
        <v>172</v>
      </c>
      <c r="Q19" s="127">
        <v>45</v>
      </c>
      <c r="R19" s="127">
        <v>4</v>
      </c>
      <c r="S19" s="14"/>
      <c r="T19" s="73"/>
      <c r="U19" s="14"/>
      <c r="V19" s="14"/>
      <c r="W19" s="73"/>
      <c r="X19" s="69"/>
      <c r="Y19" s="60">
        <f ca="1">Table24[[#This Row],[End Date]]+2-TODAY()</f>
        <v>-213</v>
      </c>
      <c r="Z19" s="14">
        <f>IF(ISBLANK(Table24[[#This Row],[Roster Received By]]),1,0)</f>
        <v>1</v>
      </c>
      <c r="AA19" s="14">
        <f ca="1">IF(Table24[[#This Row],[Start Date]]&gt;TODAY(),1,)</f>
        <v>0</v>
      </c>
    </row>
    <row r="20" spans="1:27" s="76" customFormat="1" ht="14.25" customHeight="1" x14ac:dyDescent="0.25">
      <c r="A20" s="129" t="s">
        <v>270</v>
      </c>
      <c r="B20" s="130" t="s">
        <v>100</v>
      </c>
      <c r="C20" s="131" t="s">
        <v>101</v>
      </c>
      <c r="D20" s="131" t="s">
        <v>102</v>
      </c>
      <c r="E20" s="130"/>
      <c r="F20" s="132">
        <v>45804</v>
      </c>
      <c r="G20" s="133">
        <v>45807</v>
      </c>
      <c r="H20" s="133"/>
      <c r="I20" s="134">
        <v>0.33333333333333331</v>
      </c>
      <c r="J20" s="134"/>
      <c r="K20" s="134"/>
      <c r="L20" s="134"/>
      <c r="M20" s="134"/>
      <c r="N20" s="134"/>
      <c r="O20" s="130" t="s">
        <v>268</v>
      </c>
      <c r="P20" s="130" t="s">
        <v>172</v>
      </c>
      <c r="Q20" s="135">
        <v>45</v>
      </c>
      <c r="R20" s="135">
        <v>4</v>
      </c>
      <c r="S20" s="14"/>
      <c r="T20" s="73"/>
      <c r="U20" s="14"/>
      <c r="V20" s="14"/>
      <c r="W20" s="14"/>
      <c r="X20" s="69"/>
      <c r="Y20" s="60">
        <f ca="1">Table24[[#This Row],[End Date]]+2-TODAY()</f>
        <v>-198</v>
      </c>
      <c r="Z20" s="14">
        <f>IF(ISBLANK(Table24[[#This Row],[Roster Received By]]),1,0)</f>
        <v>1</v>
      </c>
      <c r="AA20" s="14">
        <f ca="1">IF(Table24[[#This Row],[Start Date]]&gt;TODAY(),1,)</f>
        <v>0</v>
      </c>
    </row>
    <row r="21" spans="1:27" s="76" customFormat="1" ht="14.25" customHeight="1" x14ac:dyDescent="0.25">
      <c r="A21" s="54"/>
      <c r="B21" s="69" t="s">
        <v>100</v>
      </c>
      <c r="C21" s="70" t="s">
        <v>101</v>
      </c>
      <c r="D21" s="70" t="s">
        <v>102</v>
      </c>
      <c r="E21" s="69"/>
      <c r="F21" s="72">
        <v>45810</v>
      </c>
      <c r="G21" s="72">
        <v>45813</v>
      </c>
      <c r="H21" s="75"/>
      <c r="I21" s="75">
        <v>0.54166666666666663</v>
      </c>
      <c r="J21" s="75"/>
      <c r="K21" s="75"/>
      <c r="L21" s="75"/>
      <c r="M21" s="75"/>
      <c r="N21" s="75"/>
      <c r="O21" s="69" t="s">
        <v>268</v>
      </c>
      <c r="P21" s="69" t="s">
        <v>172</v>
      </c>
      <c r="Q21" s="14">
        <v>45</v>
      </c>
      <c r="R21" s="14">
        <v>4</v>
      </c>
      <c r="S21" s="73"/>
      <c r="T21" s="73"/>
      <c r="U21" s="14"/>
      <c r="V21" s="14"/>
      <c r="W21" s="70"/>
      <c r="X21" s="69"/>
      <c r="Y21" s="60">
        <f ca="1">Table24[[#This Row],[End Date]]+2-TODAY()</f>
        <v>-192</v>
      </c>
      <c r="Z21" s="14">
        <f>IF(ISBLANK(Table24[[#This Row],[Roster Received By]]),1,0)</f>
        <v>1</v>
      </c>
      <c r="AA21" s="14">
        <f ca="1">IF(Table24[[#This Row],[Start Date]]&gt;TODAY(),1,)</f>
        <v>0</v>
      </c>
    </row>
    <row r="22" spans="1:27" s="76" customFormat="1" ht="14.25" customHeight="1" x14ac:dyDescent="0.25">
      <c r="A22" s="69"/>
      <c r="B22" s="69" t="s">
        <v>100</v>
      </c>
      <c r="C22" s="70" t="s">
        <v>101</v>
      </c>
      <c r="D22" s="70" t="s">
        <v>102</v>
      </c>
      <c r="E22" s="69"/>
      <c r="F22" s="72">
        <v>45831</v>
      </c>
      <c r="G22" s="72">
        <v>45834</v>
      </c>
      <c r="H22" s="75"/>
      <c r="I22" s="71">
        <v>0.29166666666666669</v>
      </c>
      <c r="J22" s="75"/>
      <c r="K22" s="75"/>
      <c r="L22" s="75"/>
      <c r="M22" s="75"/>
      <c r="N22" s="75"/>
      <c r="O22" s="69" t="s">
        <v>268</v>
      </c>
      <c r="P22" s="69" t="s">
        <v>172</v>
      </c>
      <c r="Q22" s="14">
        <v>45</v>
      </c>
      <c r="R22" s="14">
        <v>4</v>
      </c>
      <c r="S22" s="73"/>
      <c r="T22" s="73"/>
      <c r="U22" s="14"/>
      <c r="V22" s="14"/>
      <c r="W22" s="73"/>
      <c r="X22" s="69"/>
      <c r="Y22" s="60">
        <f ca="1">Table24[[#This Row],[End Date]]+2-TODAY()</f>
        <v>-171</v>
      </c>
      <c r="Z22" s="14">
        <f>IF(ISBLANK(Table24[[#This Row],[Roster Received By]]),1,0)</f>
        <v>1</v>
      </c>
      <c r="AA22" s="14">
        <f ca="1">IF(Table24[[#This Row],[Start Date]]&gt;TODAY(),1,)</f>
        <v>0</v>
      </c>
    </row>
    <row r="23" spans="1:27" s="76" customFormat="1" ht="14.25" customHeight="1" x14ac:dyDescent="0.25">
      <c r="A23" s="52"/>
      <c r="B23" s="69" t="s">
        <v>100</v>
      </c>
      <c r="C23" s="70" t="s">
        <v>101</v>
      </c>
      <c r="D23" s="70" t="s">
        <v>102</v>
      </c>
      <c r="E23" s="69"/>
      <c r="F23" s="72">
        <v>45845</v>
      </c>
      <c r="G23" s="72">
        <v>45848</v>
      </c>
      <c r="H23" s="75"/>
      <c r="I23" s="71">
        <v>0.79166666666666663</v>
      </c>
      <c r="J23" s="75"/>
      <c r="K23" s="75"/>
      <c r="L23" s="75"/>
      <c r="M23" s="75"/>
      <c r="N23" s="75"/>
      <c r="O23" s="69" t="s">
        <v>268</v>
      </c>
      <c r="P23" s="69" t="s">
        <v>172</v>
      </c>
      <c r="Q23" s="14">
        <v>45</v>
      </c>
      <c r="R23" s="14">
        <v>4</v>
      </c>
      <c r="S23" s="14"/>
      <c r="T23" s="73"/>
      <c r="U23" s="14"/>
      <c r="V23" s="14"/>
      <c r="W23" s="14"/>
      <c r="X23" s="69"/>
      <c r="Y23" s="60">
        <f ca="1">Table24[[#This Row],[End Date]]+2-TODAY()</f>
        <v>-157</v>
      </c>
      <c r="Z23" s="14">
        <f>IF(ISBLANK(Table24[[#This Row],[Roster Received By]]),1,0)</f>
        <v>1</v>
      </c>
      <c r="AA23" s="14">
        <f ca="1">IF(Table24[[#This Row],[Start Date]]&gt;TODAY(),1,)</f>
        <v>0</v>
      </c>
    </row>
    <row r="24" spans="1:27" s="108" customFormat="1" ht="14.25" customHeight="1" x14ac:dyDescent="0.25">
      <c r="A24" s="121" t="s">
        <v>271</v>
      </c>
      <c r="B24" s="122" t="s">
        <v>100</v>
      </c>
      <c r="C24" s="124" t="s">
        <v>101</v>
      </c>
      <c r="D24" s="124" t="s">
        <v>102</v>
      </c>
      <c r="E24" s="122"/>
      <c r="F24" s="125">
        <v>45859</v>
      </c>
      <c r="G24" s="125">
        <v>45862</v>
      </c>
      <c r="H24" s="128"/>
      <c r="I24" s="128">
        <v>0.33333333333333331</v>
      </c>
      <c r="J24" s="125"/>
      <c r="K24" s="125"/>
      <c r="L24" s="125"/>
      <c r="M24" s="125"/>
      <c r="N24" s="125"/>
      <c r="O24" s="122" t="s">
        <v>268</v>
      </c>
      <c r="P24" s="122" t="s">
        <v>172</v>
      </c>
      <c r="Q24" s="127">
        <v>45</v>
      </c>
      <c r="R24" s="127">
        <v>4</v>
      </c>
      <c r="S24" s="14"/>
      <c r="T24" s="73"/>
      <c r="U24" s="14"/>
      <c r="V24" s="14"/>
      <c r="W24" s="14"/>
      <c r="X24" s="69"/>
      <c r="Y24" s="60">
        <f ca="1">Table24[[#This Row],[End Date]]+2-TODAY()</f>
        <v>-143</v>
      </c>
      <c r="Z24" s="14">
        <f>IF(ISBLANK(Table24[[#This Row],[Roster Received By]]),1,0)</f>
        <v>1</v>
      </c>
      <c r="AA24" s="14">
        <f ca="1">IF(Table24[[#This Row],[Start Date]]&gt;TODAY(),1,)</f>
        <v>0</v>
      </c>
    </row>
    <row r="25" spans="1:27" s="76" customFormat="1" ht="16.5" customHeight="1" x14ac:dyDescent="0.25">
      <c r="A25" s="70"/>
      <c r="B25" s="69" t="s">
        <v>100</v>
      </c>
      <c r="C25" s="70" t="s">
        <v>101</v>
      </c>
      <c r="D25" s="70" t="s">
        <v>102</v>
      </c>
      <c r="E25" s="69"/>
      <c r="F25" s="56">
        <v>45873</v>
      </c>
      <c r="G25" s="56">
        <v>45876</v>
      </c>
      <c r="H25" s="56"/>
      <c r="I25" s="71">
        <v>0.45833333333333331</v>
      </c>
      <c r="J25" s="71"/>
      <c r="K25" s="71"/>
      <c r="L25" s="71"/>
      <c r="M25" s="71"/>
      <c r="N25" s="71"/>
      <c r="O25" s="69" t="s">
        <v>268</v>
      </c>
      <c r="P25" s="69" t="s">
        <v>172</v>
      </c>
      <c r="Q25" s="14">
        <v>45</v>
      </c>
      <c r="R25" s="14">
        <v>4</v>
      </c>
      <c r="S25" s="77"/>
      <c r="T25" s="73"/>
      <c r="U25" s="14"/>
      <c r="V25" s="14"/>
      <c r="W25" s="14"/>
      <c r="X25" s="69"/>
      <c r="Y25" s="60">
        <f ca="1">Table24[[#This Row],[End Date]]+2-TODAY()</f>
        <v>-129</v>
      </c>
      <c r="Z25" s="14">
        <f>IF(ISBLANK(Table24[[#This Row],[Roster Received By]]),1,0)</f>
        <v>1</v>
      </c>
      <c r="AA25" s="14">
        <f ca="1">IF(Table24[[#This Row],[Start Date]]&gt;TODAY(),1,)</f>
        <v>0</v>
      </c>
    </row>
    <row r="26" spans="1:27" s="76" customFormat="1" ht="16.5" customHeight="1" x14ac:dyDescent="0.25">
      <c r="A26" s="70"/>
      <c r="B26" s="69" t="s">
        <v>100</v>
      </c>
      <c r="C26" s="70" t="s">
        <v>101</v>
      </c>
      <c r="D26" s="70" t="s">
        <v>102</v>
      </c>
      <c r="E26" s="69"/>
      <c r="F26" s="56">
        <v>45880</v>
      </c>
      <c r="G26" s="56">
        <v>45883</v>
      </c>
      <c r="H26" s="56"/>
      <c r="I26" s="71">
        <v>0.54166666666666663</v>
      </c>
      <c r="J26" s="71"/>
      <c r="K26" s="71"/>
      <c r="L26" s="71"/>
      <c r="M26" s="71"/>
      <c r="N26" s="71"/>
      <c r="O26" s="69" t="s">
        <v>268</v>
      </c>
      <c r="P26" s="69" t="s">
        <v>172</v>
      </c>
      <c r="Q26" s="14">
        <v>45</v>
      </c>
      <c r="R26" s="14">
        <v>4</v>
      </c>
      <c r="S26" s="189"/>
      <c r="T26" s="73"/>
      <c r="U26" s="14"/>
      <c r="V26" s="14"/>
      <c r="W26" s="14"/>
      <c r="X26" s="69"/>
      <c r="Y26" s="60">
        <f ca="1">Table24[[#This Row],[End Date]]+2-TODAY()</f>
        <v>-122</v>
      </c>
      <c r="Z26" s="14">
        <f>IF(ISBLANK(Table24[[#This Row],[Roster Received By]]),1,0)</f>
        <v>1</v>
      </c>
      <c r="AA26" s="14">
        <f ca="1">IF(Table24[[#This Row],[Start Date]]&gt;TODAY(),1,)</f>
        <v>0</v>
      </c>
    </row>
    <row r="27" spans="1:27" s="76" customFormat="1" ht="16.5" customHeight="1" x14ac:dyDescent="0.25">
      <c r="A27" s="52"/>
      <c r="B27" s="69" t="s">
        <v>100</v>
      </c>
      <c r="C27" s="70" t="s">
        <v>101</v>
      </c>
      <c r="D27" s="70" t="s">
        <v>102</v>
      </c>
      <c r="E27" s="69"/>
      <c r="F27" s="56">
        <v>45887</v>
      </c>
      <c r="G27" s="56">
        <v>45890</v>
      </c>
      <c r="H27" s="56"/>
      <c r="I27" s="71">
        <v>0.41666666666666669</v>
      </c>
      <c r="J27" s="71"/>
      <c r="K27" s="71"/>
      <c r="L27" s="71"/>
      <c r="M27" s="71"/>
      <c r="N27" s="71"/>
      <c r="O27" s="69" t="s">
        <v>268</v>
      </c>
      <c r="P27" s="69" t="s">
        <v>172</v>
      </c>
      <c r="Q27" s="14">
        <v>45</v>
      </c>
      <c r="R27" s="14">
        <v>4</v>
      </c>
      <c r="S27" s="14"/>
      <c r="T27" s="73"/>
      <c r="U27" s="14"/>
      <c r="V27" s="14"/>
      <c r="W27" s="14"/>
      <c r="X27" s="69"/>
      <c r="Y27" s="60">
        <f ca="1">Table24[[#This Row],[End Date]]+2-TODAY()</f>
        <v>-115</v>
      </c>
      <c r="Z27" s="14">
        <f>IF(ISBLANK(Table24[[#This Row],[Roster Received By]]),1,0)</f>
        <v>1</v>
      </c>
      <c r="AA27" s="14">
        <f ca="1">IF(Table24[[#This Row],[Start Date]]&gt;TODAY(),1,)</f>
        <v>0</v>
      </c>
    </row>
    <row r="28" spans="1:27" s="76" customFormat="1" ht="14.25" customHeight="1" x14ac:dyDescent="0.25">
      <c r="A28" s="52"/>
      <c r="B28" s="69" t="s">
        <v>100</v>
      </c>
      <c r="C28" s="70" t="s">
        <v>101</v>
      </c>
      <c r="D28" s="70" t="s">
        <v>102</v>
      </c>
      <c r="E28" s="69"/>
      <c r="F28" s="56">
        <v>45902</v>
      </c>
      <c r="G28" s="56">
        <v>45905</v>
      </c>
      <c r="H28" s="56"/>
      <c r="I28" s="71">
        <v>0.33333333333333331</v>
      </c>
      <c r="J28" s="71"/>
      <c r="K28" s="71"/>
      <c r="L28" s="71"/>
      <c r="M28" s="71"/>
      <c r="N28" s="71"/>
      <c r="O28" s="69" t="s">
        <v>268</v>
      </c>
      <c r="P28" s="69" t="s">
        <v>172</v>
      </c>
      <c r="Q28" s="14">
        <v>45</v>
      </c>
      <c r="R28" s="14">
        <v>4</v>
      </c>
      <c r="S28" s="14"/>
      <c r="T28" s="73"/>
      <c r="U28" s="14"/>
      <c r="V28" s="14"/>
      <c r="W28" s="14"/>
      <c r="X28" s="69"/>
      <c r="Y28" s="60">
        <f ca="1">Table24[[#This Row],[End Date]]+2-TODAY()</f>
        <v>-100</v>
      </c>
      <c r="Z28" s="14">
        <f>IF(ISBLANK(Table24[[#This Row],[Roster Received By]]),1,0)</f>
        <v>1</v>
      </c>
      <c r="AA28" s="14">
        <f ca="1">IF(Table24[[#This Row],[Start Date]]&gt;TODAY(),1,)</f>
        <v>0</v>
      </c>
    </row>
    <row r="29" spans="1:27" s="76" customFormat="1" ht="14.25" customHeight="1" x14ac:dyDescent="0.25">
      <c r="A29" s="52"/>
      <c r="B29" s="69" t="s">
        <v>100</v>
      </c>
      <c r="C29" s="70" t="s">
        <v>101</v>
      </c>
      <c r="D29" s="70" t="s">
        <v>102</v>
      </c>
      <c r="E29" s="69"/>
      <c r="F29" s="72">
        <v>45915</v>
      </c>
      <c r="G29" s="72">
        <v>45918</v>
      </c>
      <c r="H29" s="72"/>
      <c r="I29" s="71">
        <v>0.54166666666666663</v>
      </c>
      <c r="J29" s="71"/>
      <c r="K29" s="71"/>
      <c r="L29" s="71"/>
      <c r="M29" s="71"/>
      <c r="N29" s="71"/>
      <c r="O29" s="69" t="s">
        <v>268</v>
      </c>
      <c r="P29" s="69" t="s">
        <v>172</v>
      </c>
      <c r="Q29" s="14">
        <v>45</v>
      </c>
      <c r="R29" s="14">
        <v>4</v>
      </c>
      <c r="S29" s="14"/>
      <c r="T29" s="73"/>
      <c r="U29" s="14"/>
      <c r="V29" s="14"/>
      <c r="W29" s="14"/>
      <c r="X29" s="69"/>
      <c r="Y29" s="60">
        <f ca="1">Table24[[#This Row],[End Date]]+2-TODAY()</f>
        <v>-87</v>
      </c>
      <c r="Z29" s="14">
        <f>IF(ISBLANK(Table24[[#This Row],[Roster Received By]]),1,0)</f>
        <v>1</v>
      </c>
      <c r="AA29" s="14">
        <f ca="1">IF(Table24[[#This Row],[Start Date]]&gt;TODAY(),1,)</f>
        <v>0</v>
      </c>
    </row>
    <row r="30" spans="1:27" s="76" customFormat="1" ht="14.25" customHeight="1" x14ac:dyDescent="0.25">
      <c r="A30" s="52"/>
      <c r="B30" s="69" t="s">
        <v>100</v>
      </c>
      <c r="C30" s="70" t="s">
        <v>101</v>
      </c>
      <c r="D30" s="70" t="s">
        <v>102</v>
      </c>
      <c r="E30" s="69"/>
      <c r="F30" s="56">
        <v>45929</v>
      </c>
      <c r="G30" s="56">
        <v>45932</v>
      </c>
      <c r="H30" s="56"/>
      <c r="I30" s="71">
        <v>0.33333333333333331</v>
      </c>
      <c r="J30" s="71"/>
      <c r="K30" s="71"/>
      <c r="L30" s="71"/>
      <c r="M30" s="71"/>
      <c r="N30" s="71"/>
      <c r="O30" s="69" t="s">
        <v>268</v>
      </c>
      <c r="P30" s="69" t="s">
        <v>172</v>
      </c>
      <c r="Q30" s="14">
        <v>45</v>
      </c>
      <c r="R30" s="14">
        <v>4</v>
      </c>
      <c r="S30" s="14"/>
      <c r="T30" s="73"/>
      <c r="U30" s="14"/>
      <c r="V30" s="14"/>
      <c r="W30" s="70"/>
      <c r="X30" s="69"/>
      <c r="Y30" s="60">
        <f ca="1">Table24[[#This Row],[End Date]]+2-TODAY()</f>
        <v>-73</v>
      </c>
      <c r="Z30" s="14">
        <f>IF(ISBLANK(Table24[[#This Row],[Roster Received By]]),1,0)</f>
        <v>1</v>
      </c>
      <c r="AA30" s="14">
        <f ca="1">IF(Table24[[#This Row],[Start Date]]&gt;TODAY(),1,)</f>
        <v>0</v>
      </c>
    </row>
    <row r="31" spans="1:27" s="76" customFormat="1" ht="16.5" customHeight="1" x14ac:dyDescent="0.25">
      <c r="A31" s="52"/>
      <c r="B31" s="69" t="s">
        <v>106</v>
      </c>
      <c r="C31" s="70" t="s">
        <v>107</v>
      </c>
      <c r="D31" s="70">
        <v>1228</v>
      </c>
      <c r="E31" s="69"/>
      <c r="F31" s="56">
        <v>45566</v>
      </c>
      <c r="G31" s="56">
        <v>45569</v>
      </c>
      <c r="H31" s="56"/>
      <c r="I31" s="78">
        <v>0.41666666666666669</v>
      </c>
      <c r="J31" s="71"/>
      <c r="K31" s="71"/>
      <c r="L31" s="71"/>
      <c r="M31" s="71"/>
      <c r="N31" s="71"/>
      <c r="O31" s="69" t="s">
        <v>172</v>
      </c>
      <c r="P31" s="69" t="s">
        <v>268</v>
      </c>
      <c r="Q31" s="14">
        <v>45</v>
      </c>
      <c r="R31" s="187">
        <v>5</v>
      </c>
      <c r="S31" s="14"/>
      <c r="T31" s="73"/>
      <c r="U31" s="14"/>
      <c r="V31" s="14"/>
      <c r="W31" s="14"/>
      <c r="X31" s="69"/>
      <c r="Y31" s="60">
        <f ca="1">Table24[[#This Row],[End Date]]+2-TODAY()</f>
        <v>-436</v>
      </c>
      <c r="Z31" s="14">
        <f>IF(ISBLANK(Table24[[#This Row],[Roster Received By]]),1,0)</f>
        <v>1</v>
      </c>
      <c r="AA31" s="14">
        <f ca="1">IF(Table24[[#This Row],[Start Date]]&gt;TODAY(),1,)</f>
        <v>0</v>
      </c>
    </row>
    <row r="32" spans="1:27" s="76" customFormat="1" ht="16.5" customHeight="1" x14ac:dyDescent="0.25">
      <c r="A32" s="52"/>
      <c r="B32" s="69" t="s">
        <v>106</v>
      </c>
      <c r="C32" s="70" t="s">
        <v>107</v>
      </c>
      <c r="D32" s="70">
        <v>1228</v>
      </c>
      <c r="E32" s="54"/>
      <c r="F32" s="72">
        <v>45580</v>
      </c>
      <c r="G32" s="72">
        <v>45583</v>
      </c>
      <c r="H32" s="75"/>
      <c r="I32" s="71">
        <v>1300.5416666666667</v>
      </c>
      <c r="J32" s="72"/>
      <c r="K32" s="72"/>
      <c r="L32" s="72"/>
      <c r="M32" s="72"/>
      <c r="N32" s="72"/>
      <c r="O32" s="69" t="s">
        <v>172</v>
      </c>
      <c r="P32" s="69" t="s">
        <v>268</v>
      </c>
      <c r="Q32" s="14">
        <v>45</v>
      </c>
      <c r="R32" s="187">
        <v>5</v>
      </c>
      <c r="S32" s="14"/>
      <c r="T32" s="73"/>
      <c r="U32" s="14"/>
      <c r="V32" s="14"/>
      <c r="W32" s="14"/>
      <c r="X32" s="69"/>
      <c r="Y32" s="60">
        <f ca="1">Table24[[#This Row],[End Date]]+2-TODAY()</f>
        <v>-422</v>
      </c>
      <c r="Z32" s="14">
        <f>IF(ISBLANK(Table24[[#This Row],[Roster Received By]]),1,0)</f>
        <v>1</v>
      </c>
      <c r="AA32" s="14">
        <f ca="1">IF(Table24[[#This Row],[Start Date]]&gt;TODAY(),1,)</f>
        <v>0</v>
      </c>
    </row>
    <row r="33" spans="1:27" s="76" customFormat="1" ht="14.25" customHeight="1" x14ac:dyDescent="0.25">
      <c r="A33" s="52"/>
      <c r="B33" s="69" t="s">
        <v>106</v>
      </c>
      <c r="C33" s="70" t="s">
        <v>107</v>
      </c>
      <c r="D33" s="70">
        <v>1228</v>
      </c>
      <c r="E33" s="69"/>
      <c r="F33" s="80">
        <v>45593</v>
      </c>
      <c r="G33" s="80">
        <v>45596</v>
      </c>
      <c r="H33" s="78"/>
      <c r="I33" s="75">
        <v>800.33333333333337</v>
      </c>
      <c r="J33" s="72"/>
      <c r="K33" s="72"/>
      <c r="L33" s="72"/>
      <c r="M33" s="72"/>
      <c r="N33" s="72"/>
      <c r="O33" s="69" t="s">
        <v>172</v>
      </c>
      <c r="P33" s="69" t="s">
        <v>268</v>
      </c>
      <c r="Q33" s="14">
        <v>45</v>
      </c>
      <c r="R33" s="187">
        <v>5</v>
      </c>
      <c r="S33" s="73"/>
      <c r="T33" s="73"/>
      <c r="U33" s="14"/>
      <c r="V33" s="14"/>
      <c r="W33" s="14"/>
      <c r="X33" s="69"/>
      <c r="Y33" s="60">
        <f ca="1">Table24[[#This Row],[End Date]]+2-TODAY()</f>
        <v>-409</v>
      </c>
      <c r="Z33" s="14">
        <f>IF(ISBLANK(Table24[[#This Row],[Roster Received By]]),1,0)</f>
        <v>1</v>
      </c>
      <c r="AA33" s="14">
        <f ca="1">IF(Table24[[#This Row],[Start Date]]&gt;TODAY(),1,)</f>
        <v>0</v>
      </c>
    </row>
    <row r="34" spans="1:27" s="76" customFormat="1" ht="14.25" customHeight="1" x14ac:dyDescent="0.25">
      <c r="A34" s="52"/>
      <c r="B34" s="69" t="s">
        <v>106</v>
      </c>
      <c r="C34" s="70" t="s">
        <v>107</v>
      </c>
      <c r="D34" s="70">
        <v>1228</v>
      </c>
      <c r="E34" s="69"/>
      <c r="F34" s="72">
        <v>45600</v>
      </c>
      <c r="G34" s="72">
        <v>45603</v>
      </c>
      <c r="H34" s="75"/>
      <c r="I34" s="71">
        <v>1000.4166666666666</v>
      </c>
      <c r="J34" s="75"/>
      <c r="K34" s="75"/>
      <c r="L34" s="75"/>
      <c r="M34" s="75"/>
      <c r="N34" s="75"/>
      <c r="O34" s="69" t="s">
        <v>172</v>
      </c>
      <c r="P34" s="69" t="s">
        <v>268</v>
      </c>
      <c r="Q34" s="14">
        <v>45</v>
      </c>
      <c r="R34" s="187">
        <v>5</v>
      </c>
      <c r="S34" s="14"/>
      <c r="T34" s="73"/>
      <c r="U34" s="14"/>
      <c r="V34" s="14"/>
      <c r="W34" s="14"/>
      <c r="X34" s="69"/>
      <c r="Y34" s="60">
        <f ca="1">Table24[[#This Row],[End Date]]+2-TODAY()</f>
        <v>-402</v>
      </c>
      <c r="Z34" s="14">
        <f>IF(ISBLANK(Table24[[#This Row],[Roster Received By]]),1,0)</f>
        <v>1</v>
      </c>
      <c r="AA34" s="14">
        <f ca="1">IF(Table24[[#This Row],[Start Date]]&gt;TODAY(),1,)</f>
        <v>0</v>
      </c>
    </row>
    <row r="35" spans="1:27" s="76" customFormat="1" ht="14.25" customHeight="1" x14ac:dyDescent="0.25">
      <c r="A35" s="52"/>
      <c r="B35" s="69" t="s">
        <v>106</v>
      </c>
      <c r="C35" s="70" t="s">
        <v>107</v>
      </c>
      <c r="D35" s="70">
        <v>1228</v>
      </c>
      <c r="E35" s="69"/>
      <c r="F35" s="72">
        <v>45979</v>
      </c>
      <c r="G35" s="72">
        <v>45982</v>
      </c>
      <c r="H35" s="75"/>
      <c r="I35" s="78">
        <v>700.29166666666663</v>
      </c>
      <c r="J35" s="75"/>
      <c r="K35" s="75"/>
      <c r="L35" s="75"/>
      <c r="M35" s="75"/>
      <c r="N35" s="75"/>
      <c r="O35" s="69" t="s">
        <v>172</v>
      </c>
      <c r="P35" s="69" t="s">
        <v>268</v>
      </c>
      <c r="Q35" s="14">
        <v>45</v>
      </c>
      <c r="R35" s="187">
        <v>5</v>
      </c>
      <c r="S35" s="73"/>
      <c r="T35" s="73"/>
      <c r="U35" s="14"/>
      <c r="V35" s="14"/>
      <c r="W35" s="14"/>
      <c r="X35" s="69"/>
      <c r="Y35" s="60">
        <f ca="1">Table24[[#This Row],[End Date]]+2-TODAY()</f>
        <v>-23</v>
      </c>
      <c r="Z35" s="14">
        <f>IF(ISBLANK(Table24[[#This Row],[Roster Received By]]),1,0)</f>
        <v>1</v>
      </c>
      <c r="AA35" s="14">
        <f ca="1">IF(Table24[[#This Row],[Start Date]]&gt;TODAY(),1,)</f>
        <v>0</v>
      </c>
    </row>
    <row r="36" spans="1:27" s="76" customFormat="1" ht="14.25" customHeight="1" x14ac:dyDescent="0.25">
      <c r="A36" s="52"/>
      <c r="B36" s="69" t="s">
        <v>106</v>
      </c>
      <c r="C36" s="70" t="s">
        <v>107</v>
      </c>
      <c r="D36" s="70">
        <v>1228</v>
      </c>
      <c r="E36" s="69"/>
      <c r="F36" s="72">
        <v>46000</v>
      </c>
      <c r="G36" s="72">
        <v>46003</v>
      </c>
      <c r="H36" s="75"/>
      <c r="I36" s="71">
        <v>0.33333333333333331</v>
      </c>
      <c r="J36" s="72"/>
      <c r="K36" s="72"/>
      <c r="L36" s="72"/>
      <c r="M36" s="72"/>
      <c r="N36" s="72"/>
      <c r="O36" s="69" t="s">
        <v>172</v>
      </c>
      <c r="P36" s="69" t="s">
        <v>268</v>
      </c>
      <c r="Q36" s="14">
        <v>45</v>
      </c>
      <c r="R36" s="187">
        <v>5</v>
      </c>
      <c r="S36" s="14"/>
      <c r="T36" s="73"/>
      <c r="U36" s="14"/>
      <c r="V36" s="14"/>
      <c r="W36" s="14"/>
      <c r="X36" s="69"/>
      <c r="Y36" s="60">
        <f ca="1">Table24[[#This Row],[End Date]]+2-TODAY()</f>
        <v>-2</v>
      </c>
      <c r="Z36" s="14">
        <f>IF(ISBLANK(Table24[[#This Row],[Roster Received By]]),1,0)</f>
        <v>1</v>
      </c>
      <c r="AA36" s="14">
        <f ca="1">IF(Table24[[#This Row],[Start Date]]&gt;TODAY(),1,)</f>
        <v>0</v>
      </c>
    </row>
    <row r="37" spans="1:27" s="109" customFormat="1" ht="14.25" customHeight="1" x14ac:dyDescent="0.25">
      <c r="A37" s="52"/>
      <c r="B37" s="69" t="s">
        <v>106</v>
      </c>
      <c r="C37" s="70" t="s">
        <v>107</v>
      </c>
      <c r="D37" s="70" t="s">
        <v>115</v>
      </c>
      <c r="E37" s="69"/>
      <c r="F37" s="72">
        <v>45684</v>
      </c>
      <c r="G37" s="72">
        <v>45321</v>
      </c>
      <c r="H37" s="72"/>
      <c r="I37" s="71">
        <v>1300.5416666666667</v>
      </c>
      <c r="J37" s="71"/>
      <c r="K37" s="71"/>
      <c r="L37" s="71"/>
      <c r="M37" s="71"/>
      <c r="N37" s="71"/>
      <c r="O37" s="69" t="s">
        <v>172</v>
      </c>
      <c r="P37" s="69" t="s">
        <v>268</v>
      </c>
      <c r="Q37" s="14">
        <v>45</v>
      </c>
      <c r="R37" s="187">
        <v>5</v>
      </c>
      <c r="S37" s="14"/>
      <c r="T37" s="73"/>
      <c r="U37" s="14"/>
      <c r="V37" s="14"/>
      <c r="W37" s="14"/>
      <c r="X37" s="69"/>
      <c r="Y37" s="60">
        <f ca="1">Table24[[#This Row],[End Date]]+2-TODAY()</f>
        <v>-684</v>
      </c>
      <c r="Z37" s="14">
        <f>IF(ISBLANK(Table24[[#This Row],[Roster Received By]]),1,0)</f>
        <v>1</v>
      </c>
      <c r="AA37" s="14">
        <f ca="1">IF(Table24[[#This Row],[Start Date]]&gt;TODAY(),1,)</f>
        <v>0</v>
      </c>
    </row>
    <row r="38" spans="1:27" s="105" customFormat="1" ht="14.25" customHeight="1" x14ac:dyDescent="0.25">
      <c r="A38" s="52"/>
      <c r="B38" s="69" t="s">
        <v>106</v>
      </c>
      <c r="C38" s="70" t="s">
        <v>107</v>
      </c>
      <c r="D38" s="70">
        <v>1228</v>
      </c>
      <c r="E38" s="69"/>
      <c r="F38" s="72">
        <v>45698</v>
      </c>
      <c r="G38" s="72">
        <v>45701</v>
      </c>
      <c r="H38" s="72"/>
      <c r="I38" s="71">
        <v>800.33333333333337</v>
      </c>
      <c r="J38" s="71"/>
      <c r="K38" s="71"/>
      <c r="L38" s="71"/>
      <c r="M38" s="71"/>
      <c r="N38" s="71"/>
      <c r="O38" s="69" t="s">
        <v>172</v>
      </c>
      <c r="P38" s="69" t="s">
        <v>268</v>
      </c>
      <c r="Q38" s="14">
        <v>45</v>
      </c>
      <c r="R38" s="187">
        <v>5</v>
      </c>
      <c r="S38" s="14"/>
      <c r="T38" s="73"/>
      <c r="U38" s="14"/>
      <c r="V38" s="14"/>
      <c r="W38" s="73"/>
      <c r="X38" s="69"/>
      <c r="Y38" s="60">
        <f ca="1">Table24[[#This Row],[End Date]]+2-TODAY()</f>
        <v>-304</v>
      </c>
      <c r="Z38" s="14">
        <f>IF(ISBLANK(Table24[[#This Row],[Roster Received By]]),1,0)</f>
        <v>1</v>
      </c>
      <c r="AA38" s="14">
        <f ca="1">IF(Table24[[#This Row],[Start Date]]&gt;TODAY(),1,)</f>
        <v>0</v>
      </c>
    </row>
    <row r="39" spans="1:27" s="105" customFormat="1" ht="14.25" customHeight="1" x14ac:dyDescent="0.25">
      <c r="A39" s="52"/>
      <c r="B39" s="69" t="s">
        <v>106</v>
      </c>
      <c r="C39" s="70" t="s">
        <v>107</v>
      </c>
      <c r="D39" s="70" t="s">
        <v>118</v>
      </c>
      <c r="E39" s="54"/>
      <c r="F39" s="72">
        <v>45712</v>
      </c>
      <c r="G39" s="72">
        <v>45715</v>
      </c>
      <c r="H39" s="78"/>
      <c r="I39" s="71">
        <v>1900.7916666666667</v>
      </c>
      <c r="J39" s="72"/>
      <c r="K39" s="72"/>
      <c r="L39" s="72"/>
      <c r="M39" s="72"/>
      <c r="N39" s="72"/>
      <c r="O39" s="69" t="s">
        <v>172</v>
      </c>
      <c r="P39" s="69" t="s">
        <v>268</v>
      </c>
      <c r="Q39" s="14">
        <v>45</v>
      </c>
      <c r="R39" s="187">
        <v>5</v>
      </c>
      <c r="S39" s="14"/>
      <c r="T39" s="73"/>
      <c r="U39" s="14"/>
      <c r="V39" s="14"/>
      <c r="W39" s="73"/>
      <c r="X39" s="69"/>
      <c r="Y39" s="60">
        <f ca="1">Table24[[#This Row],[End Date]]+2-TODAY()</f>
        <v>-290</v>
      </c>
      <c r="Z39" s="14">
        <f>IF(ISBLANK(Table24[[#This Row],[Roster Received By]]),1,0)</f>
        <v>1</v>
      </c>
      <c r="AA39" s="14">
        <f ca="1">IF(Table24[[#This Row],[Start Date]]&gt;TODAY(),1,)</f>
        <v>0</v>
      </c>
    </row>
    <row r="40" spans="1:27" s="76" customFormat="1" ht="14.25" customHeight="1" x14ac:dyDescent="0.25">
      <c r="A40" s="52"/>
      <c r="B40" s="69" t="s">
        <v>106</v>
      </c>
      <c r="C40" s="70" t="s">
        <v>107</v>
      </c>
      <c r="D40" s="70">
        <v>1228</v>
      </c>
      <c r="E40" s="69"/>
      <c r="F40" s="72">
        <v>45726</v>
      </c>
      <c r="G40" s="72">
        <v>45729</v>
      </c>
      <c r="H40" s="72"/>
      <c r="I40" s="71">
        <v>700.29166666666663</v>
      </c>
      <c r="J40" s="71"/>
      <c r="K40" s="71"/>
      <c r="L40" s="71"/>
      <c r="M40" s="71"/>
      <c r="N40" s="71"/>
      <c r="O40" s="69" t="s">
        <v>172</v>
      </c>
      <c r="P40" s="69" t="s">
        <v>268</v>
      </c>
      <c r="Q40" s="14">
        <v>45</v>
      </c>
      <c r="R40" s="187">
        <v>5</v>
      </c>
      <c r="S40" s="14"/>
      <c r="T40" s="73"/>
      <c r="U40" s="14"/>
      <c r="V40" s="14"/>
      <c r="W40" s="14"/>
      <c r="X40" s="69"/>
      <c r="Y40" s="60">
        <f ca="1">Table24[[#This Row],[End Date]]+2-TODAY()</f>
        <v>-276</v>
      </c>
      <c r="Z40" s="14">
        <f>IF(ISBLANK(Table24[[#This Row],[Roster Received By]]),1,0)</f>
        <v>1</v>
      </c>
      <c r="AA40" s="14">
        <f ca="1">IF(Table24[[#This Row],[Start Date]]&gt;TODAY(),1,)</f>
        <v>0</v>
      </c>
    </row>
    <row r="41" spans="1:27" s="76" customFormat="1" ht="14.25" customHeight="1" x14ac:dyDescent="0.25">
      <c r="A41" s="52"/>
      <c r="B41" s="69" t="s">
        <v>106</v>
      </c>
      <c r="C41" s="70" t="s">
        <v>107</v>
      </c>
      <c r="D41" s="70">
        <v>1228</v>
      </c>
      <c r="E41" s="69"/>
      <c r="F41" s="72">
        <v>45740</v>
      </c>
      <c r="G41" s="72">
        <v>45743</v>
      </c>
      <c r="H41" s="72"/>
      <c r="I41" s="71">
        <v>0.33333333333333331</v>
      </c>
      <c r="J41" s="71"/>
      <c r="K41" s="71"/>
      <c r="L41" s="71"/>
      <c r="M41" s="71"/>
      <c r="N41" s="71"/>
      <c r="O41" s="69" t="s">
        <v>172</v>
      </c>
      <c r="P41" s="69" t="s">
        <v>268</v>
      </c>
      <c r="Q41" s="14">
        <v>45</v>
      </c>
      <c r="R41" s="187">
        <v>5</v>
      </c>
      <c r="S41" s="14"/>
      <c r="T41" s="73"/>
      <c r="U41" s="14"/>
      <c r="V41" s="14"/>
      <c r="W41" s="14"/>
      <c r="X41" s="69"/>
      <c r="Y41" s="60">
        <f ca="1">Table24[[#This Row],[End Date]]+2-TODAY()</f>
        <v>-262</v>
      </c>
      <c r="Z41" s="14">
        <f>IF(ISBLANK(Table24[[#This Row],[Roster Received By]]),1,0)</f>
        <v>1</v>
      </c>
      <c r="AA41" s="14">
        <f ca="1">IF(Table24[[#This Row],[Start Date]]&gt;TODAY(),1,)</f>
        <v>0</v>
      </c>
    </row>
    <row r="42" spans="1:27" s="76" customFormat="1" ht="14.25" customHeight="1" x14ac:dyDescent="0.25">
      <c r="A42" s="52"/>
      <c r="B42" s="69" t="s">
        <v>106</v>
      </c>
      <c r="C42" s="70" t="s">
        <v>107</v>
      </c>
      <c r="D42" s="70">
        <v>1228</v>
      </c>
      <c r="E42" s="69"/>
      <c r="F42" s="72">
        <v>45754</v>
      </c>
      <c r="G42" s="72">
        <v>45757</v>
      </c>
      <c r="H42" s="78"/>
      <c r="I42" s="75">
        <v>1100.4583333333333</v>
      </c>
      <c r="J42" s="72"/>
      <c r="K42" s="72"/>
      <c r="L42" s="72"/>
      <c r="M42" s="72"/>
      <c r="N42" s="72"/>
      <c r="O42" s="69" t="s">
        <v>172</v>
      </c>
      <c r="P42" s="69" t="s">
        <v>268</v>
      </c>
      <c r="Q42" s="14">
        <v>45</v>
      </c>
      <c r="R42" s="187">
        <v>5</v>
      </c>
      <c r="S42" s="14"/>
      <c r="T42" s="73"/>
      <c r="U42" s="14"/>
      <c r="V42" s="14"/>
      <c r="W42" s="14"/>
      <c r="X42" s="69"/>
      <c r="Y42" s="60">
        <f ca="1">Table24[[#This Row],[End Date]]+2-TODAY()</f>
        <v>-248</v>
      </c>
      <c r="Z42" s="14">
        <f>IF(ISBLANK(Table24[[#This Row],[Roster Received By]]),1,0)</f>
        <v>1</v>
      </c>
      <c r="AA42" s="14">
        <f ca="1">IF(Table24[[#This Row],[Start Date]]&gt;TODAY(),1,)</f>
        <v>0</v>
      </c>
    </row>
    <row r="43" spans="1:27" s="76" customFormat="1" ht="14.25" customHeight="1" x14ac:dyDescent="0.25">
      <c r="A43" s="69"/>
      <c r="B43" s="69" t="s">
        <v>106</v>
      </c>
      <c r="C43" s="70" t="s">
        <v>107</v>
      </c>
      <c r="D43" s="70">
        <v>1228</v>
      </c>
      <c r="E43" s="69"/>
      <c r="F43" s="72">
        <v>45775</v>
      </c>
      <c r="G43" s="72">
        <v>45778</v>
      </c>
      <c r="H43" s="72"/>
      <c r="I43" s="71">
        <v>0.33333333333333331</v>
      </c>
      <c r="J43" s="71"/>
      <c r="K43" s="71"/>
      <c r="L43" s="71"/>
      <c r="M43" s="71"/>
      <c r="N43" s="71"/>
      <c r="O43" s="69" t="s">
        <v>172</v>
      </c>
      <c r="P43" s="69" t="s">
        <v>268</v>
      </c>
      <c r="Q43" s="14">
        <v>45</v>
      </c>
      <c r="R43" s="187">
        <v>5</v>
      </c>
      <c r="S43" s="14"/>
      <c r="T43" s="73"/>
      <c r="U43" s="14"/>
      <c r="V43" s="14"/>
      <c r="W43" s="14"/>
      <c r="X43" s="69"/>
      <c r="Y43" s="60">
        <f ca="1">Table24[[#This Row],[End Date]]+2-TODAY()</f>
        <v>-227</v>
      </c>
      <c r="Z43" s="14">
        <f>IF(ISBLANK(Table24[[#This Row],[Roster Received By]]),1,0)</f>
        <v>1</v>
      </c>
      <c r="AA43" s="14">
        <f ca="1">IF(Table24[[#This Row],[Start Date]]&gt;TODAY(),1,)</f>
        <v>0</v>
      </c>
    </row>
    <row r="44" spans="1:27" s="76" customFormat="1" ht="16.5" customHeight="1" x14ac:dyDescent="0.25">
      <c r="A44" s="54"/>
      <c r="B44" s="69" t="s">
        <v>106</v>
      </c>
      <c r="C44" s="70" t="s">
        <v>107</v>
      </c>
      <c r="D44" s="70">
        <v>1228</v>
      </c>
      <c r="E44" s="69"/>
      <c r="F44" s="72">
        <v>45782</v>
      </c>
      <c r="G44" s="72">
        <v>45785</v>
      </c>
      <c r="H44" s="75"/>
      <c r="I44" s="71">
        <v>0.33333333333333331</v>
      </c>
      <c r="J44" s="75"/>
      <c r="K44" s="75"/>
      <c r="L44" s="75"/>
      <c r="M44" s="75"/>
      <c r="N44" s="75"/>
      <c r="O44" s="69" t="s">
        <v>172</v>
      </c>
      <c r="P44" s="69" t="s">
        <v>268</v>
      </c>
      <c r="Q44" s="14">
        <v>45</v>
      </c>
      <c r="R44" s="187">
        <v>5</v>
      </c>
      <c r="S44" s="73"/>
      <c r="T44" s="73"/>
      <c r="U44" s="14"/>
      <c r="V44" s="14"/>
      <c r="W44" s="14"/>
      <c r="X44" s="69"/>
      <c r="Y44" s="60">
        <f ca="1">Table24[[#This Row],[End Date]]+2-TODAY()</f>
        <v>-220</v>
      </c>
      <c r="Z44" s="14">
        <f>IF(ISBLANK(Table24[[#This Row],[Roster Received By]]),1,0)</f>
        <v>1</v>
      </c>
      <c r="AA44" s="14">
        <f ca="1">IF(Table24[[#This Row],[Start Date]]&gt;TODAY(),1,)</f>
        <v>0</v>
      </c>
    </row>
    <row r="45" spans="1:27" s="76" customFormat="1" ht="14.25" customHeight="1" x14ac:dyDescent="0.25">
      <c r="A45" s="52"/>
      <c r="B45" s="69" t="s">
        <v>106</v>
      </c>
      <c r="C45" s="70" t="s">
        <v>107</v>
      </c>
      <c r="D45" s="70">
        <v>1228</v>
      </c>
      <c r="E45" s="69"/>
      <c r="F45" s="72">
        <v>45796</v>
      </c>
      <c r="G45" s="72">
        <v>45799</v>
      </c>
      <c r="H45" s="72"/>
      <c r="I45" s="75">
        <v>0.54166666666666663</v>
      </c>
      <c r="J45" s="71"/>
      <c r="K45" s="71"/>
      <c r="L45" s="71"/>
      <c r="M45" s="71"/>
      <c r="N45" s="71"/>
      <c r="O45" s="69" t="s">
        <v>172</v>
      </c>
      <c r="P45" s="69" t="s">
        <v>268</v>
      </c>
      <c r="Q45" s="14">
        <v>45</v>
      </c>
      <c r="R45" s="187">
        <v>5</v>
      </c>
      <c r="S45" s="14"/>
      <c r="T45" s="73"/>
      <c r="U45" s="14"/>
      <c r="V45" s="14"/>
      <c r="W45" s="14"/>
      <c r="X45" s="69"/>
      <c r="Y45" s="60">
        <f ca="1">Table24[[#This Row],[End Date]]+2-TODAY()</f>
        <v>-206</v>
      </c>
      <c r="Z45" s="14">
        <f>IF(ISBLANK(Table24[[#This Row],[Roster Received By]]),1,0)</f>
        <v>1</v>
      </c>
      <c r="AA45" s="14">
        <f ca="1">IF(Table24[[#This Row],[Start Date]]&gt;TODAY(),1,)</f>
        <v>0</v>
      </c>
    </row>
    <row r="46" spans="1:27" s="76" customFormat="1" ht="16.5" customHeight="1" x14ac:dyDescent="0.25">
      <c r="A46" s="69"/>
      <c r="B46" s="69" t="s">
        <v>106</v>
      </c>
      <c r="C46" s="70" t="s">
        <v>107</v>
      </c>
      <c r="D46" s="70">
        <v>1228</v>
      </c>
      <c r="E46" s="69"/>
      <c r="F46" s="72">
        <v>45817</v>
      </c>
      <c r="G46" s="72">
        <v>45820</v>
      </c>
      <c r="H46" s="72"/>
      <c r="I46" s="71">
        <v>0.29166666666666669</v>
      </c>
      <c r="J46" s="71"/>
      <c r="K46" s="71"/>
      <c r="L46" s="71"/>
      <c r="M46" s="71"/>
      <c r="N46" s="71"/>
      <c r="O46" s="69" t="s">
        <v>172</v>
      </c>
      <c r="P46" s="69" t="s">
        <v>268</v>
      </c>
      <c r="Q46" s="14">
        <v>45</v>
      </c>
      <c r="R46" s="187">
        <v>5</v>
      </c>
      <c r="S46" s="14"/>
      <c r="T46" s="73"/>
      <c r="U46" s="14"/>
      <c r="V46" s="14"/>
      <c r="W46" s="14"/>
      <c r="X46" s="69"/>
      <c r="Y46" s="60">
        <f ca="1">Table24[[#This Row],[End Date]]+2-TODAY()</f>
        <v>-185</v>
      </c>
      <c r="Z46" s="14">
        <f>IF(ISBLANK(Table24[[#This Row],[Roster Received By]]),1,0)</f>
        <v>1</v>
      </c>
      <c r="AA46" s="14">
        <f ca="1">IF(Table24[[#This Row],[Start Date]]&gt;TODAY(),1,)</f>
        <v>0</v>
      </c>
    </row>
    <row r="47" spans="1:27" s="105" customFormat="1" ht="14.25" customHeight="1" x14ac:dyDescent="0.25">
      <c r="A47" s="52"/>
      <c r="B47" s="69" t="s">
        <v>106</v>
      </c>
      <c r="C47" s="70" t="s">
        <v>107</v>
      </c>
      <c r="D47" s="70">
        <v>1228</v>
      </c>
      <c r="E47" s="69"/>
      <c r="F47" s="72">
        <v>45831</v>
      </c>
      <c r="G47" s="72">
        <v>45834</v>
      </c>
      <c r="H47" s="72"/>
      <c r="I47" s="71">
        <v>0.79166666666666663</v>
      </c>
      <c r="J47" s="71"/>
      <c r="K47" s="71"/>
      <c r="L47" s="71"/>
      <c r="M47" s="71"/>
      <c r="N47" s="71"/>
      <c r="O47" s="69" t="s">
        <v>172</v>
      </c>
      <c r="P47" s="69" t="s">
        <v>268</v>
      </c>
      <c r="Q47" s="14">
        <v>45</v>
      </c>
      <c r="R47" s="187">
        <v>5</v>
      </c>
      <c r="S47" s="14"/>
      <c r="T47" s="73"/>
      <c r="U47" s="14"/>
      <c r="V47" s="14"/>
      <c r="W47" s="70"/>
      <c r="X47" s="69"/>
      <c r="Y47" s="60">
        <f ca="1">Table24[[#This Row],[End Date]]+2-TODAY()</f>
        <v>-171</v>
      </c>
      <c r="Z47" s="14">
        <f>IF(ISBLANK(Table24[[#This Row],[Roster Received By]]),1,0)</f>
        <v>1</v>
      </c>
      <c r="AA47" s="14">
        <f ca="1">IF(Table24[[#This Row],[Start Date]]&gt;TODAY(),1,)</f>
        <v>0</v>
      </c>
    </row>
    <row r="48" spans="1:27" s="76" customFormat="1" ht="14.25" customHeight="1" x14ac:dyDescent="0.25">
      <c r="A48" s="69"/>
      <c r="B48" s="69" t="s">
        <v>106</v>
      </c>
      <c r="C48" s="70" t="s">
        <v>107</v>
      </c>
      <c r="D48" s="70">
        <v>1228</v>
      </c>
      <c r="E48" s="69"/>
      <c r="F48" s="72">
        <v>45852</v>
      </c>
      <c r="G48" s="72">
        <v>45855</v>
      </c>
      <c r="H48" s="75"/>
      <c r="I48" s="71">
        <v>0.33333333333333331</v>
      </c>
      <c r="J48" s="71"/>
      <c r="K48" s="71"/>
      <c r="L48" s="71"/>
      <c r="M48" s="71"/>
      <c r="N48" s="71"/>
      <c r="O48" s="69" t="s">
        <v>172</v>
      </c>
      <c r="P48" s="69" t="s">
        <v>268</v>
      </c>
      <c r="Q48" s="14">
        <v>45</v>
      </c>
      <c r="R48" s="187">
        <v>5</v>
      </c>
      <c r="S48" s="73"/>
      <c r="T48" s="73"/>
      <c r="U48" s="14"/>
      <c r="V48" s="14"/>
      <c r="W48" s="14"/>
      <c r="X48" s="69"/>
      <c r="Y48" s="60">
        <f ca="1">Table24[[#This Row],[End Date]]+2-TODAY()</f>
        <v>-150</v>
      </c>
      <c r="Z48" s="14">
        <f>IF(ISBLANK(Table24[[#This Row],[Roster Received By]]),1,0)</f>
        <v>1</v>
      </c>
      <c r="AA48" s="14">
        <f ca="1">IF(Table24[[#This Row],[Start Date]]&gt;TODAY(),1,)</f>
        <v>0</v>
      </c>
    </row>
    <row r="49" spans="1:27" s="76" customFormat="1" ht="14.25" customHeight="1" x14ac:dyDescent="0.25">
      <c r="A49" s="52"/>
      <c r="B49" s="69" t="s">
        <v>106</v>
      </c>
      <c r="C49" s="70" t="s">
        <v>107</v>
      </c>
      <c r="D49" s="70">
        <v>1228</v>
      </c>
      <c r="E49" s="69"/>
      <c r="F49" s="72">
        <v>45866</v>
      </c>
      <c r="G49" s="72">
        <v>45869</v>
      </c>
      <c r="H49" s="72"/>
      <c r="I49" s="71">
        <v>0.45833333333333331</v>
      </c>
      <c r="J49" s="71"/>
      <c r="K49" s="71"/>
      <c r="L49" s="71"/>
      <c r="M49" s="71"/>
      <c r="N49" s="71"/>
      <c r="O49" s="69" t="s">
        <v>172</v>
      </c>
      <c r="P49" s="69" t="s">
        <v>268</v>
      </c>
      <c r="Q49" s="14">
        <v>45</v>
      </c>
      <c r="R49" s="187">
        <v>5</v>
      </c>
      <c r="S49" s="14"/>
      <c r="T49" s="73"/>
      <c r="U49" s="14"/>
      <c r="V49" s="14"/>
      <c r="W49" s="14"/>
      <c r="X49" s="69"/>
      <c r="Y49" s="60">
        <f ca="1">Table24[[#This Row],[End Date]]+2-TODAY()</f>
        <v>-136</v>
      </c>
      <c r="Z49" s="14">
        <f>IF(ISBLANK(Table24[[#This Row],[Roster Received By]]),1,0)</f>
        <v>1</v>
      </c>
      <c r="AA49" s="14">
        <f ca="1">IF(Table24[[#This Row],[Start Date]]&gt;TODAY(),1,)</f>
        <v>0</v>
      </c>
    </row>
    <row r="50" spans="1:27" s="76" customFormat="1" ht="14.25" customHeight="1" x14ac:dyDescent="0.25">
      <c r="A50" s="52"/>
      <c r="B50" s="69" t="s">
        <v>106</v>
      </c>
      <c r="C50" s="70" t="s">
        <v>107</v>
      </c>
      <c r="D50" s="70">
        <v>1228</v>
      </c>
      <c r="E50" s="69"/>
      <c r="F50" s="72">
        <v>45880</v>
      </c>
      <c r="G50" s="72">
        <v>45883</v>
      </c>
      <c r="H50" s="75"/>
      <c r="I50" s="75">
        <v>1100.4166666666667</v>
      </c>
      <c r="J50" s="72"/>
      <c r="K50" s="72"/>
      <c r="L50" s="72"/>
      <c r="M50" s="72"/>
      <c r="N50" s="72"/>
      <c r="O50" s="69" t="s">
        <v>172</v>
      </c>
      <c r="P50" s="69" t="s">
        <v>268</v>
      </c>
      <c r="Q50" s="73">
        <v>45</v>
      </c>
      <c r="R50" s="187">
        <v>5</v>
      </c>
      <c r="S50" s="73"/>
      <c r="T50" s="73"/>
      <c r="U50" s="14"/>
      <c r="V50" s="14"/>
      <c r="W50" s="14"/>
      <c r="X50" s="69"/>
      <c r="Y50" s="60">
        <f ca="1">Table24[[#This Row],[End Date]]+2-TODAY()</f>
        <v>-122</v>
      </c>
      <c r="Z50" s="14">
        <f>IF(ISBLANK(Table24[[#This Row],[Roster Received By]]),1,0)</f>
        <v>1</v>
      </c>
      <c r="AA50" s="14">
        <f ca="1">IF(Table24[[#This Row],[Start Date]]&gt;TODAY(),1,)</f>
        <v>0</v>
      </c>
    </row>
    <row r="51" spans="1:27" s="76" customFormat="1" ht="14.25" customHeight="1" x14ac:dyDescent="0.25">
      <c r="A51" s="52"/>
      <c r="B51" s="69" t="s">
        <v>106</v>
      </c>
      <c r="C51" s="70" t="s">
        <v>107</v>
      </c>
      <c r="D51" s="70">
        <v>1228</v>
      </c>
      <c r="E51" s="69"/>
      <c r="F51" s="72">
        <v>45894</v>
      </c>
      <c r="G51" s="72">
        <v>45897</v>
      </c>
      <c r="H51" s="75"/>
      <c r="I51" s="75">
        <v>1000.3333333333334</v>
      </c>
      <c r="J51" s="72"/>
      <c r="K51" s="72"/>
      <c r="L51" s="72"/>
      <c r="M51" s="72"/>
      <c r="N51" s="72"/>
      <c r="O51" s="69" t="s">
        <v>172</v>
      </c>
      <c r="P51" s="69" t="s">
        <v>268</v>
      </c>
      <c r="Q51" s="73">
        <v>45</v>
      </c>
      <c r="R51" s="187">
        <v>5</v>
      </c>
      <c r="S51" s="73"/>
      <c r="T51" s="73"/>
      <c r="U51" s="14"/>
      <c r="V51" s="14"/>
      <c r="W51" s="14"/>
      <c r="X51" s="69"/>
      <c r="Y51" s="60">
        <f ca="1">Table24[[#This Row],[End Date]]+2-TODAY()</f>
        <v>-108</v>
      </c>
      <c r="Z51" s="14">
        <f>IF(ISBLANK(Table24[[#This Row],[Roster Received By]]),1,0)</f>
        <v>1</v>
      </c>
      <c r="AA51" s="14">
        <f ca="1">IF(Table24[[#This Row],[Start Date]]&gt;TODAY(),1,)</f>
        <v>0</v>
      </c>
    </row>
    <row r="52" spans="1:27" s="76" customFormat="1" ht="14.25" customHeight="1" x14ac:dyDescent="0.25">
      <c r="A52" s="52"/>
      <c r="B52" s="69" t="s">
        <v>106</v>
      </c>
      <c r="C52" s="70" t="s">
        <v>107</v>
      </c>
      <c r="D52" s="70">
        <v>1228</v>
      </c>
      <c r="E52" s="69"/>
      <c r="F52" s="72">
        <v>45908</v>
      </c>
      <c r="G52" s="72">
        <v>45911</v>
      </c>
      <c r="H52" s="75"/>
      <c r="I52" s="75">
        <v>800.54166666666663</v>
      </c>
      <c r="J52" s="72"/>
      <c r="K52" s="72"/>
      <c r="L52" s="72"/>
      <c r="M52" s="72"/>
      <c r="N52" s="72"/>
      <c r="O52" s="69" t="s">
        <v>172</v>
      </c>
      <c r="P52" s="69" t="s">
        <v>268</v>
      </c>
      <c r="Q52" s="73">
        <v>45</v>
      </c>
      <c r="R52" s="187">
        <v>5</v>
      </c>
      <c r="S52" s="73"/>
      <c r="T52" s="73"/>
      <c r="U52" s="14"/>
      <c r="V52" s="14"/>
      <c r="W52" s="14"/>
      <c r="X52" s="69"/>
      <c r="Y52" s="60">
        <f ca="1">Table24[[#This Row],[End Date]]+2-TODAY()</f>
        <v>-94</v>
      </c>
      <c r="Z52" s="14">
        <f>IF(ISBLANK(Table24[[#This Row],[Roster Received By]]),1,0)</f>
        <v>1</v>
      </c>
      <c r="AA52" s="14">
        <f ca="1">IF(Table24[[#This Row],[Start Date]]&gt;TODAY(),1,)</f>
        <v>0</v>
      </c>
    </row>
    <row r="53" spans="1:27" s="76" customFormat="1" ht="14.25" customHeight="1" x14ac:dyDescent="0.25">
      <c r="A53" s="52"/>
      <c r="B53" s="69" t="s">
        <v>106</v>
      </c>
      <c r="C53" s="70" t="s">
        <v>107</v>
      </c>
      <c r="D53" s="70">
        <v>1228</v>
      </c>
      <c r="E53" s="69"/>
      <c r="F53" s="72">
        <v>45922</v>
      </c>
      <c r="G53" s="72">
        <v>45925</v>
      </c>
      <c r="H53" s="72"/>
      <c r="I53" s="71">
        <v>0.29166666666666669</v>
      </c>
      <c r="J53" s="71"/>
      <c r="K53" s="71"/>
      <c r="L53" s="71"/>
      <c r="M53" s="71"/>
      <c r="N53" s="71"/>
      <c r="O53" s="69" t="s">
        <v>172</v>
      </c>
      <c r="P53" s="69" t="s">
        <v>268</v>
      </c>
      <c r="Q53" s="14">
        <v>45</v>
      </c>
      <c r="R53" s="187">
        <v>5</v>
      </c>
      <c r="S53" s="14"/>
      <c r="T53" s="73"/>
      <c r="U53" s="14"/>
      <c r="V53" s="14"/>
      <c r="W53" s="14"/>
      <c r="X53" s="69"/>
      <c r="Y53" s="60">
        <f ca="1">Table24[[#This Row],[End Date]]+2-TODAY()</f>
        <v>-80</v>
      </c>
      <c r="Z53" s="14">
        <f>IF(ISBLANK(Table24[[#This Row],[Roster Received By]]),1,0)</f>
        <v>1</v>
      </c>
      <c r="AA53" s="14">
        <f ca="1">IF(Table24[[#This Row],[Start Date]]&gt;TODAY(),1,)</f>
        <v>0</v>
      </c>
    </row>
    <row r="54" spans="1:27" s="76" customFormat="1" ht="14.25" customHeight="1" x14ac:dyDescent="0.25">
      <c r="A54" s="52"/>
      <c r="B54" s="69" t="s">
        <v>71</v>
      </c>
      <c r="C54" s="70" t="s">
        <v>72</v>
      </c>
      <c r="D54" s="70" t="s">
        <v>73</v>
      </c>
      <c r="E54" s="69"/>
      <c r="F54" s="72">
        <v>45586</v>
      </c>
      <c r="G54" s="72">
        <v>45590</v>
      </c>
      <c r="H54" s="75"/>
      <c r="I54" s="71">
        <v>0.33333333333333331</v>
      </c>
      <c r="J54" s="72"/>
      <c r="K54" s="72"/>
      <c r="L54" s="72"/>
      <c r="M54" s="72"/>
      <c r="N54" s="72"/>
      <c r="O54" s="69" t="s">
        <v>272</v>
      </c>
      <c r="P54" s="69" t="s">
        <v>273</v>
      </c>
      <c r="Q54" s="14">
        <v>45</v>
      </c>
      <c r="R54" s="187">
        <v>5</v>
      </c>
      <c r="S54" s="14"/>
      <c r="T54" s="73"/>
      <c r="U54" s="14"/>
      <c r="V54" s="14"/>
      <c r="W54" s="14"/>
      <c r="X54" s="69"/>
      <c r="Y54" s="60">
        <f ca="1">Table24[[#This Row],[End Date]]+2-TODAY()</f>
        <v>-415</v>
      </c>
      <c r="Z54" s="14">
        <f>IF(ISBLANK(Table24[[#This Row],[Roster Received By]]),1,0)</f>
        <v>1</v>
      </c>
      <c r="AA54" s="14">
        <f ca="1">IF(Table24[[#This Row],[Start Date]]&gt;TODAY(),1,)</f>
        <v>0</v>
      </c>
    </row>
    <row r="55" spans="1:27" s="76" customFormat="1" ht="14.25" customHeight="1" x14ac:dyDescent="0.25">
      <c r="A55" s="52"/>
      <c r="B55" s="69" t="s">
        <v>71</v>
      </c>
      <c r="C55" s="70" t="s">
        <v>72</v>
      </c>
      <c r="D55" s="70" t="s">
        <v>73</v>
      </c>
      <c r="E55" s="69"/>
      <c r="F55" s="72">
        <v>45600</v>
      </c>
      <c r="G55" s="72">
        <v>45604</v>
      </c>
      <c r="H55" s="75"/>
      <c r="I55" s="75">
        <v>0.54166666666666663</v>
      </c>
      <c r="J55" s="75"/>
      <c r="K55" s="75"/>
      <c r="L55" s="75"/>
      <c r="M55" s="75"/>
      <c r="N55" s="75"/>
      <c r="O55" s="69" t="s">
        <v>272</v>
      </c>
      <c r="P55" s="69" t="s">
        <v>273</v>
      </c>
      <c r="Q55" s="14">
        <v>45</v>
      </c>
      <c r="R55" s="187">
        <v>5</v>
      </c>
      <c r="S55" s="14"/>
      <c r="T55" s="73"/>
      <c r="U55" s="14"/>
      <c r="V55" s="14"/>
      <c r="W55" s="14"/>
      <c r="X55" s="69"/>
      <c r="Y55" s="60">
        <f ca="1">Table24[[#This Row],[End Date]]+2-TODAY()</f>
        <v>-401</v>
      </c>
      <c r="Z55" s="14">
        <f>IF(ISBLANK(Table24[[#This Row],[Roster Received By]]),1,0)</f>
        <v>1</v>
      </c>
      <c r="AA55" s="14">
        <f ca="1">IF(Table24[[#This Row],[Start Date]]&gt;TODAY(),1,)</f>
        <v>0</v>
      </c>
    </row>
    <row r="56" spans="1:27" s="76" customFormat="1" ht="14.25" customHeight="1" x14ac:dyDescent="0.25">
      <c r="A56" s="69"/>
      <c r="B56" s="69" t="s">
        <v>71</v>
      </c>
      <c r="C56" s="70" t="s">
        <v>72</v>
      </c>
      <c r="D56" s="70" t="s">
        <v>73</v>
      </c>
      <c r="E56" s="69"/>
      <c r="F56" s="72">
        <v>45627</v>
      </c>
      <c r="G56" s="72">
        <v>45632</v>
      </c>
      <c r="H56" s="75"/>
      <c r="I56" s="71">
        <v>0.29166666666666669</v>
      </c>
      <c r="J56" s="75"/>
      <c r="K56" s="75"/>
      <c r="L56" s="75"/>
      <c r="M56" s="75"/>
      <c r="N56" s="75"/>
      <c r="O56" s="69" t="s">
        <v>272</v>
      </c>
      <c r="P56" s="69" t="s">
        <v>273</v>
      </c>
      <c r="Q56" s="14">
        <v>45</v>
      </c>
      <c r="R56" s="187">
        <v>5</v>
      </c>
      <c r="S56" s="14"/>
      <c r="T56" s="73"/>
      <c r="U56" s="14"/>
      <c r="V56" s="14"/>
      <c r="W56" s="14"/>
      <c r="X56" s="69"/>
      <c r="Y56" s="60">
        <f ca="1">Table24[[#This Row],[End Date]]+2-TODAY()</f>
        <v>-373</v>
      </c>
      <c r="Z56" s="14">
        <f>IF(ISBLANK(Table24[[#This Row],[Roster Received By]]),1,0)</f>
        <v>1</v>
      </c>
      <c r="AA56" s="14">
        <f ca="1">IF(Table24[[#This Row],[Start Date]]&gt;TODAY(),1,)</f>
        <v>0</v>
      </c>
    </row>
    <row r="57" spans="1:27" s="76" customFormat="1" ht="14.25" customHeight="1" x14ac:dyDescent="0.25">
      <c r="A57" s="69"/>
      <c r="B57" s="69" t="s">
        <v>71</v>
      </c>
      <c r="C57" s="70" t="s">
        <v>72</v>
      </c>
      <c r="D57" s="70" t="s">
        <v>73</v>
      </c>
      <c r="E57" s="69"/>
      <c r="F57" s="72">
        <v>45670</v>
      </c>
      <c r="G57" s="72">
        <v>45674</v>
      </c>
      <c r="H57" s="78"/>
      <c r="I57" s="71">
        <v>0.79166666666666663</v>
      </c>
      <c r="J57" s="72"/>
      <c r="K57" s="72"/>
      <c r="L57" s="72"/>
      <c r="M57" s="72"/>
      <c r="N57" s="72"/>
      <c r="O57" s="69" t="s">
        <v>272</v>
      </c>
      <c r="P57" s="69" t="s">
        <v>273</v>
      </c>
      <c r="Q57" s="14">
        <v>45</v>
      </c>
      <c r="R57" s="187">
        <v>5</v>
      </c>
      <c r="S57" s="14"/>
      <c r="T57" s="73"/>
      <c r="U57" s="14"/>
      <c r="V57" s="14"/>
      <c r="W57" s="14"/>
      <c r="X57" s="69"/>
      <c r="Y57" s="60">
        <f ca="1">Table24[[#This Row],[End Date]]+2-TODAY()</f>
        <v>-331</v>
      </c>
      <c r="Z57" s="14">
        <f>IF(ISBLANK(Table24[[#This Row],[Roster Received By]]),1,0)</f>
        <v>1</v>
      </c>
      <c r="AA57" s="14">
        <f ca="1">IF(Table24[[#This Row],[Start Date]]&gt;TODAY(),1,)</f>
        <v>0</v>
      </c>
    </row>
    <row r="58" spans="1:27" s="76" customFormat="1" ht="14.25" customHeight="1" x14ac:dyDescent="0.25">
      <c r="A58" s="52"/>
      <c r="B58" s="69" t="s">
        <v>71</v>
      </c>
      <c r="C58" s="70" t="s">
        <v>72</v>
      </c>
      <c r="D58" s="70" t="s">
        <v>73</v>
      </c>
      <c r="E58" s="54"/>
      <c r="F58" s="56">
        <v>45698</v>
      </c>
      <c r="G58" s="72">
        <v>45702</v>
      </c>
      <c r="H58" s="75"/>
      <c r="I58" s="75">
        <v>0.33333333333333331</v>
      </c>
      <c r="J58" s="72"/>
      <c r="K58" s="72"/>
      <c r="L58" s="72"/>
      <c r="M58" s="72"/>
      <c r="N58" s="72"/>
      <c r="O58" s="69" t="s">
        <v>272</v>
      </c>
      <c r="P58" s="69" t="s">
        <v>273</v>
      </c>
      <c r="Q58" s="14">
        <v>45</v>
      </c>
      <c r="R58" s="187">
        <v>5</v>
      </c>
      <c r="S58" s="14"/>
      <c r="T58" s="73"/>
      <c r="U58" s="14"/>
      <c r="V58" s="14"/>
      <c r="W58" s="14"/>
      <c r="X58" s="69"/>
      <c r="Y58" s="60">
        <f ca="1">Table24[[#This Row],[End Date]]+2-TODAY()</f>
        <v>-303</v>
      </c>
      <c r="Z58" s="14">
        <f>IF(ISBLANK(Table24[[#This Row],[Roster Received By]]),1,0)</f>
        <v>1</v>
      </c>
      <c r="AA58" s="14">
        <f ca="1">IF(Table24[[#This Row],[Start Date]]&gt;TODAY(),1,)</f>
        <v>0</v>
      </c>
    </row>
    <row r="59" spans="1:27" s="76" customFormat="1" ht="14.25" customHeight="1" x14ac:dyDescent="0.25">
      <c r="A59" s="52"/>
      <c r="B59" s="69" t="s">
        <v>71</v>
      </c>
      <c r="C59" s="70" t="s">
        <v>72</v>
      </c>
      <c r="D59" s="70" t="s">
        <v>73</v>
      </c>
      <c r="E59" s="69"/>
      <c r="F59" s="72">
        <v>45719</v>
      </c>
      <c r="G59" s="72">
        <v>45723</v>
      </c>
      <c r="H59" s="72"/>
      <c r="I59" s="71">
        <v>0.45833333333333331</v>
      </c>
      <c r="J59" s="71"/>
      <c r="K59" s="71"/>
      <c r="L59" s="71"/>
      <c r="M59" s="71"/>
      <c r="N59" s="71"/>
      <c r="O59" s="69" t="s">
        <v>272</v>
      </c>
      <c r="P59" s="69" t="s">
        <v>273</v>
      </c>
      <c r="Q59" s="14">
        <v>45</v>
      </c>
      <c r="R59" s="187">
        <v>5</v>
      </c>
      <c r="S59" s="14"/>
      <c r="T59" s="73"/>
      <c r="U59" s="14"/>
      <c r="V59" s="14"/>
      <c r="W59" s="14"/>
      <c r="X59" s="69"/>
      <c r="Y59" s="60">
        <f ca="1">Table24[[#This Row],[End Date]]+2-TODAY()</f>
        <v>-282</v>
      </c>
      <c r="Z59" s="14">
        <f>IF(ISBLANK(Table24[[#This Row],[Roster Received By]]),1,0)</f>
        <v>1</v>
      </c>
      <c r="AA59" s="14">
        <f ca="1">IF(Table24[[#This Row],[Start Date]]&gt;TODAY(),1,)</f>
        <v>0</v>
      </c>
    </row>
    <row r="60" spans="1:27" s="76" customFormat="1" ht="14.25" customHeight="1" x14ac:dyDescent="0.25">
      <c r="A60" s="52"/>
      <c r="B60" s="69" t="s">
        <v>71</v>
      </c>
      <c r="C60" s="70" t="s">
        <v>72</v>
      </c>
      <c r="D60" s="70" t="s">
        <v>73</v>
      </c>
      <c r="E60" s="69"/>
      <c r="F60" s="72">
        <v>45782</v>
      </c>
      <c r="G60" s="72">
        <v>45786</v>
      </c>
      <c r="H60" s="72"/>
      <c r="I60" s="71">
        <v>0.41666666666666669</v>
      </c>
      <c r="J60" s="71"/>
      <c r="K60" s="71"/>
      <c r="L60" s="71"/>
      <c r="M60" s="71"/>
      <c r="N60" s="71"/>
      <c r="O60" s="69" t="s">
        <v>272</v>
      </c>
      <c r="P60" s="69" t="s">
        <v>273</v>
      </c>
      <c r="Q60" s="14">
        <v>45</v>
      </c>
      <c r="R60" s="187">
        <v>5</v>
      </c>
      <c r="S60" s="14"/>
      <c r="T60" s="73"/>
      <c r="U60" s="14"/>
      <c r="V60" s="14"/>
      <c r="W60" s="14"/>
      <c r="X60" s="69"/>
      <c r="Y60" s="60">
        <f ca="1">Table24[[#This Row],[End Date]]+2-TODAY()</f>
        <v>-219</v>
      </c>
      <c r="Z60" s="14">
        <f>IF(ISBLANK(Table24[[#This Row],[Roster Received By]]),1,0)</f>
        <v>1</v>
      </c>
      <c r="AA60" s="14">
        <f ca="1">IF(Table24[[#This Row],[Start Date]]&gt;TODAY(),1,)</f>
        <v>0</v>
      </c>
    </row>
    <row r="61" spans="1:27" s="76" customFormat="1" ht="14.25" customHeight="1" x14ac:dyDescent="0.25">
      <c r="A61" s="52"/>
      <c r="B61" s="69" t="s">
        <v>71</v>
      </c>
      <c r="C61" s="70" t="s">
        <v>72</v>
      </c>
      <c r="D61" s="70" t="s">
        <v>73</v>
      </c>
      <c r="E61" s="69"/>
      <c r="F61" s="72">
        <v>45817</v>
      </c>
      <c r="G61" s="72">
        <v>45821</v>
      </c>
      <c r="H61" s="72"/>
      <c r="I61" s="71">
        <v>0.33333333333333331</v>
      </c>
      <c r="J61" s="71"/>
      <c r="K61" s="71"/>
      <c r="L61" s="71"/>
      <c r="M61" s="71"/>
      <c r="N61" s="71"/>
      <c r="O61" s="69" t="s">
        <v>272</v>
      </c>
      <c r="P61" s="69" t="s">
        <v>273</v>
      </c>
      <c r="Q61" s="14">
        <v>45</v>
      </c>
      <c r="R61" s="187">
        <v>5</v>
      </c>
      <c r="S61" s="14"/>
      <c r="T61" s="73"/>
      <c r="U61" s="14"/>
      <c r="V61" s="14"/>
      <c r="W61" s="14"/>
      <c r="X61" s="69"/>
      <c r="Y61" s="60">
        <f ca="1">Table24[[#This Row],[End Date]]+2-TODAY()</f>
        <v>-184</v>
      </c>
      <c r="Z61" s="14">
        <f>IF(ISBLANK(Table24[[#This Row],[Roster Received By]]),1,0)</f>
        <v>1</v>
      </c>
      <c r="AA61" s="14">
        <f ca="1">IF(Table24[[#This Row],[Start Date]]&gt;TODAY(),1,)</f>
        <v>0</v>
      </c>
    </row>
    <row r="62" spans="1:27" s="76" customFormat="1" ht="14.25" customHeight="1" x14ac:dyDescent="0.25">
      <c r="A62" s="52"/>
      <c r="B62" s="69" t="s">
        <v>71</v>
      </c>
      <c r="C62" s="70" t="s">
        <v>72</v>
      </c>
      <c r="D62" s="70" t="s">
        <v>73</v>
      </c>
      <c r="E62" s="69"/>
      <c r="F62" s="72">
        <v>45852</v>
      </c>
      <c r="G62" s="72">
        <v>45856</v>
      </c>
      <c r="H62" s="72"/>
      <c r="I62" s="71">
        <v>0.54166666666666663</v>
      </c>
      <c r="J62" s="71"/>
      <c r="K62" s="71"/>
      <c r="L62" s="71"/>
      <c r="M62" s="71"/>
      <c r="N62" s="71"/>
      <c r="O62" s="69" t="s">
        <v>272</v>
      </c>
      <c r="P62" s="69" t="s">
        <v>273</v>
      </c>
      <c r="Q62" s="14">
        <v>45</v>
      </c>
      <c r="R62" s="187">
        <v>5</v>
      </c>
      <c r="S62" s="14"/>
      <c r="T62" s="73"/>
      <c r="U62" s="14"/>
      <c r="V62" s="14"/>
      <c r="W62" s="14"/>
      <c r="X62" s="69"/>
      <c r="Y62" s="60">
        <f ca="1">Table24[[#This Row],[End Date]]+2-TODAY()</f>
        <v>-149</v>
      </c>
      <c r="Z62" s="14">
        <f>IF(ISBLANK(Table24[[#This Row],[Roster Received By]]),1,0)</f>
        <v>1</v>
      </c>
      <c r="AA62" s="14">
        <f ca="1">IF(Table24[[#This Row],[Start Date]]&gt;TODAY(),1,)</f>
        <v>0</v>
      </c>
    </row>
    <row r="63" spans="1:27" s="76" customFormat="1" ht="14.25" customHeight="1" x14ac:dyDescent="0.25">
      <c r="A63" s="52"/>
      <c r="B63" s="69" t="s">
        <v>71</v>
      </c>
      <c r="C63" s="70" t="s">
        <v>72</v>
      </c>
      <c r="D63" s="70" t="s">
        <v>73</v>
      </c>
      <c r="E63" s="69"/>
      <c r="F63" s="72">
        <v>45880</v>
      </c>
      <c r="G63" s="72">
        <v>45884</v>
      </c>
      <c r="H63" s="78"/>
      <c r="I63" s="71">
        <v>0.33333333333333331</v>
      </c>
      <c r="J63" s="72"/>
      <c r="K63" s="72"/>
      <c r="L63" s="72"/>
      <c r="M63" s="72"/>
      <c r="N63" s="72"/>
      <c r="O63" s="69" t="s">
        <v>272</v>
      </c>
      <c r="P63" s="69" t="s">
        <v>273</v>
      </c>
      <c r="Q63" s="14">
        <v>45</v>
      </c>
      <c r="R63" s="187">
        <v>5</v>
      </c>
      <c r="S63" s="14"/>
      <c r="T63" s="73"/>
      <c r="U63" s="14"/>
      <c r="V63" s="14"/>
      <c r="W63" s="77"/>
      <c r="X63" s="69"/>
      <c r="Y63" s="60">
        <f ca="1">Table24[[#This Row],[End Date]]+2-TODAY()</f>
        <v>-121</v>
      </c>
      <c r="Z63" s="14">
        <f>IF(ISBLANK(Table24[[#This Row],[Roster Received By]]),1,0)</f>
        <v>1</v>
      </c>
      <c r="AA63" s="14">
        <f ca="1">IF(Table24[[#This Row],[Start Date]]&gt;TODAY(),1,)</f>
        <v>0</v>
      </c>
    </row>
    <row r="64" spans="1:27" s="76" customFormat="1" ht="16.5" customHeight="1" x14ac:dyDescent="0.25">
      <c r="A64" s="52"/>
      <c r="B64" s="69" t="s">
        <v>71</v>
      </c>
      <c r="C64" s="70" t="s">
        <v>72</v>
      </c>
      <c r="D64" s="70" t="s">
        <v>73</v>
      </c>
      <c r="E64" s="69"/>
      <c r="F64" s="72">
        <v>45915</v>
      </c>
      <c r="G64" s="72">
        <v>45919</v>
      </c>
      <c r="H64" s="72"/>
      <c r="I64" s="71">
        <v>0.33333333333333331</v>
      </c>
      <c r="J64" s="71"/>
      <c r="K64" s="71"/>
      <c r="L64" s="71"/>
      <c r="M64" s="71"/>
      <c r="N64" s="71"/>
      <c r="O64" s="69" t="s">
        <v>272</v>
      </c>
      <c r="P64" s="69" t="s">
        <v>273</v>
      </c>
      <c r="Q64" s="14">
        <v>45</v>
      </c>
      <c r="R64" s="187">
        <v>5</v>
      </c>
      <c r="S64" s="14"/>
      <c r="T64" s="73"/>
      <c r="U64" s="14"/>
      <c r="V64" s="14"/>
      <c r="W64" s="14"/>
      <c r="X64" s="69"/>
      <c r="Y64" s="60">
        <f ca="1">Table24[[#This Row],[End Date]]+2-TODAY()</f>
        <v>-86</v>
      </c>
      <c r="Z64" s="14">
        <f>IF(ISBLANK(Table24[[#This Row],[Roster Received By]]),1,0)</f>
        <v>1</v>
      </c>
      <c r="AA64" s="14">
        <f ca="1">IF(Table24[[#This Row],[Start Date]]&gt;TODAY(),1,)</f>
        <v>0</v>
      </c>
    </row>
    <row r="65" spans="1:27" s="76" customFormat="1" ht="14.25" customHeight="1" x14ac:dyDescent="0.25">
      <c r="A65" s="52"/>
      <c r="B65" s="69" t="s">
        <v>65</v>
      </c>
      <c r="C65" s="70" t="s">
        <v>66</v>
      </c>
      <c r="D65" s="70" t="s">
        <v>67</v>
      </c>
      <c r="E65" s="110"/>
      <c r="F65" s="72">
        <v>45615</v>
      </c>
      <c r="G65" s="72">
        <v>45617</v>
      </c>
      <c r="H65" s="72"/>
      <c r="I65" s="71">
        <v>0.33333333333333331</v>
      </c>
      <c r="J65" s="71"/>
      <c r="K65" s="71"/>
      <c r="L65" s="71"/>
      <c r="M65" s="71"/>
      <c r="N65" s="71"/>
      <c r="O65" s="69" t="s">
        <v>273</v>
      </c>
      <c r="P65" s="69" t="s">
        <v>272</v>
      </c>
      <c r="Q65" s="14">
        <v>45</v>
      </c>
      <c r="R65" s="14">
        <v>3</v>
      </c>
      <c r="S65" s="14"/>
      <c r="T65" s="73"/>
      <c r="U65" s="14"/>
      <c r="V65" s="14"/>
      <c r="W65" s="14"/>
      <c r="X65" s="69"/>
      <c r="Y65" s="60">
        <f ca="1">Table24[[#This Row],[End Date]]+2-TODAY()</f>
        <v>-388</v>
      </c>
      <c r="Z65" s="14">
        <f>IF(ISBLANK(Table24[[#This Row],[Roster Received By]]),1,0)</f>
        <v>1</v>
      </c>
      <c r="AA65" s="14">
        <f ca="1">IF(Table24[[#This Row],[Start Date]]&gt;TODAY(),1,)</f>
        <v>0</v>
      </c>
    </row>
    <row r="66" spans="1:27" s="76" customFormat="1" ht="14.25" customHeight="1" x14ac:dyDescent="0.25">
      <c r="A66" s="52"/>
      <c r="B66" s="69" t="s">
        <v>65</v>
      </c>
      <c r="C66" s="70" t="s">
        <v>66</v>
      </c>
      <c r="D66" s="70" t="s">
        <v>67</v>
      </c>
      <c r="E66" s="54"/>
      <c r="F66" s="72">
        <v>45629</v>
      </c>
      <c r="G66" s="72">
        <v>45631</v>
      </c>
      <c r="H66" s="75"/>
      <c r="I66" s="71">
        <v>0.33333333333333331</v>
      </c>
      <c r="J66" s="72"/>
      <c r="K66" s="72"/>
      <c r="L66" s="72"/>
      <c r="M66" s="72"/>
      <c r="N66" s="72"/>
      <c r="O66" s="69" t="s">
        <v>273</v>
      </c>
      <c r="P66" s="69" t="s">
        <v>272</v>
      </c>
      <c r="Q66" s="14">
        <v>45</v>
      </c>
      <c r="R66" s="14">
        <v>3</v>
      </c>
      <c r="S66" s="14"/>
      <c r="T66" s="73"/>
      <c r="U66" s="14"/>
      <c r="V66" s="14"/>
      <c r="W66" s="14"/>
      <c r="X66" s="69"/>
      <c r="Y66" s="60">
        <f ca="1">Table24[[#This Row],[End Date]]+2-TODAY()</f>
        <v>-374</v>
      </c>
      <c r="Z66" s="14">
        <f>IF(ISBLANK(Table24[[#This Row],[Roster Received By]]),1,0)</f>
        <v>1</v>
      </c>
      <c r="AA66" s="14">
        <f ca="1">IF(Table24[[#This Row],[Start Date]]&gt;TODAY(),1,)</f>
        <v>0</v>
      </c>
    </row>
    <row r="67" spans="1:27" s="76" customFormat="1" ht="14.25" customHeight="1" x14ac:dyDescent="0.25">
      <c r="A67" s="52"/>
      <c r="B67" s="69" t="s">
        <v>65</v>
      </c>
      <c r="C67" s="70" t="s">
        <v>66</v>
      </c>
      <c r="D67" s="70" t="s">
        <v>67</v>
      </c>
      <c r="E67" s="54"/>
      <c r="F67" s="72">
        <v>45671</v>
      </c>
      <c r="G67" s="72">
        <v>45673</v>
      </c>
      <c r="H67" s="75"/>
      <c r="I67" s="75">
        <v>0.54166666666666663</v>
      </c>
      <c r="J67" s="72"/>
      <c r="K67" s="72"/>
      <c r="L67" s="72"/>
      <c r="M67" s="72"/>
      <c r="N67" s="72"/>
      <c r="O67" s="69" t="s">
        <v>273</v>
      </c>
      <c r="P67" s="69" t="s">
        <v>272</v>
      </c>
      <c r="Q67" s="14">
        <v>45</v>
      </c>
      <c r="R67" s="14">
        <v>3</v>
      </c>
      <c r="S67" s="14"/>
      <c r="T67" s="73"/>
      <c r="U67" s="14"/>
      <c r="V67" s="14"/>
      <c r="W67" s="14"/>
      <c r="X67" s="69"/>
      <c r="Y67" s="60">
        <f ca="1">Table24[[#This Row],[End Date]]+2-TODAY()</f>
        <v>-332</v>
      </c>
      <c r="Z67" s="14">
        <f>IF(ISBLANK(Table24[[#This Row],[Roster Received By]]),1,0)</f>
        <v>1</v>
      </c>
      <c r="AA67" s="14">
        <f ca="1">IF(Table24[[#This Row],[Start Date]]&gt;TODAY(),1,)</f>
        <v>0</v>
      </c>
    </row>
    <row r="68" spans="1:27" s="76" customFormat="1" ht="14.25" customHeight="1" x14ac:dyDescent="0.25">
      <c r="A68" s="52"/>
      <c r="B68" s="69" t="s">
        <v>65</v>
      </c>
      <c r="C68" s="70" t="s">
        <v>66</v>
      </c>
      <c r="D68" s="70" t="s">
        <v>67</v>
      </c>
      <c r="E68" s="69"/>
      <c r="F68" s="72">
        <v>45685</v>
      </c>
      <c r="G68" s="72">
        <v>45687</v>
      </c>
      <c r="H68" s="75"/>
      <c r="I68" s="75">
        <v>1000.4166666666666</v>
      </c>
      <c r="J68" s="72"/>
      <c r="K68" s="72"/>
      <c r="L68" s="72"/>
      <c r="M68" s="72"/>
      <c r="N68" s="72"/>
      <c r="O68" s="69" t="s">
        <v>273</v>
      </c>
      <c r="P68" s="69" t="s">
        <v>272</v>
      </c>
      <c r="Q68" s="14">
        <v>45</v>
      </c>
      <c r="R68" s="14">
        <v>3</v>
      </c>
      <c r="S68" s="73"/>
      <c r="T68" s="73"/>
      <c r="U68" s="14"/>
      <c r="V68" s="14"/>
      <c r="W68" s="14"/>
      <c r="X68" s="69"/>
      <c r="Y68" s="60">
        <f ca="1">Table24[[#This Row],[End Date]]+2-TODAY()</f>
        <v>-318</v>
      </c>
      <c r="Z68" s="14">
        <f>IF(ISBLANK(Table24[[#This Row],[Roster Received By]]),1,0)</f>
        <v>1</v>
      </c>
      <c r="AA68" s="14">
        <f ca="1">IF(Table24[[#This Row],[Start Date]]&gt;TODAY(),1,)</f>
        <v>0</v>
      </c>
    </row>
    <row r="69" spans="1:27" s="76" customFormat="1" ht="14.25" customHeight="1" x14ac:dyDescent="0.25">
      <c r="A69" s="52"/>
      <c r="B69" s="69" t="s">
        <v>65</v>
      </c>
      <c r="C69" s="70" t="s">
        <v>66</v>
      </c>
      <c r="D69" s="70" t="s">
        <v>67</v>
      </c>
      <c r="E69" s="54"/>
      <c r="F69" s="56">
        <v>45692</v>
      </c>
      <c r="G69" s="72">
        <v>45694</v>
      </c>
      <c r="H69" s="75"/>
      <c r="I69" s="71">
        <v>0.29166666666666669</v>
      </c>
      <c r="J69" s="72"/>
      <c r="K69" s="72"/>
      <c r="L69" s="72"/>
      <c r="M69" s="72"/>
      <c r="N69" s="72"/>
      <c r="O69" s="69" t="s">
        <v>273</v>
      </c>
      <c r="P69" s="69" t="s">
        <v>272</v>
      </c>
      <c r="Q69" s="14">
        <v>45</v>
      </c>
      <c r="R69" s="14">
        <v>3</v>
      </c>
      <c r="S69" s="14"/>
      <c r="T69" s="73"/>
      <c r="U69" s="14"/>
      <c r="V69" s="14"/>
      <c r="W69" s="14"/>
      <c r="X69" s="69"/>
      <c r="Y69" s="60">
        <f ca="1">Table24[[#This Row],[End Date]]+2-TODAY()</f>
        <v>-311</v>
      </c>
      <c r="Z69" s="14">
        <f>IF(ISBLANK(Table24[[#This Row],[Roster Received By]]),1,0)</f>
        <v>1</v>
      </c>
      <c r="AA69" s="14">
        <f ca="1">IF(Table24[[#This Row],[Start Date]]&gt;TODAY(),1,)</f>
        <v>0</v>
      </c>
    </row>
    <row r="70" spans="1:27" s="76" customFormat="1" ht="14.25" customHeight="1" x14ac:dyDescent="0.25">
      <c r="A70" s="52"/>
      <c r="B70" s="69" t="s">
        <v>65</v>
      </c>
      <c r="C70" s="70" t="s">
        <v>66</v>
      </c>
      <c r="D70" s="70" t="s">
        <v>67</v>
      </c>
      <c r="E70" s="69"/>
      <c r="F70" s="72">
        <v>45706</v>
      </c>
      <c r="G70" s="72">
        <v>45708</v>
      </c>
      <c r="H70" s="75"/>
      <c r="I70" s="75">
        <v>800.33333333333337</v>
      </c>
      <c r="J70" s="72"/>
      <c r="K70" s="72"/>
      <c r="L70" s="72"/>
      <c r="M70" s="72"/>
      <c r="N70" s="72"/>
      <c r="O70" s="69" t="s">
        <v>273</v>
      </c>
      <c r="P70" s="69" t="s">
        <v>272</v>
      </c>
      <c r="Q70" s="14">
        <v>45</v>
      </c>
      <c r="R70" s="14">
        <v>3</v>
      </c>
      <c r="S70" s="73"/>
      <c r="T70" s="73"/>
      <c r="U70" s="14"/>
      <c r="V70" s="14"/>
      <c r="W70" s="14"/>
      <c r="X70" s="69"/>
      <c r="Y70" s="60">
        <f ca="1">Table24[[#This Row],[End Date]]+2-TODAY()</f>
        <v>-297</v>
      </c>
      <c r="Z70" s="14">
        <f>IF(ISBLANK(Table24[[#This Row],[Roster Received By]]),1,0)</f>
        <v>1</v>
      </c>
      <c r="AA70" s="14">
        <f ca="1">IF(Table24[[#This Row],[Start Date]]&gt;TODAY(),1,)</f>
        <v>0</v>
      </c>
    </row>
    <row r="71" spans="1:27" s="76" customFormat="1" ht="14.25" customHeight="1" x14ac:dyDescent="0.25">
      <c r="A71" s="52"/>
      <c r="B71" s="69" t="s">
        <v>65</v>
      </c>
      <c r="C71" s="70" t="s">
        <v>66</v>
      </c>
      <c r="D71" s="70" t="s">
        <v>67</v>
      </c>
      <c r="E71" s="69"/>
      <c r="F71" s="72">
        <v>45720</v>
      </c>
      <c r="G71" s="72">
        <v>45722</v>
      </c>
      <c r="H71" s="75"/>
      <c r="I71" s="75">
        <v>800.45833333333337</v>
      </c>
      <c r="J71" s="72"/>
      <c r="K71" s="72"/>
      <c r="L71" s="72"/>
      <c r="M71" s="72"/>
      <c r="N71" s="72"/>
      <c r="O71" s="69" t="s">
        <v>273</v>
      </c>
      <c r="P71" s="69" t="s">
        <v>272</v>
      </c>
      <c r="Q71" s="14">
        <v>45</v>
      </c>
      <c r="R71" s="14">
        <v>3</v>
      </c>
      <c r="S71" s="73"/>
      <c r="T71" s="73"/>
      <c r="U71" s="14"/>
      <c r="V71" s="14"/>
      <c r="W71" s="14"/>
      <c r="X71" s="69"/>
      <c r="Y71" s="60">
        <f ca="1">Table24[[#This Row],[End Date]]+2-TODAY()</f>
        <v>-283</v>
      </c>
      <c r="Z71" s="14">
        <f>IF(ISBLANK(Table24[[#This Row],[Roster Received By]]),1,0)</f>
        <v>1</v>
      </c>
      <c r="AA71" s="14">
        <f ca="1">IF(Table24[[#This Row],[Start Date]]&gt;TODAY(),1,)</f>
        <v>0</v>
      </c>
    </row>
    <row r="72" spans="1:27" s="76" customFormat="1" ht="14.25" customHeight="1" x14ac:dyDescent="0.25">
      <c r="A72" s="52"/>
      <c r="B72" s="69" t="s">
        <v>65</v>
      </c>
      <c r="C72" s="70" t="s">
        <v>66</v>
      </c>
      <c r="D72" s="70" t="s">
        <v>67</v>
      </c>
      <c r="E72" s="69"/>
      <c r="F72" s="72">
        <v>45734</v>
      </c>
      <c r="G72" s="72">
        <v>45736</v>
      </c>
      <c r="H72" s="75"/>
      <c r="I72" s="75">
        <v>800.79166666666663</v>
      </c>
      <c r="J72" s="72"/>
      <c r="K72" s="72"/>
      <c r="L72" s="72"/>
      <c r="M72" s="72"/>
      <c r="N72" s="72"/>
      <c r="O72" s="69" t="s">
        <v>273</v>
      </c>
      <c r="P72" s="69" t="s">
        <v>272</v>
      </c>
      <c r="Q72" s="14">
        <v>45</v>
      </c>
      <c r="R72" s="14">
        <v>3</v>
      </c>
      <c r="S72" s="73"/>
      <c r="T72" s="73"/>
      <c r="U72" s="14"/>
      <c r="V72" s="14"/>
      <c r="W72" s="14"/>
      <c r="X72" s="69"/>
      <c r="Y72" s="60">
        <f ca="1">Table24[[#This Row],[End Date]]+2-TODAY()</f>
        <v>-269</v>
      </c>
      <c r="Z72" s="14">
        <f>IF(ISBLANK(Table24[[#This Row],[Roster Received By]]),1,0)</f>
        <v>1</v>
      </c>
      <c r="AA72" s="14">
        <f ca="1">IF(Table24[[#This Row],[Start Date]]&gt;TODAY(),1,)</f>
        <v>0</v>
      </c>
    </row>
    <row r="73" spans="1:27" s="76" customFormat="1" ht="14.25" customHeight="1" x14ac:dyDescent="0.25">
      <c r="A73" s="52"/>
      <c r="B73" s="69" t="s">
        <v>65</v>
      </c>
      <c r="C73" s="70" t="s">
        <v>66</v>
      </c>
      <c r="D73" s="70" t="s">
        <v>67</v>
      </c>
      <c r="E73" s="69"/>
      <c r="F73" s="72">
        <v>45748</v>
      </c>
      <c r="G73" s="72">
        <v>45750</v>
      </c>
      <c r="H73" s="75"/>
      <c r="I73" s="75">
        <v>800.29166666666663</v>
      </c>
      <c r="J73" s="72"/>
      <c r="K73" s="72"/>
      <c r="L73" s="72"/>
      <c r="M73" s="72"/>
      <c r="N73" s="72"/>
      <c r="O73" s="69" t="s">
        <v>273</v>
      </c>
      <c r="P73" s="69" t="s">
        <v>272</v>
      </c>
      <c r="Q73" s="14">
        <v>45</v>
      </c>
      <c r="R73" s="14">
        <v>3</v>
      </c>
      <c r="S73" s="73"/>
      <c r="T73" s="73"/>
      <c r="U73" s="14"/>
      <c r="V73" s="14"/>
      <c r="W73" s="14"/>
      <c r="X73" s="69"/>
      <c r="Y73" s="60">
        <f ca="1">Table24[[#This Row],[End Date]]+2-TODAY()</f>
        <v>-255</v>
      </c>
      <c r="Z73" s="14">
        <f>IF(ISBLANK(Table24[[#This Row],[Roster Received By]]),1,0)</f>
        <v>1</v>
      </c>
      <c r="AA73" s="14">
        <f ca="1">IF(Table24[[#This Row],[Start Date]]&gt;TODAY(),1,)</f>
        <v>0</v>
      </c>
    </row>
    <row r="74" spans="1:27" s="76" customFormat="1" ht="14.25" customHeight="1" x14ac:dyDescent="0.25">
      <c r="A74" s="52"/>
      <c r="B74" s="69" t="s">
        <v>65</v>
      </c>
      <c r="C74" s="70" t="s">
        <v>66</v>
      </c>
      <c r="D74" s="70" t="s">
        <v>67</v>
      </c>
      <c r="E74" s="69"/>
      <c r="F74" s="72">
        <v>45776</v>
      </c>
      <c r="G74" s="72">
        <v>45778</v>
      </c>
      <c r="H74" s="75"/>
      <c r="I74" s="75">
        <v>800.33333333333337</v>
      </c>
      <c r="J74" s="72"/>
      <c r="K74" s="72"/>
      <c r="L74" s="72"/>
      <c r="M74" s="72"/>
      <c r="N74" s="72"/>
      <c r="O74" s="69" t="s">
        <v>273</v>
      </c>
      <c r="P74" s="69" t="s">
        <v>272</v>
      </c>
      <c r="Q74" s="14">
        <v>45</v>
      </c>
      <c r="R74" s="14">
        <v>3</v>
      </c>
      <c r="S74" s="73"/>
      <c r="T74" s="73"/>
      <c r="U74" s="14"/>
      <c r="V74" s="14"/>
      <c r="W74" s="14"/>
      <c r="X74" s="69"/>
      <c r="Y74" s="60">
        <f ca="1">Table24[[#This Row],[End Date]]+2-TODAY()</f>
        <v>-227</v>
      </c>
      <c r="Z74" s="14">
        <f>IF(ISBLANK(Table24[[#This Row],[Roster Received By]]),1,0)</f>
        <v>1</v>
      </c>
      <c r="AA74" s="14">
        <f ca="1">IF(Table24[[#This Row],[Start Date]]&gt;TODAY(),1,)</f>
        <v>0</v>
      </c>
    </row>
    <row r="75" spans="1:27" s="76" customFormat="1" ht="14.25" customHeight="1" x14ac:dyDescent="0.25">
      <c r="A75" s="52"/>
      <c r="B75" s="69" t="s">
        <v>65</v>
      </c>
      <c r="C75" s="70" t="s">
        <v>66</v>
      </c>
      <c r="D75" s="70" t="s">
        <v>67</v>
      </c>
      <c r="E75" s="69"/>
      <c r="F75" s="72">
        <v>45790</v>
      </c>
      <c r="G75" s="72">
        <v>45792</v>
      </c>
      <c r="H75" s="75"/>
      <c r="I75" s="75">
        <v>800.45833333333337</v>
      </c>
      <c r="J75" s="72"/>
      <c r="K75" s="72"/>
      <c r="L75" s="72"/>
      <c r="M75" s="72"/>
      <c r="N75" s="72"/>
      <c r="O75" s="69" t="s">
        <v>273</v>
      </c>
      <c r="P75" s="69" t="s">
        <v>272</v>
      </c>
      <c r="Q75" s="14">
        <v>45</v>
      </c>
      <c r="R75" s="14">
        <v>3</v>
      </c>
      <c r="S75" s="73"/>
      <c r="T75" s="73"/>
      <c r="U75" s="14"/>
      <c r="V75" s="14"/>
      <c r="W75" s="14"/>
      <c r="X75" s="69"/>
      <c r="Y75" s="60">
        <f ca="1">Table24[[#This Row],[End Date]]+2-TODAY()</f>
        <v>-213</v>
      </c>
      <c r="Z75" s="14">
        <f>IF(ISBLANK(Table24[[#This Row],[Roster Received By]]),1,0)</f>
        <v>1</v>
      </c>
      <c r="AA75" s="14">
        <f ca="1">IF(Table24[[#This Row],[Start Date]]&gt;TODAY(),1,)</f>
        <v>0</v>
      </c>
    </row>
    <row r="76" spans="1:27" s="76" customFormat="1" ht="14.25" customHeight="1" x14ac:dyDescent="0.25">
      <c r="A76" s="52"/>
      <c r="B76" s="69" t="s">
        <v>65</v>
      </c>
      <c r="C76" s="70" t="s">
        <v>66</v>
      </c>
      <c r="D76" s="70" t="s">
        <v>67</v>
      </c>
      <c r="E76" s="69"/>
      <c r="F76" s="72">
        <v>45804</v>
      </c>
      <c r="G76" s="72">
        <v>45806</v>
      </c>
      <c r="H76" s="75"/>
      <c r="I76" s="75">
        <v>800.54166666666663</v>
      </c>
      <c r="J76" s="72"/>
      <c r="K76" s="72"/>
      <c r="L76" s="72"/>
      <c r="M76" s="72"/>
      <c r="N76" s="72"/>
      <c r="O76" s="69" t="s">
        <v>273</v>
      </c>
      <c r="P76" s="69" t="s">
        <v>272</v>
      </c>
      <c r="Q76" s="14">
        <v>45</v>
      </c>
      <c r="R76" s="14">
        <v>3</v>
      </c>
      <c r="S76" s="73"/>
      <c r="T76" s="73"/>
      <c r="U76" s="14"/>
      <c r="V76" s="14"/>
      <c r="W76" s="14"/>
      <c r="X76" s="69"/>
      <c r="Y76" s="60">
        <f ca="1">Table24[[#This Row],[End Date]]+2-TODAY()</f>
        <v>-199</v>
      </c>
      <c r="Z76" s="14">
        <f>IF(ISBLANK(Table24[[#This Row],[Roster Received By]]),1,0)</f>
        <v>1</v>
      </c>
      <c r="AA76" s="14">
        <f ca="1">IF(Table24[[#This Row],[Start Date]]&gt;TODAY(),1,)</f>
        <v>0</v>
      </c>
    </row>
    <row r="77" spans="1:27" s="76" customFormat="1" ht="14.25" customHeight="1" x14ac:dyDescent="0.25">
      <c r="A77" s="52"/>
      <c r="B77" s="69" t="s">
        <v>65</v>
      </c>
      <c r="C77" s="70" t="s">
        <v>66</v>
      </c>
      <c r="D77" s="70" t="s">
        <v>67</v>
      </c>
      <c r="E77" s="69"/>
      <c r="F77" s="72">
        <v>45818</v>
      </c>
      <c r="G77" s="72">
        <v>45820</v>
      </c>
      <c r="H77" s="72"/>
      <c r="I77" s="71">
        <v>0.41666666666666669</v>
      </c>
      <c r="J77" s="71"/>
      <c r="K77" s="71"/>
      <c r="L77" s="71"/>
      <c r="M77" s="71"/>
      <c r="N77" s="71"/>
      <c r="O77" s="69" t="s">
        <v>273</v>
      </c>
      <c r="P77" s="69" t="s">
        <v>272</v>
      </c>
      <c r="Q77" s="14">
        <v>45</v>
      </c>
      <c r="R77" s="14">
        <v>3</v>
      </c>
      <c r="S77" s="14"/>
      <c r="T77" s="73"/>
      <c r="U77" s="14"/>
      <c r="V77" s="14"/>
      <c r="W77" s="14"/>
      <c r="X77" s="69"/>
      <c r="Y77" s="60">
        <f ca="1">Table24[[#This Row],[End Date]]+2-TODAY()</f>
        <v>-185</v>
      </c>
      <c r="Z77" s="14">
        <f>IF(ISBLANK(Table24[[#This Row],[Roster Received By]]),1,0)</f>
        <v>1</v>
      </c>
      <c r="AA77" s="14">
        <f ca="1">IF(Table24[[#This Row],[Start Date]]&gt;TODAY(),1,)</f>
        <v>0</v>
      </c>
    </row>
    <row r="78" spans="1:27" s="76" customFormat="1" ht="14.25" customHeight="1" x14ac:dyDescent="0.25">
      <c r="A78" s="52"/>
      <c r="B78" s="69" t="s">
        <v>65</v>
      </c>
      <c r="C78" s="70" t="s">
        <v>66</v>
      </c>
      <c r="D78" s="70" t="s">
        <v>67</v>
      </c>
      <c r="E78" s="69"/>
      <c r="F78" s="72">
        <v>45832</v>
      </c>
      <c r="G78" s="72">
        <v>45834</v>
      </c>
      <c r="H78" s="75"/>
      <c r="I78" s="75">
        <v>700.29166666666663</v>
      </c>
      <c r="J78" s="72"/>
      <c r="K78" s="72"/>
      <c r="L78" s="72"/>
      <c r="M78" s="72"/>
      <c r="N78" s="72"/>
      <c r="O78" s="69" t="s">
        <v>273</v>
      </c>
      <c r="P78" s="69" t="s">
        <v>272</v>
      </c>
      <c r="Q78" s="14">
        <v>45</v>
      </c>
      <c r="R78" s="14">
        <v>3</v>
      </c>
      <c r="S78" s="73"/>
      <c r="T78" s="73"/>
      <c r="U78" s="14"/>
      <c r="V78" s="14"/>
      <c r="W78" s="14"/>
      <c r="X78" s="69"/>
      <c r="Y78" s="60">
        <f ca="1">Table24[[#This Row],[End Date]]+2-TODAY()</f>
        <v>-171</v>
      </c>
      <c r="Z78" s="14">
        <f>IF(ISBLANK(Table24[[#This Row],[Roster Received By]]),1,0)</f>
        <v>1</v>
      </c>
      <c r="AA78" s="14">
        <f ca="1">IF(Table24[[#This Row],[Start Date]]&gt;TODAY(),1,)</f>
        <v>0</v>
      </c>
    </row>
    <row r="79" spans="1:27" s="76" customFormat="1" ht="14.25" customHeight="1" x14ac:dyDescent="0.25">
      <c r="A79" s="52"/>
      <c r="B79" s="69" t="s">
        <v>65</v>
      </c>
      <c r="C79" s="70" t="s">
        <v>66</v>
      </c>
      <c r="D79" s="70" t="s">
        <v>67</v>
      </c>
      <c r="E79" s="69"/>
      <c r="F79" s="72">
        <v>45846</v>
      </c>
      <c r="G79" s="72">
        <v>45848</v>
      </c>
      <c r="H79" s="72"/>
      <c r="I79" s="71">
        <v>0.33333333333333331</v>
      </c>
      <c r="J79" s="71"/>
      <c r="K79" s="71"/>
      <c r="L79" s="71"/>
      <c r="M79" s="71"/>
      <c r="N79" s="71"/>
      <c r="O79" s="69" t="s">
        <v>273</v>
      </c>
      <c r="P79" s="69" t="s">
        <v>272</v>
      </c>
      <c r="Q79" s="14">
        <v>45</v>
      </c>
      <c r="R79" s="14">
        <v>3</v>
      </c>
      <c r="S79" s="14"/>
      <c r="T79" s="73"/>
      <c r="U79" s="14"/>
      <c r="V79" s="14"/>
      <c r="W79" s="14"/>
      <c r="X79" s="69"/>
      <c r="Y79" s="60">
        <f ca="1">Table24[[#This Row],[End Date]]+2-TODAY()</f>
        <v>-157</v>
      </c>
      <c r="Z79" s="14">
        <f>IF(ISBLANK(Table24[[#This Row],[Roster Received By]]),1,0)</f>
        <v>1</v>
      </c>
      <c r="AA79" s="14">
        <f ca="1">IF(Table24[[#This Row],[Start Date]]&gt;TODAY(),1,)</f>
        <v>0</v>
      </c>
    </row>
    <row r="80" spans="1:27" s="76" customFormat="1" ht="14.25" customHeight="1" x14ac:dyDescent="0.25">
      <c r="A80" s="52"/>
      <c r="B80" s="69" t="s">
        <v>65</v>
      </c>
      <c r="C80" s="70" t="s">
        <v>66</v>
      </c>
      <c r="D80" s="70" t="s">
        <v>67</v>
      </c>
      <c r="E80" s="69"/>
      <c r="F80" s="72">
        <v>45860</v>
      </c>
      <c r="G80" s="72">
        <v>45862</v>
      </c>
      <c r="H80" s="75"/>
      <c r="I80" s="75">
        <v>700.54166666666663</v>
      </c>
      <c r="J80" s="72"/>
      <c r="K80" s="72"/>
      <c r="L80" s="72"/>
      <c r="M80" s="72"/>
      <c r="N80" s="72"/>
      <c r="O80" s="69" t="s">
        <v>273</v>
      </c>
      <c r="P80" s="69" t="s">
        <v>272</v>
      </c>
      <c r="Q80" s="14">
        <v>45</v>
      </c>
      <c r="R80" s="14">
        <v>3</v>
      </c>
      <c r="S80" s="73"/>
      <c r="T80" s="73"/>
      <c r="U80" s="14"/>
      <c r="V80" s="14"/>
      <c r="W80" s="14"/>
      <c r="X80" s="69"/>
      <c r="Y80" s="60">
        <f ca="1">Table24[[#This Row],[End Date]]+2-TODAY()</f>
        <v>-143</v>
      </c>
      <c r="Z80" s="14">
        <f>IF(ISBLANK(Table24[[#This Row],[Roster Received By]]),1,0)</f>
        <v>1</v>
      </c>
      <c r="AA80" s="14">
        <f ca="1">IF(Table24[[#This Row],[Start Date]]&gt;TODAY(),1,)</f>
        <v>0</v>
      </c>
    </row>
    <row r="81" spans="1:27" s="105" customFormat="1" ht="14.25" customHeight="1" x14ac:dyDescent="0.25">
      <c r="A81" s="69"/>
      <c r="B81" s="69" t="s">
        <v>65</v>
      </c>
      <c r="C81" s="70" t="s">
        <v>66</v>
      </c>
      <c r="D81" s="70" t="s">
        <v>67</v>
      </c>
      <c r="E81" s="54"/>
      <c r="F81" s="72">
        <v>45874</v>
      </c>
      <c r="G81" s="72">
        <v>45876</v>
      </c>
      <c r="H81" s="75"/>
      <c r="I81" s="71">
        <v>0.41666666666666669</v>
      </c>
      <c r="J81" s="72"/>
      <c r="K81" s="72"/>
      <c r="L81" s="72"/>
      <c r="M81" s="72"/>
      <c r="N81" s="72"/>
      <c r="O81" s="69" t="s">
        <v>273</v>
      </c>
      <c r="P81" s="69" t="s">
        <v>272</v>
      </c>
      <c r="Q81" s="14">
        <v>45</v>
      </c>
      <c r="R81" s="14">
        <v>3</v>
      </c>
      <c r="S81" s="14"/>
      <c r="T81" s="73"/>
      <c r="U81" s="14"/>
      <c r="V81" s="14"/>
      <c r="W81" s="14"/>
      <c r="X81" s="69"/>
      <c r="Y81" s="60">
        <f ca="1">Table24[[#This Row],[End Date]]+2-TODAY()</f>
        <v>-129</v>
      </c>
      <c r="Z81" s="14">
        <f>IF(ISBLANK(Table24[[#This Row],[Roster Received By]]),1,0)</f>
        <v>1</v>
      </c>
      <c r="AA81" s="14">
        <f ca="1">IF(Table24[[#This Row],[Start Date]]&gt;TODAY(),1,)</f>
        <v>0</v>
      </c>
    </row>
    <row r="82" spans="1:27" s="105" customFormat="1" ht="14.25" customHeight="1" x14ac:dyDescent="0.25">
      <c r="A82" s="69"/>
      <c r="B82" s="69" t="s">
        <v>65</v>
      </c>
      <c r="C82" s="70" t="s">
        <v>66</v>
      </c>
      <c r="D82" s="70" t="s">
        <v>67</v>
      </c>
      <c r="E82" s="69"/>
      <c r="F82" s="72">
        <v>45888</v>
      </c>
      <c r="G82" s="72">
        <v>45890</v>
      </c>
      <c r="H82" s="75"/>
      <c r="I82" s="75">
        <v>700.45833333333337</v>
      </c>
      <c r="J82" s="72"/>
      <c r="K82" s="72"/>
      <c r="L82" s="72"/>
      <c r="M82" s="72"/>
      <c r="N82" s="72"/>
      <c r="O82" s="69" t="s">
        <v>273</v>
      </c>
      <c r="P82" s="69" t="s">
        <v>272</v>
      </c>
      <c r="Q82" s="14">
        <v>45</v>
      </c>
      <c r="R82" s="14">
        <v>3</v>
      </c>
      <c r="S82" s="73"/>
      <c r="T82" s="73"/>
      <c r="U82" s="14"/>
      <c r="V82" s="14"/>
      <c r="W82" s="14"/>
      <c r="X82" s="69"/>
      <c r="Y82" s="60">
        <f ca="1">Table24[[#This Row],[End Date]]+2-TODAY()</f>
        <v>-115</v>
      </c>
      <c r="Z82" s="14">
        <f>IF(ISBLANK(Table24[[#This Row],[Roster Received By]]),1,0)</f>
        <v>1</v>
      </c>
      <c r="AA82" s="14">
        <f ca="1">IF(Table24[[#This Row],[Start Date]]&gt;TODAY(),1,)</f>
        <v>0</v>
      </c>
    </row>
    <row r="83" spans="1:27" s="105" customFormat="1" ht="14.25" customHeight="1" x14ac:dyDescent="0.25">
      <c r="A83" s="69"/>
      <c r="B83" s="69" t="s">
        <v>65</v>
      </c>
      <c r="C83" s="70" t="s">
        <v>66</v>
      </c>
      <c r="D83" s="70" t="s">
        <v>67</v>
      </c>
      <c r="E83" s="69"/>
      <c r="F83" s="72">
        <v>45902</v>
      </c>
      <c r="G83" s="72">
        <v>45904</v>
      </c>
      <c r="H83" s="75"/>
      <c r="I83" s="75">
        <v>700.79166666666663</v>
      </c>
      <c r="J83" s="72"/>
      <c r="K83" s="72"/>
      <c r="L83" s="72"/>
      <c r="M83" s="72"/>
      <c r="N83" s="72"/>
      <c r="O83" s="69" t="s">
        <v>273</v>
      </c>
      <c r="P83" s="69" t="s">
        <v>272</v>
      </c>
      <c r="Q83" s="14">
        <v>45</v>
      </c>
      <c r="R83" s="14">
        <v>3</v>
      </c>
      <c r="S83" s="73"/>
      <c r="T83" s="73"/>
      <c r="U83" s="14"/>
      <c r="V83" s="14"/>
      <c r="W83" s="14"/>
      <c r="X83" s="69"/>
      <c r="Y83" s="60">
        <f ca="1">Table24[[#This Row],[End Date]]+2-TODAY()</f>
        <v>-101</v>
      </c>
      <c r="Z83" s="14">
        <f>IF(ISBLANK(Table24[[#This Row],[Roster Received By]]),1,0)</f>
        <v>1</v>
      </c>
      <c r="AA83" s="14">
        <f ca="1">IF(Table24[[#This Row],[Start Date]]&gt;TODAY(),1,)</f>
        <v>0</v>
      </c>
    </row>
    <row r="84" spans="1:27" s="105" customFormat="1" ht="14.25" customHeight="1" x14ac:dyDescent="0.25">
      <c r="A84" s="69"/>
      <c r="B84" s="69" t="s">
        <v>65</v>
      </c>
      <c r="C84" s="70" t="s">
        <v>66</v>
      </c>
      <c r="D84" s="70" t="s">
        <v>67</v>
      </c>
      <c r="E84" s="69"/>
      <c r="F84" s="72">
        <v>45916</v>
      </c>
      <c r="G84" s="72">
        <v>45918</v>
      </c>
      <c r="H84" s="75"/>
      <c r="I84" s="75">
        <v>700.33333333333337</v>
      </c>
      <c r="J84" s="72"/>
      <c r="K84" s="72"/>
      <c r="L84" s="72"/>
      <c r="M84" s="72"/>
      <c r="N84" s="72"/>
      <c r="O84" s="69" t="s">
        <v>273</v>
      </c>
      <c r="P84" s="69" t="s">
        <v>272</v>
      </c>
      <c r="Q84" s="14">
        <v>45</v>
      </c>
      <c r="R84" s="14">
        <v>3</v>
      </c>
      <c r="S84" s="73"/>
      <c r="T84" s="73"/>
      <c r="U84" s="14"/>
      <c r="V84" s="14"/>
      <c r="W84" s="14"/>
      <c r="X84" s="69"/>
      <c r="Y84" s="60">
        <f ca="1">Table24[[#This Row],[End Date]]+2-TODAY()</f>
        <v>-87</v>
      </c>
      <c r="Z84" s="14">
        <f>IF(ISBLANK(Table24[[#This Row],[Roster Received By]]),1,0)</f>
        <v>1</v>
      </c>
      <c r="AA84" s="14">
        <f ca="1">IF(Table24[[#This Row],[Start Date]]&gt;TODAY(),1,)</f>
        <v>0</v>
      </c>
    </row>
    <row r="85" spans="1:27" s="105" customFormat="1" ht="14.25" customHeight="1" x14ac:dyDescent="0.25">
      <c r="A85" s="69"/>
      <c r="B85" s="69" t="s">
        <v>65</v>
      </c>
      <c r="C85" s="70" t="s">
        <v>66</v>
      </c>
      <c r="D85" s="70" t="s">
        <v>67</v>
      </c>
      <c r="E85" s="69"/>
      <c r="F85" s="72">
        <v>45930</v>
      </c>
      <c r="G85" s="72">
        <v>45932</v>
      </c>
      <c r="H85" s="75"/>
      <c r="I85" s="75">
        <v>700.54166666666663</v>
      </c>
      <c r="J85" s="72"/>
      <c r="K85" s="72"/>
      <c r="L85" s="72"/>
      <c r="M85" s="72"/>
      <c r="N85" s="72"/>
      <c r="O85" s="69" t="s">
        <v>273</v>
      </c>
      <c r="P85" s="69" t="s">
        <v>272</v>
      </c>
      <c r="Q85" s="14">
        <v>45</v>
      </c>
      <c r="R85" s="14">
        <v>3</v>
      </c>
      <c r="S85" s="73"/>
      <c r="T85" s="73"/>
      <c r="U85" s="14"/>
      <c r="V85" s="14"/>
      <c r="W85" s="14"/>
      <c r="X85" s="69"/>
      <c r="Y85" s="60">
        <f ca="1">Table24[[#This Row],[End Date]]+2-TODAY()</f>
        <v>-73</v>
      </c>
      <c r="Z85" s="14">
        <f>IF(ISBLANK(Table24[[#This Row],[Roster Received By]]),1,0)</f>
        <v>1</v>
      </c>
      <c r="AA85" s="14">
        <f ca="1">IF(Table24[[#This Row],[Start Date]]&gt;TODAY(),1,)</f>
        <v>0</v>
      </c>
    </row>
    <row r="86" spans="1:27" s="76" customFormat="1" ht="14.25" customHeight="1" x14ac:dyDescent="0.25">
      <c r="A86" s="52"/>
      <c r="B86" s="69" t="s">
        <v>48</v>
      </c>
      <c r="C86" s="70" t="s">
        <v>50</v>
      </c>
      <c r="D86" s="70" t="s">
        <v>51</v>
      </c>
      <c r="E86" s="69" t="s">
        <v>274</v>
      </c>
      <c r="F86" s="72">
        <v>45712</v>
      </c>
      <c r="G86" s="72">
        <v>45716</v>
      </c>
      <c r="H86" s="75"/>
      <c r="I86" s="71">
        <v>0.33333333333333331</v>
      </c>
      <c r="J86" s="72"/>
      <c r="K86" s="72"/>
      <c r="L86" s="72"/>
      <c r="M86" s="72"/>
      <c r="N86" s="72"/>
      <c r="O86" s="69" t="s">
        <v>275</v>
      </c>
      <c r="P86" s="69"/>
      <c r="Q86" s="14">
        <v>25</v>
      </c>
      <c r="R86" s="14">
        <v>5</v>
      </c>
      <c r="S86" s="14"/>
      <c r="T86" s="73"/>
      <c r="U86" s="14"/>
      <c r="V86" s="14"/>
      <c r="W86" s="70"/>
      <c r="X86" s="69"/>
      <c r="Y86" s="60">
        <f ca="1">Table24[[#This Row],[End Date]]+2-TODAY()</f>
        <v>-289</v>
      </c>
      <c r="Z86" s="14">
        <f>IF(ISBLANK(Table24[[#This Row],[Roster Received By]]),1,0)</f>
        <v>1</v>
      </c>
      <c r="AA86" s="14">
        <f ca="1">IF(Table24[[#This Row],[Start Date]]&gt;TODAY(),1,)</f>
        <v>0</v>
      </c>
    </row>
    <row r="87" spans="1:27" s="76" customFormat="1" ht="14.25" customHeight="1" x14ac:dyDescent="0.25">
      <c r="A87" s="69"/>
      <c r="B87" s="69" t="s">
        <v>48</v>
      </c>
      <c r="C87" s="70" t="s">
        <v>50</v>
      </c>
      <c r="D87" s="70" t="s">
        <v>51</v>
      </c>
      <c r="E87" s="69" t="s">
        <v>274</v>
      </c>
      <c r="F87" s="72">
        <v>45719</v>
      </c>
      <c r="G87" s="72">
        <v>45733</v>
      </c>
      <c r="H87" s="75"/>
      <c r="I87" s="71">
        <v>0.33333333333333331</v>
      </c>
      <c r="J87" s="72"/>
      <c r="K87" s="72"/>
      <c r="L87" s="72"/>
      <c r="M87" s="72"/>
      <c r="N87" s="72"/>
      <c r="O87" s="69" t="s">
        <v>275</v>
      </c>
      <c r="P87" s="69"/>
      <c r="Q87" s="14">
        <v>25</v>
      </c>
      <c r="R87" s="14">
        <v>5</v>
      </c>
      <c r="S87" s="14"/>
      <c r="T87" s="73"/>
      <c r="U87" s="14"/>
      <c r="V87" s="14"/>
      <c r="W87" s="14"/>
      <c r="X87" s="69"/>
      <c r="Y87" s="60">
        <f ca="1">Table24[[#This Row],[End Date]]+2-TODAY()</f>
        <v>-272</v>
      </c>
      <c r="Z87" s="14">
        <f>IF(ISBLANK(Table24[[#This Row],[Roster Received By]]),1,0)</f>
        <v>1</v>
      </c>
      <c r="AA87" s="14">
        <f ca="1">IF(Table24[[#This Row],[Start Date]]&gt;TODAY(),1,)</f>
        <v>0</v>
      </c>
    </row>
    <row r="88" spans="1:27" s="76" customFormat="1" ht="14.25" customHeight="1" x14ac:dyDescent="0.25">
      <c r="A88" s="52"/>
      <c r="B88" s="69" t="s">
        <v>48</v>
      </c>
      <c r="C88" s="70" t="s">
        <v>50</v>
      </c>
      <c r="D88" s="70" t="s">
        <v>51</v>
      </c>
      <c r="E88" s="69" t="s">
        <v>254</v>
      </c>
      <c r="F88" s="72">
        <v>45628</v>
      </c>
      <c r="G88" s="72">
        <v>45632</v>
      </c>
      <c r="H88" s="72"/>
      <c r="I88" s="71">
        <v>0.33333333333333331</v>
      </c>
      <c r="J88" s="71">
        <v>0.33333333333333331</v>
      </c>
      <c r="K88" s="71"/>
      <c r="L88" s="71"/>
      <c r="M88" s="71"/>
      <c r="N88" s="71"/>
      <c r="O88" s="69" t="s">
        <v>275</v>
      </c>
      <c r="P88" s="69"/>
      <c r="Q88" s="14">
        <v>25</v>
      </c>
      <c r="R88" s="14">
        <v>5</v>
      </c>
      <c r="S88" s="14"/>
      <c r="T88" s="73"/>
      <c r="U88" s="14"/>
      <c r="V88" s="14"/>
      <c r="W88" s="14"/>
      <c r="X88" s="69"/>
      <c r="Y88" s="60">
        <f ca="1">Table24[[#This Row],[End Date]]+2-TODAY()</f>
        <v>-373</v>
      </c>
      <c r="Z88" s="14">
        <f>IF(ISBLANK(Table24[[#This Row],[Roster Received By]]),1,0)</f>
        <v>1</v>
      </c>
      <c r="AA88" s="14">
        <f ca="1">IF(Table24[[#This Row],[Start Date]]&gt;TODAY(),1,)</f>
        <v>0</v>
      </c>
    </row>
    <row r="89" spans="1:27" s="76" customFormat="1" ht="14.25" customHeight="1" x14ac:dyDescent="0.25">
      <c r="A89" s="52"/>
      <c r="B89" s="69" t="s">
        <v>48</v>
      </c>
      <c r="C89" s="70" t="s">
        <v>50</v>
      </c>
      <c r="D89" s="70" t="s">
        <v>51</v>
      </c>
      <c r="E89" s="69" t="s">
        <v>254</v>
      </c>
      <c r="F89" s="72">
        <v>45635</v>
      </c>
      <c r="G89" s="72">
        <v>45639</v>
      </c>
      <c r="H89" s="72"/>
      <c r="I89" s="71">
        <v>0.33333333333333331</v>
      </c>
      <c r="J89" s="71">
        <v>0.33333333333333331</v>
      </c>
      <c r="K89" s="71"/>
      <c r="L89" s="71"/>
      <c r="M89" s="71"/>
      <c r="N89" s="71"/>
      <c r="O89" s="69" t="s">
        <v>275</v>
      </c>
      <c r="P89" s="69"/>
      <c r="Q89" s="14">
        <v>25</v>
      </c>
      <c r="R89" s="14">
        <v>5</v>
      </c>
      <c r="S89" s="14"/>
      <c r="T89" s="73"/>
      <c r="U89" s="14"/>
      <c r="V89" s="14"/>
      <c r="W89" s="70"/>
      <c r="X89" s="69"/>
      <c r="Y89" s="60">
        <f ca="1">Table24[[#This Row],[End Date]]+2-TODAY()</f>
        <v>-366</v>
      </c>
      <c r="Z89" s="14">
        <f>IF(ISBLANK(Table24[[#This Row],[Roster Received By]]),1,0)</f>
        <v>1</v>
      </c>
      <c r="AA89" s="14">
        <f ca="1">IF(Table24[[#This Row],[Start Date]]&gt;TODAY(),1,)</f>
        <v>0</v>
      </c>
    </row>
    <row r="90" spans="1:27" s="105" customFormat="1" x14ac:dyDescent="0.25">
      <c r="A90" s="52"/>
      <c r="B90" s="69" t="s">
        <v>48</v>
      </c>
      <c r="C90" s="70" t="s">
        <v>50</v>
      </c>
      <c r="D90" s="70" t="s">
        <v>51</v>
      </c>
      <c r="E90" s="69" t="s">
        <v>254</v>
      </c>
      <c r="F90" s="56">
        <v>45733</v>
      </c>
      <c r="G90" s="56">
        <v>45737</v>
      </c>
      <c r="H90" s="71"/>
      <c r="I90" s="71">
        <v>0.33333333333333331</v>
      </c>
      <c r="J90" s="71">
        <v>0.33333333333333331</v>
      </c>
      <c r="K90" s="72"/>
      <c r="L90" s="72"/>
      <c r="M90" s="72"/>
      <c r="N90" s="72"/>
      <c r="O90" s="69" t="s">
        <v>275</v>
      </c>
      <c r="P90" s="69"/>
      <c r="Q90" s="14">
        <v>25</v>
      </c>
      <c r="R90" s="14">
        <v>5</v>
      </c>
      <c r="S90" s="14"/>
      <c r="T90" s="73"/>
      <c r="U90" s="14"/>
      <c r="V90" s="14"/>
      <c r="W90" s="14"/>
      <c r="X90" s="69"/>
      <c r="Y90" s="60">
        <f ca="1">Table24[[#This Row],[End Date]]+2-TODAY()</f>
        <v>-268</v>
      </c>
      <c r="Z90" s="14">
        <f>IF(ISBLANK(Table24[[#This Row],[Roster Received By]]),1,0)</f>
        <v>1</v>
      </c>
      <c r="AA90" s="14">
        <f ca="1">IF(Table24[[#This Row],[Start Date]]&gt;TODAY(),1,)</f>
        <v>0</v>
      </c>
    </row>
    <row r="91" spans="1:27" s="76" customFormat="1" ht="14.25" customHeight="1" x14ac:dyDescent="0.25">
      <c r="A91" s="52"/>
      <c r="B91" s="69" t="s">
        <v>48</v>
      </c>
      <c r="C91" s="70" t="s">
        <v>50</v>
      </c>
      <c r="D91" s="70" t="s">
        <v>51</v>
      </c>
      <c r="E91" s="69" t="s">
        <v>254</v>
      </c>
      <c r="F91" s="72">
        <v>45740</v>
      </c>
      <c r="G91" s="72">
        <v>45744</v>
      </c>
      <c r="H91" s="75"/>
      <c r="I91" s="75">
        <v>0.33333333333333331</v>
      </c>
      <c r="J91" s="71">
        <v>0.33333333333333331</v>
      </c>
      <c r="K91" s="72"/>
      <c r="L91" s="72"/>
      <c r="M91" s="72"/>
      <c r="N91" s="72"/>
      <c r="O91" s="69" t="s">
        <v>275</v>
      </c>
      <c r="P91" s="69"/>
      <c r="Q91" s="14">
        <v>25</v>
      </c>
      <c r="R91" s="14">
        <v>5</v>
      </c>
      <c r="S91" s="14"/>
      <c r="T91" s="73"/>
      <c r="U91" s="14"/>
      <c r="V91" s="14"/>
      <c r="W91" s="14"/>
      <c r="X91" s="69"/>
      <c r="Y91" s="60">
        <f ca="1">Table24[[#This Row],[End Date]]+2-TODAY()</f>
        <v>-261</v>
      </c>
      <c r="Z91" s="14">
        <f>IF(ISBLANK(Table24[[#This Row],[Roster Received By]]),1,0)</f>
        <v>1</v>
      </c>
      <c r="AA91" s="14">
        <f ca="1">IF(Table24[[#This Row],[Start Date]]&gt;TODAY(),1,)</f>
        <v>0</v>
      </c>
    </row>
    <row r="92" spans="1:27" s="105" customFormat="1" ht="14.25" customHeight="1" x14ac:dyDescent="0.25">
      <c r="A92" s="52"/>
      <c r="B92" s="69" t="s">
        <v>48</v>
      </c>
      <c r="C92" s="70" t="s">
        <v>50</v>
      </c>
      <c r="D92" s="70" t="s">
        <v>51</v>
      </c>
      <c r="E92" s="69" t="s">
        <v>263</v>
      </c>
      <c r="F92" s="72">
        <v>45663</v>
      </c>
      <c r="G92" s="72">
        <v>45667</v>
      </c>
      <c r="H92" s="72"/>
      <c r="I92" s="71">
        <v>0.33333333333333331</v>
      </c>
      <c r="J92" s="71"/>
      <c r="K92" s="71"/>
      <c r="L92" s="71"/>
      <c r="M92" s="71">
        <v>0.33333333333333331</v>
      </c>
      <c r="N92" s="71"/>
      <c r="O92" s="69" t="s">
        <v>275</v>
      </c>
      <c r="P92" s="69"/>
      <c r="Q92" s="14">
        <v>25</v>
      </c>
      <c r="R92" s="14">
        <v>5</v>
      </c>
      <c r="S92" s="14"/>
      <c r="T92" s="73"/>
      <c r="U92" s="14"/>
      <c r="V92" s="14"/>
      <c r="W92" s="14"/>
      <c r="X92" s="69"/>
      <c r="Y92" s="60">
        <f ca="1">Table24[[#This Row],[End Date]]+2-TODAY()</f>
        <v>-338</v>
      </c>
      <c r="Z92" s="14">
        <f>IF(ISBLANK(Table24[[#This Row],[Roster Received By]]),1,0)</f>
        <v>1</v>
      </c>
      <c r="AA92" s="14">
        <f ca="1">IF(Table24[[#This Row],[Start Date]]&gt;TODAY(),1,)</f>
        <v>0</v>
      </c>
    </row>
    <row r="93" spans="1:27" s="76" customFormat="1" ht="16.5" customHeight="1" x14ac:dyDescent="0.25">
      <c r="A93" s="52"/>
      <c r="B93" s="69" t="s">
        <v>48</v>
      </c>
      <c r="C93" s="70" t="s">
        <v>50</v>
      </c>
      <c r="D93" s="70" t="s">
        <v>51</v>
      </c>
      <c r="E93" s="69" t="s">
        <v>263</v>
      </c>
      <c r="F93" s="56">
        <v>45670</v>
      </c>
      <c r="G93" s="56">
        <v>45674</v>
      </c>
      <c r="H93" s="72"/>
      <c r="I93" s="71">
        <v>0.33333333333333331</v>
      </c>
      <c r="J93" s="71"/>
      <c r="K93" s="71"/>
      <c r="L93" s="71"/>
      <c r="M93" s="71">
        <v>0.33333333333333331</v>
      </c>
      <c r="N93" s="71"/>
      <c r="O93" s="69" t="s">
        <v>275</v>
      </c>
      <c r="P93" s="69"/>
      <c r="Q93" s="14">
        <v>25</v>
      </c>
      <c r="R93" s="14">
        <v>5</v>
      </c>
      <c r="S93" s="14"/>
      <c r="T93" s="73"/>
      <c r="U93" s="14"/>
      <c r="V93" s="14"/>
      <c r="W93" s="14"/>
      <c r="X93" s="69"/>
      <c r="Y93" s="60">
        <f ca="1">Table24[[#This Row],[End Date]]+2-TODAY()</f>
        <v>-331</v>
      </c>
      <c r="Z93" s="14">
        <f>IF(ISBLANK(Table24[[#This Row],[Roster Received By]]),1,0)</f>
        <v>1</v>
      </c>
      <c r="AA93" s="14">
        <f ca="1">IF(Table24[[#This Row],[Start Date]]&gt;TODAY(),1,)</f>
        <v>0</v>
      </c>
    </row>
    <row r="94" spans="1:27" s="76" customFormat="1" ht="14.25" customHeight="1" x14ac:dyDescent="0.25">
      <c r="A94" s="52"/>
      <c r="B94" s="69" t="s">
        <v>48</v>
      </c>
      <c r="C94" s="70" t="s">
        <v>50</v>
      </c>
      <c r="D94" s="70" t="s">
        <v>51</v>
      </c>
      <c r="E94" s="69" t="s">
        <v>263</v>
      </c>
      <c r="F94" s="72">
        <v>45810</v>
      </c>
      <c r="G94" s="72">
        <v>45814</v>
      </c>
      <c r="H94" s="75"/>
      <c r="I94" s="75">
        <v>0.33333333333333331</v>
      </c>
      <c r="J94" s="75"/>
      <c r="K94" s="75"/>
      <c r="L94" s="75"/>
      <c r="M94" s="71">
        <v>0.33333333333333331</v>
      </c>
      <c r="N94" s="72"/>
      <c r="O94" s="69" t="s">
        <v>275</v>
      </c>
      <c r="P94" s="69"/>
      <c r="Q94" s="14">
        <v>25</v>
      </c>
      <c r="R94" s="14">
        <v>5</v>
      </c>
      <c r="S94" s="14"/>
      <c r="T94" s="73"/>
      <c r="U94" s="14"/>
      <c r="V94" s="14"/>
      <c r="W94" s="14"/>
      <c r="X94" s="69"/>
      <c r="Y94" s="60">
        <f ca="1">Table24[[#This Row],[End Date]]+2-TODAY()</f>
        <v>-191</v>
      </c>
      <c r="Z94" s="14">
        <f>IF(ISBLANK(Table24[[#This Row],[Roster Received By]]),1,0)</f>
        <v>1</v>
      </c>
      <c r="AA94" s="14">
        <f ca="1">IF(Table24[[#This Row],[Start Date]]&gt;TODAY(),1,)</f>
        <v>0</v>
      </c>
    </row>
    <row r="95" spans="1:27" s="76" customFormat="1" ht="14.25" customHeight="1" x14ac:dyDescent="0.25">
      <c r="A95" s="52"/>
      <c r="B95" s="69" t="s">
        <v>48</v>
      </c>
      <c r="C95" s="70" t="s">
        <v>50</v>
      </c>
      <c r="D95" s="70" t="s">
        <v>51</v>
      </c>
      <c r="E95" s="69" t="s">
        <v>263</v>
      </c>
      <c r="F95" s="72">
        <v>45817</v>
      </c>
      <c r="G95" s="72">
        <v>45821</v>
      </c>
      <c r="H95" s="72"/>
      <c r="I95" s="71">
        <v>0.33333333333333331</v>
      </c>
      <c r="J95" s="71"/>
      <c r="K95" s="71"/>
      <c r="L95" s="71"/>
      <c r="M95" s="71">
        <v>0.33333333333333331</v>
      </c>
      <c r="N95" s="71"/>
      <c r="O95" s="69" t="s">
        <v>275</v>
      </c>
      <c r="P95" s="69"/>
      <c r="Q95" s="14">
        <v>25</v>
      </c>
      <c r="R95" s="14">
        <v>5</v>
      </c>
      <c r="S95" s="14"/>
      <c r="T95" s="73"/>
      <c r="U95" s="14"/>
      <c r="V95" s="14"/>
      <c r="W95" s="14"/>
      <c r="X95" s="69"/>
      <c r="Y95" s="60">
        <f ca="1">Table24[[#This Row],[End Date]]+2-TODAY()</f>
        <v>-184</v>
      </c>
      <c r="Z95" s="14">
        <f>IF(ISBLANK(Table24[[#This Row],[Roster Received By]]),1,0)</f>
        <v>1</v>
      </c>
      <c r="AA95" s="14">
        <f ca="1">IF(Table24[[#This Row],[Start Date]]&gt;TODAY(),1,)</f>
        <v>0</v>
      </c>
    </row>
    <row r="96" spans="1:27" s="76" customFormat="1" ht="14.25" customHeight="1" x14ac:dyDescent="0.25">
      <c r="A96" s="52"/>
      <c r="B96" s="69" t="s">
        <v>48</v>
      </c>
      <c r="C96" s="70" t="s">
        <v>50</v>
      </c>
      <c r="D96" s="70" t="s">
        <v>51</v>
      </c>
      <c r="E96" s="69" t="s">
        <v>263</v>
      </c>
      <c r="F96" s="72">
        <v>45894</v>
      </c>
      <c r="G96" s="72">
        <v>45898</v>
      </c>
      <c r="H96" s="78"/>
      <c r="I96" s="78">
        <v>0.33333333333333331</v>
      </c>
      <c r="J96" s="72"/>
      <c r="K96" s="72"/>
      <c r="L96" s="72"/>
      <c r="M96" s="71">
        <v>0.33333333333333331</v>
      </c>
      <c r="N96" s="72"/>
      <c r="O96" s="69" t="s">
        <v>275</v>
      </c>
      <c r="P96" s="69"/>
      <c r="Q96" s="14">
        <v>25</v>
      </c>
      <c r="R96" s="14">
        <v>5</v>
      </c>
      <c r="S96" s="14"/>
      <c r="T96" s="73"/>
      <c r="U96" s="14"/>
      <c r="V96" s="14"/>
      <c r="W96" s="14"/>
      <c r="X96" s="69"/>
      <c r="Y96" s="60">
        <f ca="1">Table24[[#This Row],[End Date]]+2-TODAY()</f>
        <v>-107</v>
      </c>
      <c r="Z96" s="14">
        <f>IF(ISBLANK(Table24[[#This Row],[Roster Received By]]),1,0)</f>
        <v>1</v>
      </c>
      <c r="AA96" s="14">
        <f ca="1">IF(Table24[[#This Row],[Start Date]]&gt;TODAY(),1,)</f>
        <v>0</v>
      </c>
    </row>
    <row r="97" spans="1:27" s="76" customFormat="1" ht="14.25" customHeight="1" x14ac:dyDescent="0.25">
      <c r="A97" s="52"/>
      <c r="B97" s="69" t="s">
        <v>48</v>
      </c>
      <c r="C97" s="70" t="s">
        <v>50</v>
      </c>
      <c r="D97" s="70" t="s">
        <v>51</v>
      </c>
      <c r="E97" s="54" t="s">
        <v>170</v>
      </c>
      <c r="F97" s="72">
        <v>45712</v>
      </c>
      <c r="G97" s="72">
        <v>45716</v>
      </c>
      <c r="H97" s="75"/>
      <c r="I97" s="75">
        <v>0.33333333333333331</v>
      </c>
      <c r="J97" s="72"/>
      <c r="K97" s="72"/>
      <c r="L97" s="72"/>
      <c r="M97" s="72"/>
      <c r="N97" s="71">
        <v>0.33333333333333331</v>
      </c>
      <c r="O97" s="69" t="s">
        <v>275</v>
      </c>
      <c r="P97" s="69"/>
      <c r="Q97" s="14">
        <v>25</v>
      </c>
      <c r="R97" s="14">
        <v>5</v>
      </c>
      <c r="S97" s="14"/>
      <c r="T97" s="73"/>
      <c r="U97" s="14"/>
      <c r="V97" s="14"/>
      <c r="W97" s="14"/>
      <c r="X97" s="69"/>
      <c r="Y97" s="60">
        <f ca="1">Table24[[#This Row],[End Date]]+2-TODAY()</f>
        <v>-289</v>
      </c>
      <c r="Z97" s="14">
        <f>IF(ISBLANK(Table24[[#This Row],[Roster Received By]]),1,0)</f>
        <v>1</v>
      </c>
      <c r="AA97" s="14">
        <f ca="1">IF(Table24[[#This Row],[Start Date]]&gt;TODAY(),1,)</f>
        <v>0</v>
      </c>
    </row>
    <row r="98" spans="1:27" s="76" customFormat="1" ht="14.25" customHeight="1" x14ac:dyDescent="0.25">
      <c r="A98" s="52"/>
      <c r="B98" s="69" t="s">
        <v>48</v>
      </c>
      <c r="C98" s="70" t="s">
        <v>50</v>
      </c>
      <c r="D98" s="70" t="s">
        <v>51</v>
      </c>
      <c r="E98" s="54" t="s">
        <v>170</v>
      </c>
      <c r="F98" s="72">
        <v>45719</v>
      </c>
      <c r="G98" s="72">
        <v>45723</v>
      </c>
      <c r="H98" s="75"/>
      <c r="I98" s="75">
        <v>0.33333333333333331</v>
      </c>
      <c r="J98" s="72"/>
      <c r="K98" s="72"/>
      <c r="L98" s="72"/>
      <c r="M98" s="72"/>
      <c r="N98" s="71">
        <v>0.33333333333333331</v>
      </c>
      <c r="O98" s="69" t="s">
        <v>275</v>
      </c>
      <c r="P98" s="69"/>
      <c r="Q98" s="14">
        <v>25</v>
      </c>
      <c r="R98" s="14">
        <v>5</v>
      </c>
      <c r="S98" s="14"/>
      <c r="T98" s="73"/>
      <c r="U98" s="14"/>
      <c r="V98" s="14"/>
      <c r="W98" s="14"/>
      <c r="X98" s="69"/>
      <c r="Y98" s="60">
        <f ca="1">Table24[[#This Row],[End Date]]+2-TODAY()</f>
        <v>-282</v>
      </c>
      <c r="Z98" s="14">
        <f>IF(ISBLANK(Table24[[#This Row],[Roster Received By]]),1,0)</f>
        <v>1</v>
      </c>
      <c r="AA98" s="14">
        <f ca="1">IF(Table24[[#This Row],[Start Date]]&gt;TODAY(),1,)</f>
        <v>0</v>
      </c>
    </row>
    <row r="99" spans="1:27" s="76" customFormat="1" ht="14.25" customHeight="1" x14ac:dyDescent="0.25">
      <c r="A99" s="52"/>
      <c r="B99" s="69" t="s">
        <v>48</v>
      </c>
      <c r="C99" s="70" t="s">
        <v>50</v>
      </c>
      <c r="D99" s="70" t="s">
        <v>51</v>
      </c>
      <c r="E99" s="69" t="s">
        <v>274</v>
      </c>
      <c r="F99" s="56">
        <v>45642</v>
      </c>
      <c r="G99" s="72">
        <v>45646</v>
      </c>
      <c r="H99" s="72"/>
      <c r="I99" s="71">
        <v>0.33333333333333331</v>
      </c>
      <c r="J99" s="71"/>
      <c r="K99" s="71"/>
      <c r="L99" s="71"/>
      <c r="M99" s="71"/>
      <c r="N99" s="71"/>
      <c r="O99" s="69" t="s">
        <v>275</v>
      </c>
      <c r="P99" s="69"/>
      <c r="Q99" s="14">
        <v>25</v>
      </c>
      <c r="R99" s="14">
        <v>5</v>
      </c>
      <c r="S99" s="14"/>
      <c r="T99" s="73"/>
      <c r="U99" s="14"/>
      <c r="V99" s="14"/>
      <c r="W99" s="14"/>
      <c r="X99" s="69"/>
      <c r="Y99" s="60">
        <f ca="1">Table24[[#This Row],[End Date]]+2-TODAY()</f>
        <v>-359</v>
      </c>
      <c r="Z99" s="14">
        <f>IF(ISBLANK(Table24[[#This Row],[Roster Received By]]),1,0)</f>
        <v>1</v>
      </c>
      <c r="AA99" s="14">
        <f ca="1">IF(Table24[[#This Row],[Start Date]]&gt;TODAY(),1,)</f>
        <v>0</v>
      </c>
    </row>
    <row r="100" spans="1:27" s="105" customFormat="1" x14ac:dyDescent="0.25">
      <c r="A100" s="52"/>
      <c r="B100" s="69" t="s">
        <v>48</v>
      </c>
      <c r="C100" s="70" t="s">
        <v>50</v>
      </c>
      <c r="D100" s="70" t="s">
        <v>51</v>
      </c>
      <c r="E100" s="69" t="s">
        <v>274</v>
      </c>
      <c r="F100" s="72">
        <v>45894</v>
      </c>
      <c r="G100" s="72">
        <v>45898</v>
      </c>
      <c r="H100" s="75"/>
      <c r="I100" s="71">
        <v>0.33333333333333331</v>
      </c>
      <c r="J100" s="72"/>
      <c r="K100" s="72"/>
      <c r="L100" s="72"/>
      <c r="M100" s="72"/>
      <c r="N100" s="72"/>
      <c r="O100" s="69" t="s">
        <v>275</v>
      </c>
      <c r="P100" s="69"/>
      <c r="Q100" s="14">
        <v>25</v>
      </c>
      <c r="R100" s="14">
        <v>5</v>
      </c>
      <c r="S100" s="14"/>
      <c r="T100" s="73"/>
      <c r="U100" s="14"/>
      <c r="V100" s="14"/>
      <c r="W100" s="14"/>
      <c r="X100" s="69"/>
      <c r="Y100" s="60">
        <f ca="1">Table24[[#This Row],[End Date]]+2-TODAY()</f>
        <v>-107</v>
      </c>
      <c r="Z100" s="14">
        <f>IF(ISBLANK(Table24[[#This Row],[Roster Received By]]),1,0)</f>
        <v>1</v>
      </c>
      <c r="AA100" s="14">
        <f ca="1">IF(Table24[[#This Row],[Start Date]]&gt;TODAY(),1,)</f>
        <v>0</v>
      </c>
    </row>
    <row r="101" spans="1:27" s="105" customFormat="1" x14ac:dyDescent="0.25">
      <c r="A101" s="52"/>
      <c r="B101" s="69" t="s">
        <v>48</v>
      </c>
      <c r="C101" s="70" t="s">
        <v>50</v>
      </c>
      <c r="D101" s="70" t="s">
        <v>51</v>
      </c>
      <c r="E101" s="69" t="s">
        <v>266</v>
      </c>
      <c r="F101" s="68">
        <v>45775</v>
      </c>
      <c r="G101" s="68">
        <v>45779</v>
      </c>
      <c r="H101" s="56"/>
      <c r="I101" s="71">
        <v>0.33333333333333331</v>
      </c>
      <c r="J101" s="71">
        <v>0.33333333333333331</v>
      </c>
      <c r="K101" s="71"/>
      <c r="L101" s="71"/>
      <c r="M101" s="71"/>
      <c r="N101" s="71"/>
      <c r="O101" s="69" t="s">
        <v>275</v>
      </c>
      <c r="P101" s="69"/>
      <c r="Q101" s="14">
        <v>25</v>
      </c>
      <c r="R101" s="14">
        <v>5</v>
      </c>
      <c r="S101" s="14"/>
      <c r="T101" s="73"/>
      <c r="U101" s="14"/>
      <c r="V101" s="14"/>
      <c r="W101" s="14"/>
      <c r="X101" s="69"/>
      <c r="Y101" s="60">
        <f ca="1">Table24[[#This Row],[End Date]]+2-TODAY()</f>
        <v>-226</v>
      </c>
      <c r="Z101" s="14">
        <f>IF(ISBLANK(Table24[[#This Row],[Roster Received By]]),1,0)</f>
        <v>1</v>
      </c>
      <c r="AA101" s="14">
        <f ca="1">IF(Table24[[#This Row],[Start Date]]&gt;TODAY(),1,)</f>
        <v>0</v>
      </c>
    </row>
    <row r="102" spans="1:27" s="105" customFormat="1" x14ac:dyDescent="0.25">
      <c r="A102" s="52"/>
      <c r="B102" s="69" t="s">
        <v>48</v>
      </c>
      <c r="C102" s="70" t="s">
        <v>50</v>
      </c>
      <c r="D102" s="70" t="s">
        <v>51</v>
      </c>
      <c r="E102" s="69" t="s">
        <v>266</v>
      </c>
      <c r="F102" s="72">
        <v>45782</v>
      </c>
      <c r="G102" s="72">
        <v>45786</v>
      </c>
      <c r="H102" s="72"/>
      <c r="I102" s="71">
        <v>0.33333333333333331</v>
      </c>
      <c r="J102" s="71">
        <v>0.33333333333333331</v>
      </c>
      <c r="K102" s="71"/>
      <c r="L102" s="71"/>
      <c r="M102" s="71"/>
      <c r="N102" s="71"/>
      <c r="O102" s="69" t="s">
        <v>275</v>
      </c>
      <c r="P102" s="69"/>
      <c r="Q102" s="14">
        <v>25</v>
      </c>
      <c r="R102" s="14">
        <v>5</v>
      </c>
      <c r="S102" s="14"/>
      <c r="T102" s="73"/>
      <c r="U102" s="14"/>
      <c r="V102" s="14"/>
      <c r="W102" s="14"/>
      <c r="X102" s="69"/>
      <c r="Y102" s="60">
        <f ca="1">Table24[[#This Row],[End Date]]+2-TODAY()</f>
        <v>-219</v>
      </c>
      <c r="Z102" s="14">
        <f>IF(ISBLANK(Table24[[#This Row],[Roster Received By]]),1,0)</f>
        <v>1</v>
      </c>
      <c r="AA102" s="14">
        <f ca="1">IF(Table24[[#This Row],[Start Date]]&gt;TODAY(),1,)</f>
        <v>0</v>
      </c>
    </row>
    <row r="103" spans="1:27" s="76" customFormat="1" ht="14.25" customHeight="1" x14ac:dyDescent="0.25">
      <c r="A103" s="52"/>
      <c r="B103" s="69" t="s">
        <v>48</v>
      </c>
      <c r="C103" s="70" t="s">
        <v>50</v>
      </c>
      <c r="D103" s="70" t="s">
        <v>51</v>
      </c>
      <c r="E103" s="69" t="s">
        <v>276</v>
      </c>
      <c r="F103" s="72">
        <v>45754</v>
      </c>
      <c r="G103" s="72">
        <v>45758</v>
      </c>
      <c r="H103" s="72"/>
      <c r="I103" s="71">
        <v>0.33333333333333331</v>
      </c>
      <c r="J103" s="71"/>
      <c r="K103" s="71"/>
      <c r="L103" s="71"/>
      <c r="M103" s="71"/>
      <c r="N103" s="71"/>
      <c r="O103" s="69" t="s">
        <v>275</v>
      </c>
      <c r="P103" s="69"/>
      <c r="Q103" s="14">
        <v>25</v>
      </c>
      <c r="R103" s="14">
        <v>5</v>
      </c>
      <c r="S103" s="14"/>
      <c r="T103" s="73"/>
      <c r="U103" s="14"/>
      <c r="V103" s="14"/>
      <c r="W103" s="14"/>
      <c r="X103" s="69"/>
      <c r="Y103" s="60">
        <f ca="1">Table24[[#This Row],[End Date]]+2-TODAY()</f>
        <v>-247</v>
      </c>
      <c r="Z103" s="14">
        <f>IF(ISBLANK(Table24[[#This Row],[Roster Received By]]),1,0)</f>
        <v>1</v>
      </c>
      <c r="AA103" s="14">
        <f ca="1">IF(Table24[[#This Row],[Start Date]]&gt;TODAY(),1,)</f>
        <v>0</v>
      </c>
    </row>
    <row r="104" spans="1:27" s="76" customFormat="1" ht="16.5" customHeight="1" x14ac:dyDescent="0.25">
      <c r="A104" s="52"/>
      <c r="B104" s="69" t="s">
        <v>48</v>
      </c>
      <c r="C104" s="70" t="s">
        <v>50</v>
      </c>
      <c r="D104" s="70" t="s">
        <v>51</v>
      </c>
      <c r="E104" s="69" t="s">
        <v>276</v>
      </c>
      <c r="F104" s="72">
        <v>45761</v>
      </c>
      <c r="G104" s="72">
        <v>45765</v>
      </c>
      <c r="H104" s="72"/>
      <c r="I104" s="71">
        <v>0.33333333333333331</v>
      </c>
      <c r="J104" s="71"/>
      <c r="K104" s="71"/>
      <c r="L104" s="71"/>
      <c r="M104" s="71"/>
      <c r="N104" s="71"/>
      <c r="O104" s="69" t="s">
        <v>275</v>
      </c>
      <c r="P104" s="69"/>
      <c r="Q104" s="14">
        <v>25</v>
      </c>
      <c r="R104" s="14">
        <v>5</v>
      </c>
      <c r="S104" s="14"/>
      <c r="T104" s="73"/>
      <c r="U104" s="14"/>
      <c r="V104" s="14"/>
      <c r="W104" s="77"/>
      <c r="X104" s="69"/>
      <c r="Y104" s="60">
        <f ca="1">Table24[[#This Row],[End Date]]+2-TODAY()</f>
        <v>-240</v>
      </c>
      <c r="Z104" s="14">
        <f>IF(ISBLANK(Table24[[#This Row],[Roster Received By]]),1,0)</f>
        <v>1</v>
      </c>
      <c r="AA104" s="14">
        <f ca="1">IF(Table24[[#This Row],[Start Date]]&gt;TODAY(),1,)</f>
        <v>0</v>
      </c>
    </row>
    <row r="105" spans="1:27" s="76" customFormat="1" ht="14.25" customHeight="1" x14ac:dyDescent="0.25">
      <c r="A105" s="52"/>
      <c r="B105" s="69" t="s">
        <v>48</v>
      </c>
      <c r="C105" s="70" t="s">
        <v>50</v>
      </c>
      <c r="D105" s="70" t="s">
        <v>51</v>
      </c>
      <c r="E105" s="69" t="s">
        <v>258</v>
      </c>
      <c r="F105" s="72">
        <v>45628</v>
      </c>
      <c r="G105" s="72">
        <v>45632</v>
      </c>
      <c r="H105" s="75"/>
      <c r="I105" s="71">
        <v>0.33333333333333331</v>
      </c>
      <c r="J105" s="72"/>
      <c r="K105" s="72"/>
      <c r="L105" s="72"/>
      <c r="M105" s="72"/>
      <c r="N105" s="72"/>
      <c r="O105" s="69" t="s">
        <v>275</v>
      </c>
      <c r="P105" s="69"/>
      <c r="Q105" s="14">
        <v>25</v>
      </c>
      <c r="R105" s="14">
        <v>5</v>
      </c>
      <c r="S105" s="14"/>
      <c r="T105" s="73"/>
      <c r="U105" s="14"/>
      <c r="V105" s="14"/>
      <c r="W105" s="14"/>
      <c r="X105" s="69"/>
      <c r="Y105" s="60">
        <f ca="1">Table24[[#This Row],[End Date]]+2-TODAY()</f>
        <v>-373</v>
      </c>
      <c r="Z105" s="14">
        <f>IF(ISBLANK(Table24[[#This Row],[Roster Received By]]),1,0)</f>
        <v>1</v>
      </c>
      <c r="AA105" s="14">
        <f ca="1">IF(Table24[[#This Row],[Start Date]]&gt;TODAY(),1,)</f>
        <v>0</v>
      </c>
    </row>
    <row r="106" spans="1:27" s="76" customFormat="1" ht="14.25" customHeight="1" x14ac:dyDescent="0.25">
      <c r="A106" s="52"/>
      <c r="B106" s="69" t="s">
        <v>48</v>
      </c>
      <c r="C106" s="70" t="s">
        <v>50</v>
      </c>
      <c r="D106" s="70" t="s">
        <v>51</v>
      </c>
      <c r="E106" s="69" t="s">
        <v>258</v>
      </c>
      <c r="F106" s="72">
        <v>45635</v>
      </c>
      <c r="G106" s="72">
        <v>45639</v>
      </c>
      <c r="H106" s="75"/>
      <c r="I106" s="71">
        <v>0.33333333333333331</v>
      </c>
      <c r="J106" s="75"/>
      <c r="K106" s="75"/>
      <c r="L106" s="75"/>
      <c r="M106" s="75"/>
      <c r="N106" s="72"/>
      <c r="O106" s="69" t="s">
        <v>275</v>
      </c>
      <c r="P106" s="69"/>
      <c r="Q106" s="14">
        <v>25</v>
      </c>
      <c r="R106" s="14">
        <v>5</v>
      </c>
      <c r="S106" s="14"/>
      <c r="T106" s="73"/>
      <c r="U106" s="14"/>
      <c r="V106" s="14"/>
      <c r="W106" s="14"/>
      <c r="X106" s="69"/>
      <c r="Y106" s="60">
        <f ca="1">Table24[[#This Row],[End Date]]+2-TODAY()</f>
        <v>-366</v>
      </c>
      <c r="Z106" s="14">
        <f>IF(ISBLANK(Table24[[#This Row],[Roster Received By]]),1,0)</f>
        <v>1</v>
      </c>
      <c r="AA106" s="14">
        <f ca="1">IF(Table24[[#This Row],[Start Date]]&gt;TODAY(),1,)</f>
        <v>0</v>
      </c>
    </row>
    <row r="107" spans="1:27" s="106" customFormat="1" ht="14.25" customHeight="1" x14ac:dyDescent="0.25">
      <c r="A107" s="52"/>
      <c r="B107" s="69" t="s">
        <v>48</v>
      </c>
      <c r="C107" s="70" t="s">
        <v>50</v>
      </c>
      <c r="D107" s="70" t="s">
        <v>51</v>
      </c>
      <c r="E107" s="69" t="s">
        <v>274</v>
      </c>
      <c r="F107" s="72">
        <v>45586</v>
      </c>
      <c r="G107" s="72">
        <v>45590</v>
      </c>
      <c r="H107" s="75"/>
      <c r="I107" s="71">
        <v>0.33333333333333331</v>
      </c>
      <c r="J107" s="75"/>
      <c r="K107" s="75"/>
      <c r="L107" s="75"/>
      <c r="M107" s="75"/>
      <c r="N107" s="72"/>
      <c r="O107" s="69" t="s">
        <v>275</v>
      </c>
      <c r="P107" s="69"/>
      <c r="Q107" s="14">
        <v>25</v>
      </c>
      <c r="R107" s="14">
        <v>5</v>
      </c>
      <c r="S107" s="14"/>
      <c r="T107" s="73"/>
      <c r="U107" s="14"/>
      <c r="V107" s="14"/>
      <c r="W107" s="14"/>
      <c r="X107" s="69"/>
      <c r="Y107" s="60">
        <f ca="1">Table24[[#This Row],[End Date]]+2-TODAY()</f>
        <v>-415</v>
      </c>
      <c r="Z107" s="14">
        <f>IF(ISBLANK(Table24[[#This Row],[Roster Received By]]),1,0)</f>
        <v>1</v>
      </c>
      <c r="AA107" s="14">
        <f ca="1">IF(Table24[[#This Row],[Start Date]]&gt;TODAY(),1,)</f>
        <v>0</v>
      </c>
    </row>
    <row r="108" spans="1:27" s="76" customFormat="1" ht="14.25" customHeight="1" x14ac:dyDescent="0.25">
      <c r="A108" s="52"/>
      <c r="B108" s="69" t="s">
        <v>48</v>
      </c>
      <c r="C108" s="70" t="s">
        <v>50</v>
      </c>
      <c r="D108" s="70" t="s">
        <v>51</v>
      </c>
      <c r="E108" s="69" t="s">
        <v>274</v>
      </c>
      <c r="F108" s="72">
        <v>45593</v>
      </c>
      <c r="G108" s="72">
        <v>45597</v>
      </c>
      <c r="H108" s="72"/>
      <c r="I108" s="71">
        <v>0.33333333333333331</v>
      </c>
      <c r="J108" s="71"/>
      <c r="K108" s="71"/>
      <c r="L108" s="71"/>
      <c r="M108" s="71"/>
      <c r="N108" s="71"/>
      <c r="O108" s="69" t="s">
        <v>275</v>
      </c>
      <c r="P108" s="69"/>
      <c r="Q108" s="14">
        <v>25</v>
      </c>
      <c r="R108" s="14">
        <v>5</v>
      </c>
      <c r="S108" s="14"/>
      <c r="T108" s="73"/>
      <c r="U108" s="14"/>
      <c r="V108" s="14"/>
      <c r="W108" s="14"/>
      <c r="X108" s="69"/>
      <c r="Y108" s="60">
        <f ca="1">Table24[[#This Row],[End Date]]+2-TODAY()</f>
        <v>-408</v>
      </c>
      <c r="Z108" s="14">
        <f>IF(ISBLANK(Table24[[#This Row],[Roster Received By]]),1,0)</f>
        <v>1</v>
      </c>
      <c r="AA108" s="14">
        <f ca="1">IF(Table24[[#This Row],[Start Date]]&gt;TODAY(),1,)</f>
        <v>0</v>
      </c>
    </row>
    <row r="109" spans="1:27" s="76" customFormat="1" ht="14.25" customHeight="1" x14ac:dyDescent="0.25">
      <c r="A109" s="52"/>
      <c r="B109" s="69" t="s">
        <v>48</v>
      </c>
      <c r="C109" s="70" t="s">
        <v>50</v>
      </c>
      <c r="D109" s="70" t="s">
        <v>51</v>
      </c>
      <c r="E109" s="69" t="s">
        <v>274</v>
      </c>
      <c r="F109" s="72">
        <v>45663</v>
      </c>
      <c r="G109" s="72">
        <v>45667</v>
      </c>
      <c r="H109" s="72"/>
      <c r="I109" s="71">
        <v>0.33333333333333331</v>
      </c>
      <c r="J109" s="71"/>
      <c r="K109" s="71"/>
      <c r="L109" s="71"/>
      <c r="M109" s="71"/>
      <c r="N109" s="71"/>
      <c r="O109" s="69" t="s">
        <v>275</v>
      </c>
      <c r="P109" s="69"/>
      <c r="Q109" s="14">
        <v>25</v>
      </c>
      <c r="R109" s="14">
        <v>5</v>
      </c>
      <c r="S109" s="14"/>
      <c r="T109" s="73"/>
      <c r="U109" s="14"/>
      <c r="V109" s="14"/>
      <c r="W109" s="14"/>
      <c r="X109" s="69"/>
      <c r="Y109" s="60">
        <f ca="1">Table24[[#This Row],[End Date]]+2-TODAY()</f>
        <v>-338</v>
      </c>
      <c r="Z109" s="14">
        <f>IF(ISBLANK(Table24[[#This Row],[Roster Received By]]),1,0)</f>
        <v>1</v>
      </c>
      <c r="AA109" s="14">
        <f ca="1">IF(Table24[[#This Row],[Start Date]]&gt;TODAY(),1,)</f>
        <v>0</v>
      </c>
    </row>
    <row r="110" spans="1:27" s="76" customFormat="1" ht="14.25" customHeight="1" x14ac:dyDescent="0.25">
      <c r="A110" s="52"/>
      <c r="B110" s="69" t="s">
        <v>48</v>
      </c>
      <c r="C110" s="70" t="s">
        <v>50</v>
      </c>
      <c r="D110" s="70" t="s">
        <v>51</v>
      </c>
      <c r="E110" s="69" t="s">
        <v>274</v>
      </c>
      <c r="F110" s="56">
        <v>45670</v>
      </c>
      <c r="G110" s="56">
        <v>45674</v>
      </c>
      <c r="H110" s="71"/>
      <c r="I110" s="71">
        <v>0.33333333333333331</v>
      </c>
      <c r="J110" s="72"/>
      <c r="K110" s="72"/>
      <c r="L110" s="72"/>
      <c r="M110" s="72"/>
      <c r="N110" s="72"/>
      <c r="O110" s="69" t="s">
        <v>275</v>
      </c>
      <c r="P110" s="69"/>
      <c r="Q110" s="14">
        <v>25</v>
      </c>
      <c r="R110" s="14">
        <v>5</v>
      </c>
      <c r="S110" s="14"/>
      <c r="T110" s="73"/>
      <c r="U110" s="14"/>
      <c r="V110" s="14"/>
      <c r="W110" s="14"/>
      <c r="X110" s="69"/>
      <c r="Y110" s="60">
        <f ca="1">Table24[[#This Row],[End Date]]+2-TODAY()</f>
        <v>-331</v>
      </c>
      <c r="Z110" s="14">
        <f>IF(ISBLANK(Table24[[#This Row],[Roster Received By]]),1,0)</f>
        <v>1</v>
      </c>
      <c r="AA110" s="14">
        <f ca="1">IF(Table24[[#This Row],[Start Date]]&gt;TODAY(),1,)</f>
        <v>0</v>
      </c>
    </row>
    <row r="111" spans="1:27" s="76" customFormat="1" ht="14.25" customHeight="1" x14ac:dyDescent="0.25">
      <c r="A111" s="52"/>
      <c r="B111" s="69" t="s">
        <v>48</v>
      </c>
      <c r="C111" s="70" t="s">
        <v>50</v>
      </c>
      <c r="D111" s="70" t="s">
        <v>51</v>
      </c>
      <c r="E111" s="69" t="s">
        <v>274</v>
      </c>
      <c r="F111" s="72">
        <v>45754</v>
      </c>
      <c r="G111" s="72">
        <v>45758</v>
      </c>
      <c r="H111" s="72"/>
      <c r="I111" s="71">
        <v>0.33333333333333331</v>
      </c>
      <c r="J111" s="71"/>
      <c r="K111" s="71"/>
      <c r="L111" s="71"/>
      <c r="M111" s="71"/>
      <c r="N111" s="71"/>
      <c r="O111" s="69" t="s">
        <v>275</v>
      </c>
      <c r="P111" s="69"/>
      <c r="Q111" s="14">
        <v>25</v>
      </c>
      <c r="R111" s="14">
        <v>5</v>
      </c>
      <c r="S111" s="14"/>
      <c r="T111" s="73"/>
      <c r="U111" s="14"/>
      <c r="V111" s="14"/>
      <c r="W111" s="70"/>
      <c r="X111" s="69"/>
      <c r="Y111" s="60">
        <f ca="1">Table24[[#This Row],[End Date]]+2-TODAY()</f>
        <v>-247</v>
      </c>
      <c r="Z111" s="14">
        <f>IF(ISBLANK(Table24[[#This Row],[Roster Received By]]),1,0)</f>
        <v>1</v>
      </c>
      <c r="AA111" s="14">
        <f ca="1">IF(Table24[[#This Row],[Start Date]]&gt;TODAY(),1,)</f>
        <v>0</v>
      </c>
    </row>
    <row r="112" spans="1:27" s="76" customFormat="1" ht="14.25" customHeight="1" x14ac:dyDescent="0.25">
      <c r="A112" s="52"/>
      <c r="B112" s="69" t="s">
        <v>48</v>
      </c>
      <c r="C112" s="70" t="s">
        <v>50</v>
      </c>
      <c r="D112" s="70" t="s">
        <v>51</v>
      </c>
      <c r="E112" s="69" t="s">
        <v>274</v>
      </c>
      <c r="F112" s="72">
        <v>45761</v>
      </c>
      <c r="G112" s="72">
        <v>45765</v>
      </c>
      <c r="H112" s="72"/>
      <c r="I112" s="71">
        <v>0.33333333333333331</v>
      </c>
      <c r="J112" s="71"/>
      <c r="K112" s="71"/>
      <c r="L112" s="71"/>
      <c r="M112" s="71"/>
      <c r="N112" s="71"/>
      <c r="O112" s="69" t="s">
        <v>275</v>
      </c>
      <c r="P112" s="69"/>
      <c r="Q112" s="14">
        <v>25</v>
      </c>
      <c r="R112" s="14">
        <v>5</v>
      </c>
      <c r="S112" s="14"/>
      <c r="T112" s="73"/>
      <c r="U112" s="14"/>
      <c r="V112" s="14"/>
      <c r="W112" s="14"/>
      <c r="X112" s="69"/>
      <c r="Y112" s="60">
        <f ca="1">Table24[[#This Row],[End Date]]+2-TODAY()</f>
        <v>-240</v>
      </c>
      <c r="Z112" s="14">
        <f>IF(ISBLANK(Table24[[#This Row],[Roster Received By]]),1,0)</f>
        <v>1</v>
      </c>
      <c r="AA112" s="14">
        <f ca="1">IF(Table24[[#This Row],[Start Date]]&gt;TODAY(),1,)</f>
        <v>0</v>
      </c>
    </row>
    <row r="113" spans="1:27" s="76" customFormat="1" ht="14.25" customHeight="1" x14ac:dyDescent="0.25">
      <c r="A113" s="52"/>
      <c r="B113" s="69" t="s">
        <v>48</v>
      </c>
      <c r="C113" s="70" t="s">
        <v>50</v>
      </c>
      <c r="D113" s="70" t="s">
        <v>51</v>
      </c>
      <c r="E113" s="69" t="s">
        <v>274</v>
      </c>
      <c r="F113" s="72">
        <v>45845</v>
      </c>
      <c r="G113" s="72">
        <v>45849</v>
      </c>
      <c r="H113" s="72"/>
      <c r="I113" s="71">
        <v>0.33333333333333331</v>
      </c>
      <c r="J113" s="71"/>
      <c r="K113" s="71"/>
      <c r="L113" s="71"/>
      <c r="M113" s="71"/>
      <c r="N113" s="71"/>
      <c r="O113" s="69" t="s">
        <v>275</v>
      </c>
      <c r="P113" s="69"/>
      <c r="Q113" s="14">
        <v>25</v>
      </c>
      <c r="R113" s="14">
        <v>5</v>
      </c>
      <c r="S113" s="14"/>
      <c r="T113" s="73"/>
      <c r="U113" s="14"/>
      <c r="V113" s="14"/>
      <c r="W113" s="74"/>
      <c r="X113" s="69"/>
      <c r="Y113" s="60">
        <f ca="1">Table24[[#This Row],[End Date]]+2-TODAY()</f>
        <v>-156</v>
      </c>
      <c r="Z113" s="14">
        <f>IF(ISBLANK(Table24[[#This Row],[Roster Received By]]),1,0)</f>
        <v>1</v>
      </c>
      <c r="AA113" s="14">
        <f ca="1">IF(Table24[[#This Row],[Start Date]]&gt;TODAY(),1,)</f>
        <v>0</v>
      </c>
    </row>
    <row r="114" spans="1:27" s="76" customFormat="1" ht="14.25" customHeight="1" x14ac:dyDescent="0.25">
      <c r="A114" s="52"/>
      <c r="B114" s="69" t="s">
        <v>48</v>
      </c>
      <c r="C114" s="70" t="s">
        <v>50</v>
      </c>
      <c r="D114" s="70" t="s">
        <v>51</v>
      </c>
      <c r="E114" s="69" t="s">
        <v>274</v>
      </c>
      <c r="F114" s="56">
        <v>45852</v>
      </c>
      <c r="G114" s="56">
        <v>45856</v>
      </c>
      <c r="H114" s="78"/>
      <c r="I114" s="71">
        <v>0.33333333333333331</v>
      </c>
      <c r="J114" s="72"/>
      <c r="K114" s="72"/>
      <c r="L114" s="72"/>
      <c r="M114" s="72"/>
      <c r="N114" s="72"/>
      <c r="O114" s="69" t="s">
        <v>275</v>
      </c>
      <c r="P114" s="69"/>
      <c r="Q114" s="14">
        <v>25</v>
      </c>
      <c r="R114" s="14">
        <v>5</v>
      </c>
      <c r="S114" s="14"/>
      <c r="T114" s="73"/>
      <c r="U114" s="14"/>
      <c r="V114" s="14"/>
      <c r="W114" s="14"/>
      <c r="X114" s="69"/>
      <c r="Y114" s="60">
        <f ca="1">Table24[[#This Row],[End Date]]+2-TODAY()</f>
        <v>-149</v>
      </c>
      <c r="Z114" s="14">
        <f>IF(ISBLANK(Table24[[#This Row],[Roster Received By]]),1,0)</f>
        <v>1</v>
      </c>
      <c r="AA114" s="14">
        <f ca="1">IF(Table24[[#This Row],[Start Date]]&gt;TODAY(),1,)</f>
        <v>0</v>
      </c>
    </row>
    <row r="115" spans="1:27" s="76" customFormat="1" ht="14.25" customHeight="1" x14ac:dyDescent="0.25">
      <c r="A115" s="52"/>
      <c r="B115" s="69" t="s">
        <v>48</v>
      </c>
      <c r="C115" s="70" t="s">
        <v>50</v>
      </c>
      <c r="D115" s="70" t="s">
        <v>51</v>
      </c>
      <c r="E115" s="69" t="s">
        <v>274</v>
      </c>
      <c r="F115" s="56">
        <v>45873</v>
      </c>
      <c r="G115" s="72">
        <v>45877</v>
      </c>
      <c r="H115" s="72"/>
      <c r="I115" s="71">
        <v>0.33333333333333331</v>
      </c>
      <c r="J115" s="71"/>
      <c r="K115" s="71"/>
      <c r="L115" s="71"/>
      <c r="M115" s="71"/>
      <c r="N115" s="71"/>
      <c r="O115" s="69" t="s">
        <v>275</v>
      </c>
      <c r="P115" s="69"/>
      <c r="Q115" s="14">
        <v>25</v>
      </c>
      <c r="R115" s="14">
        <v>5</v>
      </c>
      <c r="S115" s="14"/>
      <c r="T115" s="73"/>
      <c r="U115" s="14"/>
      <c r="V115" s="14"/>
      <c r="W115" s="14"/>
      <c r="X115" s="69"/>
      <c r="Y115" s="60">
        <f ca="1">Table24[[#This Row],[End Date]]+2-TODAY()</f>
        <v>-128</v>
      </c>
      <c r="Z115" s="14">
        <f>IF(ISBLANK(Table24[[#This Row],[Roster Received By]]),1,0)</f>
        <v>1</v>
      </c>
      <c r="AA115" s="14">
        <f ca="1">IF(Table24[[#This Row],[Start Date]]&gt;TODAY(),1,)</f>
        <v>0</v>
      </c>
    </row>
    <row r="116" spans="1:27" s="105" customFormat="1" ht="14.25" customHeight="1" x14ac:dyDescent="0.25">
      <c r="A116" s="52"/>
      <c r="B116" s="69" t="s">
        <v>48</v>
      </c>
      <c r="C116" s="70" t="s">
        <v>50</v>
      </c>
      <c r="D116" s="70" t="s">
        <v>51</v>
      </c>
      <c r="E116" s="69" t="s">
        <v>274</v>
      </c>
      <c r="F116" s="72">
        <v>45887</v>
      </c>
      <c r="G116" s="72">
        <v>45891</v>
      </c>
      <c r="H116" s="75"/>
      <c r="I116" s="71">
        <v>0.33333333333333331</v>
      </c>
      <c r="J116" s="72"/>
      <c r="K116" s="72"/>
      <c r="L116" s="72"/>
      <c r="M116" s="72"/>
      <c r="N116" s="72"/>
      <c r="O116" s="69" t="s">
        <v>275</v>
      </c>
      <c r="P116" s="69"/>
      <c r="Q116" s="14">
        <v>25</v>
      </c>
      <c r="R116" s="14">
        <v>5</v>
      </c>
      <c r="S116" s="14"/>
      <c r="T116" s="73"/>
      <c r="U116" s="14"/>
      <c r="V116" s="14"/>
      <c r="W116" s="14"/>
      <c r="X116" s="69"/>
      <c r="Y116" s="60">
        <f ca="1">Table24[[#This Row],[End Date]]+2-TODAY()</f>
        <v>-114</v>
      </c>
      <c r="Z116" s="14">
        <f>IF(ISBLANK(Table24[[#This Row],[Roster Received By]]),1,0)</f>
        <v>1</v>
      </c>
      <c r="AA116" s="14">
        <f ca="1">IF(Table24[[#This Row],[Start Date]]&gt;TODAY(),1,)</f>
        <v>0</v>
      </c>
    </row>
    <row r="117" spans="1:27" s="76" customFormat="1" ht="14.25" customHeight="1" x14ac:dyDescent="0.25">
      <c r="A117" s="69"/>
      <c r="B117" s="69" t="s">
        <v>48</v>
      </c>
      <c r="C117" s="70" t="s">
        <v>50</v>
      </c>
      <c r="D117" s="70" t="s">
        <v>51</v>
      </c>
      <c r="E117" s="69" t="s">
        <v>263</v>
      </c>
      <c r="F117" s="72">
        <v>45887</v>
      </c>
      <c r="G117" s="72">
        <v>45891</v>
      </c>
      <c r="H117" s="72"/>
      <c r="I117" s="71"/>
      <c r="J117" s="71"/>
      <c r="K117" s="71"/>
      <c r="L117" s="71"/>
      <c r="M117" s="71">
        <v>0.33333333333333331</v>
      </c>
      <c r="N117" s="71"/>
      <c r="O117" s="69" t="s">
        <v>275</v>
      </c>
      <c r="P117" s="69"/>
      <c r="Q117" s="14">
        <v>25</v>
      </c>
      <c r="R117" s="14">
        <v>5</v>
      </c>
      <c r="S117" s="14"/>
      <c r="T117" s="73"/>
      <c r="U117" s="14"/>
      <c r="V117" s="14"/>
      <c r="W117" s="14"/>
      <c r="X117" s="69"/>
      <c r="Y117" s="60">
        <f ca="1">Table24[[#This Row],[End Date]]+2-TODAY()</f>
        <v>-114</v>
      </c>
      <c r="Z117" s="14">
        <f>IF(ISBLANK(Table24[[#This Row],[Roster Received By]]),1,0)</f>
        <v>1</v>
      </c>
      <c r="AA117" s="14">
        <f ca="1">IF(Table24[[#This Row],[Start Date]]&gt;TODAY(),1,)</f>
        <v>0</v>
      </c>
    </row>
    <row r="118" spans="1:27" s="76" customFormat="1" ht="14.25" customHeight="1" x14ac:dyDescent="0.25">
      <c r="A118" s="52"/>
      <c r="B118" s="69" t="s">
        <v>48</v>
      </c>
      <c r="C118" s="70" t="s">
        <v>50</v>
      </c>
      <c r="D118" s="70" t="s">
        <v>51</v>
      </c>
      <c r="E118" s="69" t="s">
        <v>264</v>
      </c>
      <c r="F118" s="72">
        <v>45586</v>
      </c>
      <c r="G118" s="72">
        <v>45590</v>
      </c>
      <c r="H118" s="75"/>
      <c r="I118" s="75"/>
      <c r="J118" s="71">
        <v>0.33333333333333331</v>
      </c>
      <c r="K118" s="75"/>
      <c r="L118" s="75"/>
      <c r="M118" s="75"/>
      <c r="N118" s="72"/>
      <c r="O118" s="69" t="s">
        <v>275</v>
      </c>
      <c r="P118" s="69"/>
      <c r="Q118" s="14">
        <v>25</v>
      </c>
      <c r="R118" s="14">
        <v>5</v>
      </c>
      <c r="S118" s="14"/>
      <c r="T118" s="73"/>
      <c r="U118" s="14"/>
      <c r="V118" s="14"/>
      <c r="W118" s="14"/>
      <c r="X118" s="69"/>
      <c r="Y118" s="60">
        <f ca="1">Table24[[#This Row],[End Date]]+2-TODAY()</f>
        <v>-415</v>
      </c>
      <c r="Z118" s="14">
        <f>IF(ISBLANK(Table24[[#This Row],[Roster Received By]]),1,0)</f>
        <v>1</v>
      </c>
      <c r="AA118" s="14">
        <f ca="1">IF(Table24[[#This Row],[Start Date]]&gt;TODAY(),1,)</f>
        <v>0</v>
      </c>
    </row>
    <row r="119" spans="1:27" s="76" customFormat="1" ht="14.25" customHeight="1" x14ac:dyDescent="0.25">
      <c r="A119" s="52"/>
      <c r="B119" s="69" t="s">
        <v>48</v>
      </c>
      <c r="C119" s="70" t="s">
        <v>50</v>
      </c>
      <c r="D119" s="70" t="s">
        <v>51</v>
      </c>
      <c r="E119" s="69" t="s">
        <v>264</v>
      </c>
      <c r="F119" s="72">
        <v>45593</v>
      </c>
      <c r="G119" s="72">
        <v>45597</v>
      </c>
      <c r="H119" s="71"/>
      <c r="I119" s="71"/>
      <c r="J119" s="71">
        <v>0.33333333333333331</v>
      </c>
      <c r="K119" s="72"/>
      <c r="L119" s="72"/>
      <c r="M119" s="72"/>
      <c r="N119" s="72"/>
      <c r="O119" s="69" t="s">
        <v>275</v>
      </c>
      <c r="P119" s="69"/>
      <c r="Q119" s="14">
        <v>25</v>
      </c>
      <c r="R119" s="14">
        <v>5</v>
      </c>
      <c r="S119" s="14"/>
      <c r="T119" s="73"/>
      <c r="U119" s="14"/>
      <c r="V119" s="14"/>
      <c r="W119" s="14"/>
      <c r="X119" s="69"/>
      <c r="Y119" s="60">
        <f ca="1">Table24[[#This Row],[End Date]]+2-TODAY()</f>
        <v>-408</v>
      </c>
      <c r="Z119" s="14">
        <f>IF(ISBLANK(Table24[[#This Row],[Roster Received By]]),1,0)</f>
        <v>1</v>
      </c>
      <c r="AA119" s="14">
        <f ca="1">IF(Table24[[#This Row],[Start Date]]&gt;TODAY(),1,)</f>
        <v>0</v>
      </c>
    </row>
    <row r="120" spans="1:27" s="76" customFormat="1" ht="14.25" customHeight="1" x14ac:dyDescent="0.25">
      <c r="A120" s="52"/>
      <c r="B120" s="69" t="s">
        <v>48</v>
      </c>
      <c r="C120" s="70" t="s">
        <v>50</v>
      </c>
      <c r="D120" s="70" t="s">
        <v>51</v>
      </c>
      <c r="E120" s="69" t="s">
        <v>264</v>
      </c>
      <c r="F120" s="56">
        <v>45642</v>
      </c>
      <c r="G120" s="72">
        <v>45646</v>
      </c>
      <c r="H120" s="72"/>
      <c r="I120" s="71"/>
      <c r="J120" s="71">
        <v>0.33333333333333331</v>
      </c>
      <c r="K120" s="71"/>
      <c r="L120" s="71"/>
      <c r="M120" s="71"/>
      <c r="N120" s="71"/>
      <c r="O120" s="69" t="s">
        <v>275</v>
      </c>
      <c r="P120" s="69"/>
      <c r="Q120" s="14">
        <v>25</v>
      </c>
      <c r="R120" s="14">
        <v>5</v>
      </c>
      <c r="S120" s="14"/>
      <c r="T120" s="73"/>
      <c r="U120" s="14"/>
      <c r="V120" s="14"/>
      <c r="W120" s="14"/>
      <c r="X120" s="69"/>
      <c r="Y120" s="60">
        <f ca="1">Table24[[#This Row],[End Date]]+2-TODAY()</f>
        <v>-359</v>
      </c>
      <c r="Z120" s="14">
        <f>IF(ISBLANK(Table24[[#This Row],[Roster Received By]]),1,0)</f>
        <v>1</v>
      </c>
      <c r="AA120" s="14">
        <f ca="1">IF(Table24[[#This Row],[Start Date]]&gt;TODAY(),1,)</f>
        <v>0</v>
      </c>
    </row>
    <row r="121" spans="1:27" s="76" customFormat="1" ht="14.25" customHeight="1" x14ac:dyDescent="0.25">
      <c r="A121" s="52"/>
      <c r="B121" s="69" t="s">
        <v>48</v>
      </c>
      <c r="C121" s="70" t="s">
        <v>50</v>
      </c>
      <c r="D121" s="70" t="s">
        <v>51</v>
      </c>
      <c r="E121" s="69" t="s">
        <v>264</v>
      </c>
      <c r="F121" s="72">
        <v>45684</v>
      </c>
      <c r="G121" s="72">
        <v>45688</v>
      </c>
      <c r="H121" s="75"/>
      <c r="I121" s="75"/>
      <c r="J121" s="71">
        <v>0.33333333333333331</v>
      </c>
      <c r="K121" s="72"/>
      <c r="L121" s="72"/>
      <c r="M121" s="72"/>
      <c r="N121" s="72"/>
      <c r="O121" s="69" t="s">
        <v>275</v>
      </c>
      <c r="P121" s="69"/>
      <c r="Q121" s="14">
        <v>25</v>
      </c>
      <c r="R121" s="14">
        <v>5</v>
      </c>
      <c r="S121" s="14"/>
      <c r="T121" s="73"/>
      <c r="U121" s="14"/>
      <c r="V121" s="14"/>
      <c r="W121" s="14"/>
      <c r="X121" s="69"/>
      <c r="Y121" s="60">
        <f ca="1">Table24[[#This Row],[End Date]]+2-TODAY()</f>
        <v>-317</v>
      </c>
      <c r="Z121" s="14">
        <f>IF(ISBLANK(Table24[[#This Row],[Roster Received By]]),1,0)</f>
        <v>1</v>
      </c>
      <c r="AA121" s="14">
        <f ca="1">IF(Table24[[#This Row],[Start Date]]&gt;TODAY(),1,)</f>
        <v>0</v>
      </c>
    </row>
    <row r="122" spans="1:27" s="76" customFormat="1" ht="14.25" customHeight="1" x14ac:dyDescent="0.25">
      <c r="A122" s="52"/>
      <c r="B122" s="69" t="s">
        <v>48</v>
      </c>
      <c r="C122" s="70" t="s">
        <v>50</v>
      </c>
      <c r="D122" s="70" t="s">
        <v>51</v>
      </c>
      <c r="E122" s="69" t="s">
        <v>264</v>
      </c>
      <c r="F122" s="72">
        <v>45691</v>
      </c>
      <c r="G122" s="72">
        <v>45695</v>
      </c>
      <c r="H122" s="75"/>
      <c r="I122" s="75"/>
      <c r="J122" s="71">
        <v>0.33333333333333331</v>
      </c>
      <c r="K122" s="75"/>
      <c r="L122" s="75"/>
      <c r="M122" s="75"/>
      <c r="N122" s="72"/>
      <c r="O122" s="69" t="s">
        <v>275</v>
      </c>
      <c r="P122" s="69"/>
      <c r="Q122" s="14">
        <v>25</v>
      </c>
      <c r="R122" s="14">
        <v>5</v>
      </c>
      <c r="S122" s="14"/>
      <c r="T122" s="73"/>
      <c r="U122" s="14"/>
      <c r="V122" s="14"/>
      <c r="W122" s="14"/>
      <c r="X122" s="69"/>
      <c r="Y122" s="60">
        <f ca="1">Table24[[#This Row],[End Date]]+2-TODAY()</f>
        <v>-310</v>
      </c>
      <c r="Z122" s="14">
        <f>IF(ISBLANK(Table24[[#This Row],[Roster Received By]]),1,0)</f>
        <v>1</v>
      </c>
      <c r="AA122" s="14">
        <f ca="1">IF(Table24[[#This Row],[Start Date]]&gt;TODAY(),1,)</f>
        <v>0</v>
      </c>
    </row>
    <row r="123" spans="1:27" s="76" customFormat="1" ht="14.25" customHeight="1" x14ac:dyDescent="0.25">
      <c r="A123" s="52"/>
      <c r="B123" s="69" t="s">
        <v>48</v>
      </c>
      <c r="C123" s="70" t="s">
        <v>50</v>
      </c>
      <c r="D123" s="70" t="s">
        <v>51</v>
      </c>
      <c r="E123" s="69" t="s">
        <v>264</v>
      </c>
      <c r="F123" s="56">
        <v>45733</v>
      </c>
      <c r="G123" s="56">
        <v>45737</v>
      </c>
      <c r="H123" s="75"/>
      <c r="I123" s="75"/>
      <c r="J123" s="71">
        <v>0.33333333333333331</v>
      </c>
      <c r="K123" s="72"/>
      <c r="L123" s="72"/>
      <c r="M123" s="72"/>
      <c r="N123" s="72"/>
      <c r="O123" s="69" t="s">
        <v>275</v>
      </c>
      <c r="P123" s="69"/>
      <c r="Q123" s="14">
        <v>25</v>
      </c>
      <c r="R123" s="14">
        <v>5</v>
      </c>
      <c r="S123" s="14"/>
      <c r="T123" s="73"/>
      <c r="U123" s="14"/>
      <c r="V123" s="14"/>
      <c r="W123" s="14"/>
      <c r="X123" s="69"/>
      <c r="Y123" s="60">
        <f ca="1">Table24[[#This Row],[End Date]]+2-TODAY()</f>
        <v>-268</v>
      </c>
      <c r="Z123" s="14">
        <f>IF(ISBLANK(Table24[[#This Row],[Roster Received By]]),1,0)</f>
        <v>1</v>
      </c>
      <c r="AA123" s="14">
        <f ca="1">IF(Table24[[#This Row],[Start Date]]&gt;TODAY(),1,)</f>
        <v>0</v>
      </c>
    </row>
    <row r="124" spans="1:27" s="76" customFormat="1" ht="14.25" customHeight="1" x14ac:dyDescent="0.25">
      <c r="A124" s="52"/>
      <c r="B124" s="69" t="s">
        <v>48</v>
      </c>
      <c r="C124" s="70" t="s">
        <v>50</v>
      </c>
      <c r="D124" s="70" t="s">
        <v>51</v>
      </c>
      <c r="E124" s="69" t="s">
        <v>264</v>
      </c>
      <c r="F124" s="72">
        <v>45740</v>
      </c>
      <c r="G124" s="72">
        <v>45744</v>
      </c>
      <c r="H124" s="72"/>
      <c r="I124" s="71"/>
      <c r="J124" s="71">
        <v>0.33333333333333331</v>
      </c>
      <c r="K124" s="71"/>
      <c r="L124" s="71"/>
      <c r="M124" s="71"/>
      <c r="N124" s="71"/>
      <c r="O124" s="69" t="s">
        <v>275</v>
      </c>
      <c r="P124" s="69"/>
      <c r="Q124" s="14">
        <v>25</v>
      </c>
      <c r="R124" s="14">
        <v>5</v>
      </c>
      <c r="S124" s="14"/>
      <c r="T124" s="73"/>
      <c r="U124" s="14"/>
      <c r="V124" s="14"/>
      <c r="W124" s="14"/>
      <c r="X124" s="69"/>
      <c r="Y124" s="60">
        <f ca="1">Table24[[#This Row],[End Date]]+2-TODAY()</f>
        <v>-261</v>
      </c>
      <c r="Z124" s="14">
        <f>IF(ISBLANK(Table24[[#This Row],[Roster Received By]]),1,0)</f>
        <v>1</v>
      </c>
      <c r="AA124" s="14">
        <f ca="1">IF(Table24[[#This Row],[Start Date]]&gt;TODAY(),1,)</f>
        <v>0</v>
      </c>
    </row>
    <row r="125" spans="1:27" s="76" customFormat="1" ht="14.25" customHeight="1" x14ac:dyDescent="0.25">
      <c r="A125" s="52"/>
      <c r="B125" s="69" t="s">
        <v>48</v>
      </c>
      <c r="C125" s="70" t="s">
        <v>50</v>
      </c>
      <c r="D125" s="70" t="s">
        <v>51</v>
      </c>
      <c r="E125" s="69" t="s">
        <v>264</v>
      </c>
      <c r="F125" s="68">
        <v>45775</v>
      </c>
      <c r="G125" s="68">
        <v>45779</v>
      </c>
      <c r="H125" s="56"/>
      <c r="I125" s="71"/>
      <c r="J125" s="71">
        <v>0.33333333333333331</v>
      </c>
      <c r="K125" s="71"/>
      <c r="L125" s="71"/>
      <c r="M125" s="71"/>
      <c r="N125" s="71"/>
      <c r="O125" s="69" t="s">
        <v>275</v>
      </c>
      <c r="P125" s="69"/>
      <c r="Q125" s="14">
        <v>25</v>
      </c>
      <c r="R125" s="14">
        <v>5</v>
      </c>
      <c r="S125" s="14"/>
      <c r="T125" s="73"/>
      <c r="U125" s="14"/>
      <c r="V125" s="14"/>
      <c r="W125" s="14"/>
      <c r="X125" s="69"/>
      <c r="Y125" s="60">
        <f ca="1">Table24[[#This Row],[End Date]]+2-TODAY()</f>
        <v>-226</v>
      </c>
      <c r="Z125" s="14">
        <f>IF(ISBLANK(Table24[[#This Row],[Roster Received By]]),1,0)</f>
        <v>1</v>
      </c>
      <c r="AA125" s="14">
        <f ca="1">IF(Table24[[#This Row],[Start Date]]&gt;TODAY(),1,)</f>
        <v>0</v>
      </c>
    </row>
    <row r="126" spans="1:27" s="76" customFormat="1" ht="14.25" customHeight="1" x14ac:dyDescent="0.25">
      <c r="A126" s="69"/>
      <c r="B126" s="69" t="s">
        <v>48</v>
      </c>
      <c r="C126" s="70" t="s">
        <v>50</v>
      </c>
      <c r="D126" s="70" t="s">
        <v>51</v>
      </c>
      <c r="E126" s="69" t="s">
        <v>264</v>
      </c>
      <c r="F126" s="72">
        <v>45782</v>
      </c>
      <c r="G126" s="72">
        <v>45786</v>
      </c>
      <c r="H126" s="72"/>
      <c r="I126" s="71"/>
      <c r="J126" s="71">
        <v>0.33333333333333331</v>
      </c>
      <c r="K126" s="71"/>
      <c r="L126" s="71"/>
      <c r="M126" s="71"/>
      <c r="N126" s="71"/>
      <c r="O126" s="69" t="s">
        <v>275</v>
      </c>
      <c r="P126" s="69"/>
      <c r="Q126" s="14">
        <v>25</v>
      </c>
      <c r="R126" s="14">
        <v>5</v>
      </c>
      <c r="S126" s="14"/>
      <c r="T126" s="73"/>
      <c r="U126" s="14"/>
      <c r="V126" s="14"/>
      <c r="W126" s="14"/>
      <c r="X126" s="69"/>
      <c r="Y126" s="60">
        <f ca="1">Table24[[#This Row],[End Date]]+2-TODAY()</f>
        <v>-219</v>
      </c>
      <c r="Z126" s="14">
        <f>IF(ISBLANK(Table24[[#This Row],[Roster Received By]]),1,0)</f>
        <v>1</v>
      </c>
      <c r="AA126" s="14">
        <f ca="1">IF(Table24[[#This Row],[Start Date]]&gt;TODAY(),1,)</f>
        <v>0</v>
      </c>
    </row>
    <row r="127" spans="1:27" s="76" customFormat="1" ht="14.25" customHeight="1" x14ac:dyDescent="0.25">
      <c r="A127" s="52"/>
      <c r="B127" s="69" t="s">
        <v>48</v>
      </c>
      <c r="C127" s="70" t="s">
        <v>50</v>
      </c>
      <c r="D127" s="70" t="s">
        <v>51</v>
      </c>
      <c r="E127" s="111" t="s">
        <v>254</v>
      </c>
      <c r="F127" s="56">
        <v>45873</v>
      </c>
      <c r="G127" s="72">
        <v>45877</v>
      </c>
      <c r="H127" s="75"/>
      <c r="I127" s="75"/>
      <c r="J127" s="71">
        <v>0.33333333333333331</v>
      </c>
      <c r="K127" s="72"/>
      <c r="L127" s="72"/>
      <c r="M127" s="72"/>
      <c r="N127" s="72"/>
      <c r="O127" s="69" t="s">
        <v>275</v>
      </c>
      <c r="P127" s="69"/>
      <c r="Q127" s="14">
        <v>25</v>
      </c>
      <c r="R127" s="14">
        <v>5</v>
      </c>
      <c r="S127" s="14"/>
      <c r="T127" s="73"/>
      <c r="U127" s="14"/>
      <c r="V127" s="14"/>
      <c r="W127" s="70"/>
      <c r="X127" s="69"/>
      <c r="Y127" s="60">
        <f ca="1">Table24[[#This Row],[End Date]]+2-TODAY()</f>
        <v>-128</v>
      </c>
      <c r="Z127" s="14">
        <f>IF(ISBLANK(Table24[[#This Row],[Roster Received By]]),1,0)</f>
        <v>1</v>
      </c>
      <c r="AA127" s="14">
        <f ca="1">IF(Table24[[#This Row],[Start Date]]&gt;TODAY(),1,)</f>
        <v>0</v>
      </c>
    </row>
    <row r="128" spans="1:27" s="76" customFormat="1" ht="14.25" customHeight="1" x14ac:dyDescent="0.25">
      <c r="A128" s="52"/>
      <c r="B128" s="69" t="s">
        <v>48</v>
      </c>
      <c r="C128" s="70" t="s">
        <v>50</v>
      </c>
      <c r="D128" s="70" t="s">
        <v>51</v>
      </c>
      <c r="E128" s="69" t="s">
        <v>170</v>
      </c>
      <c r="F128" s="72">
        <v>45810</v>
      </c>
      <c r="G128" s="72">
        <v>45814</v>
      </c>
      <c r="H128" s="75"/>
      <c r="I128" s="75"/>
      <c r="J128" s="72"/>
      <c r="K128" s="72"/>
      <c r="L128" s="72"/>
      <c r="M128" s="72"/>
      <c r="N128" s="71">
        <v>0.33333333333333331</v>
      </c>
      <c r="O128" s="69" t="s">
        <v>275</v>
      </c>
      <c r="P128" s="69"/>
      <c r="Q128" s="14">
        <v>25</v>
      </c>
      <c r="R128" s="14">
        <v>5</v>
      </c>
      <c r="S128" s="14"/>
      <c r="T128" s="73"/>
      <c r="U128" s="14"/>
      <c r="V128" s="14"/>
      <c r="W128" s="14"/>
      <c r="X128" s="69"/>
      <c r="Y128" s="60">
        <f ca="1">Table24[[#This Row],[End Date]]+2-TODAY()</f>
        <v>-191</v>
      </c>
      <c r="Z128" s="14">
        <f>IF(ISBLANK(Table24[[#This Row],[Roster Received By]]),1,0)</f>
        <v>1</v>
      </c>
      <c r="AA128" s="14">
        <f ca="1">IF(Table24[[#This Row],[Start Date]]&gt;TODAY(),1,)</f>
        <v>0</v>
      </c>
    </row>
    <row r="129" spans="1:27" s="76" customFormat="1" ht="14.25" customHeight="1" x14ac:dyDescent="0.25">
      <c r="A129" s="52"/>
      <c r="B129" s="69" t="s">
        <v>48</v>
      </c>
      <c r="C129" s="70" t="s">
        <v>50</v>
      </c>
      <c r="D129" s="70" t="s">
        <v>51</v>
      </c>
      <c r="E129" s="69" t="s">
        <v>170</v>
      </c>
      <c r="F129" s="72">
        <v>45817</v>
      </c>
      <c r="G129" s="72">
        <v>45821</v>
      </c>
      <c r="H129" s="75"/>
      <c r="I129" s="75"/>
      <c r="J129" s="72"/>
      <c r="K129" s="72"/>
      <c r="L129" s="72"/>
      <c r="M129" s="72"/>
      <c r="N129" s="71">
        <v>0.33333333333333331</v>
      </c>
      <c r="O129" s="69" t="s">
        <v>275</v>
      </c>
      <c r="P129" s="69"/>
      <c r="Q129" s="14">
        <v>25</v>
      </c>
      <c r="R129" s="14">
        <v>5</v>
      </c>
      <c r="S129" s="14"/>
      <c r="T129" s="73"/>
      <c r="U129" s="14"/>
      <c r="V129" s="14"/>
      <c r="W129" s="14"/>
      <c r="X129" s="69"/>
      <c r="Y129" s="60">
        <f ca="1">Table24[[#This Row],[End Date]]+2-TODAY()</f>
        <v>-184</v>
      </c>
      <c r="Z129" s="14">
        <f>IF(ISBLANK(Table24[[#This Row],[Roster Received By]]),1,0)</f>
        <v>1</v>
      </c>
      <c r="AA129" s="14">
        <f ca="1">IF(Table24[[#This Row],[Start Date]]&gt;TODAY(),1,)</f>
        <v>0</v>
      </c>
    </row>
    <row r="130" spans="1:27" s="76" customFormat="1" ht="14.25" customHeight="1" x14ac:dyDescent="0.25">
      <c r="A130" s="52"/>
      <c r="B130" s="69" t="s">
        <v>48</v>
      </c>
      <c r="C130" s="70" t="s">
        <v>50</v>
      </c>
      <c r="D130" s="70" t="s">
        <v>51</v>
      </c>
      <c r="E130" s="69" t="s">
        <v>266</v>
      </c>
      <c r="F130" s="72">
        <v>45845</v>
      </c>
      <c r="G130" s="72">
        <v>45849</v>
      </c>
      <c r="H130" s="72"/>
      <c r="I130" s="71"/>
      <c r="J130" s="71">
        <v>0.33333333333333331</v>
      </c>
      <c r="K130" s="71"/>
      <c r="L130" s="71"/>
      <c r="M130" s="71"/>
      <c r="N130" s="71"/>
      <c r="O130" s="69" t="s">
        <v>275</v>
      </c>
      <c r="P130" s="69"/>
      <c r="Q130" s="14">
        <v>25</v>
      </c>
      <c r="R130" s="14">
        <v>5</v>
      </c>
      <c r="S130" s="14"/>
      <c r="T130" s="73"/>
      <c r="U130" s="14"/>
      <c r="V130" s="14"/>
      <c r="W130" s="14"/>
      <c r="X130" s="69"/>
      <c r="Y130" s="60">
        <f ca="1">Table24[[#This Row],[End Date]]+2-TODAY()</f>
        <v>-156</v>
      </c>
      <c r="Z130" s="14">
        <f>IF(ISBLANK(Table24[[#This Row],[Roster Received By]]),1,0)</f>
        <v>1</v>
      </c>
      <c r="AA130" s="14">
        <f ca="1">IF(Table24[[#This Row],[Start Date]]&gt;TODAY(),1,)</f>
        <v>0</v>
      </c>
    </row>
    <row r="131" spans="1:27" s="76" customFormat="1" ht="14.25" customHeight="1" x14ac:dyDescent="0.25">
      <c r="A131" s="52"/>
      <c r="B131" s="69" t="s">
        <v>48</v>
      </c>
      <c r="C131" s="70" t="s">
        <v>50</v>
      </c>
      <c r="D131" s="70" t="s">
        <v>51</v>
      </c>
      <c r="E131" s="69" t="s">
        <v>258</v>
      </c>
      <c r="F131" s="72">
        <v>45684</v>
      </c>
      <c r="G131" s="72">
        <v>45688</v>
      </c>
      <c r="H131" s="72"/>
      <c r="I131" s="71">
        <v>0.33333333333333331</v>
      </c>
      <c r="J131" s="71"/>
      <c r="K131" s="71"/>
      <c r="L131" s="71"/>
      <c r="M131" s="71"/>
      <c r="N131" s="71"/>
      <c r="O131" s="69" t="s">
        <v>275</v>
      </c>
      <c r="P131" s="69"/>
      <c r="Q131" s="14">
        <v>25</v>
      </c>
      <c r="R131" s="14">
        <v>5</v>
      </c>
      <c r="S131" s="14"/>
      <c r="T131" s="73"/>
      <c r="U131" s="14"/>
      <c r="V131" s="14"/>
      <c r="W131" s="14"/>
      <c r="X131" s="69"/>
      <c r="Y131" s="60">
        <f ca="1">Table24[[#This Row],[End Date]]+2-TODAY()</f>
        <v>-317</v>
      </c>
      <c r="Z131" s="14">
        <f>IF(ISBLANK(Table24[[#This Row],[Roster Received By]]),1,0)</f>
        <v>1</v>
      </c>
      <c r="AA131" s="14">
        <f ca="1">IF(Table24[[#This Row],[Start Date]]&gt;TODAY(),1,)</f>
        <v>0</v>
      </c>
    </row>
    <row r="132" spans="1:27" s="76" customFormat="1" ht="14.25" customHeight="1" x14ac:dyDescent="0.25">
      <c r="A132" s="52"/>
      <c r="B132" s="69" t="s">
        <v>48</v>
      </c>
      <c r="C132" s="70" t="s">
        <v>50</v>
      </c>
      <c r="D132" s="70" t="s">
        <v>51</v>
      </c>
      <c r="E132" s="69" t="s">
        <v>258</v>
      </c>
      <c r="F132" s="72">
        <v>45691</v>
      </c>
      <c r="G132" s="72">
        <v>45695</v>
      </c>
      <c r="H132" s="75"/>
      <c r="I132" s="71">
        <v>0.33333333333333331</v>
      </c>
      <c r="J132" s="72"/>
      <c r="K132" s="72"/>
      <c r="L132" s="72"/>
      <c r="M132" s="72"/>
      <c r="N132" s="72"/>
      <c r="O132" s="69" t="s">
        <v>275</v>
      </c>
      <c r="P132" s="69"/>
      <c r="Q132" s="14">
        <v>25</v>
      </c>
      <c r="R132" s="14">
        <v>5</v>
      </c>
      <c r="S132" s="14"/>
      <c r="T132" s="73"/>
      <c r="U132" s="14"/>
      <c r="V132" s="14"/>
      <c r="W132" s="14"/>
      <c r="X132" s="69"/>
      <c r="Y132" s="60">
        <f ca="1">Table24[[#This Row],[End Date]]+2-TODAY()</f>
        <v>-310</v>
      </c>
      <c r="Z132" s="14">
        <f>IF(ISBLANK(Table24[[#This Row],[Roster Received By]]),1,0)</f>
        <v>1</v>
      </c>
      <c r="AA132" s="14">
        <f ca="1">IF(Table24[[#This Row],[Start Date]]&gt;TODAY(),1,)</f>
        <v>0</v>
      </c>
    </row>
    <row r="133" spans="1:27" s="76" customFormat="1" ht="14.25" customHeight="1" x14ac:dyDescent="0.25">
      <c r="A133" s="52"/>
      <c r="B133" s="69" t="s">
        <v>48</v>
      </c>
      <c r="C133" s="70" t="s">
        <v>50</v>
      </c>
      <c r="D133" s="70" t="s">
        <v>51</v>
      </c>
      <c r="E133" s="69" t="s">
        <v>266</v>
      </c>
      <c r="F133" s="56">
        <v>45852</v>
      </c>
      <c r="G133" s="56">
        <v>45856</v>
      </c>
      <c r="H133" s="72"/>
      <c r="I133" s="71"/>
      <c r="J133" s="71">
        <v>0.33333333333333331</v>
      </c>
      <c r="K133" s="71"/>
      <c r="L133" s="71"/>
      <c r="M133" s="71"/>
      <c r="N133" s="71"/>
      <c r="O133" s="69" t="s">
        <v>275</v>
      </c>
      <c r="P133" s="69"/>
      <c r="Q133" s="14">
        <v>25</v>
      </c>
      <c r="R133" s="14">
        <v>5</v>
      </c>
      <c r="S133" s="14"/>
      <c r="T133" s="73"/>
      <c r="U133" s="14"/>
      <c r="V133" s="14"/>
      <c r="W133" s="14"/>
      <c r="X133" s="69"/>
      <c r="Y133" s="60">
        <f ca="1">Table24[[#This Row],[End Date]]+2-TODAY()</f>
        <v>-149</v>
      </c>
      <c r="Z133" s="14">
        <f>IF(ISBLANK(Table24[[#This Row],[Roster Received By]]),1,0)</f>
        <v>1</v>
      </c>
      <c r="AA133" s="14">
        <f ca="1">IF(Table24[[#This Row],[Start Date]]&gt;TODAY(),1,)</f>
        <v>0</v>
      </c>
    </row>
    <row r="134" spans="1:27" s="76" customFormat="1" ht="14.25" customHeight="1" x14ac:dyDescent="0.25">
      <c r="A134" s="69"/>
      <c r="B134" s="69" t="s">
        <v>48</v>
      </c>
      <c r="C134" s="70" t="s">
        <v>50</v>
      </c>
      <c r="D134" s="70" t="s">
        <v>51</v>
      </c>
      <c r="E134" s="69" t="s">
        <v>254</v>
      </c>
      <c r="F134" s="72">
        <v>45866</v>
      </c>
      <c r="G134" s="72">
        <v>45870</v>
      </c>
      <c r="H134" s="75"/>
      <c r="I134" s="75"/>
      <c r="J134" s="72"/>
      <c r="K134" s="72"/>
      <c r="L134" s="72"/>
      <c r="M134" s="72"/>
      <c r="N134" s="72"/>
      <c r="O134" s="69" t="s">
        <v>275</v>
      </c>
      <c r="P134" s="69"/>
      <c r="Q134" s="14">
        <v>25</v>
      </c>
      <c r="R134" s="14">
        <v>5</v>
      </c>
      <c r="S134" s="14"/>
      <c r="T134" s="73"/>
      <c r="U134" s="14"/>
      <c r="V134" s="14"/>
      <c r="W134" s="14"/>
      <c r="X134" s="69"/>
      <c r="Y134" s="60">
        <f ca="1">Table24[[#This Row],[End Date]]+2-TODAY()</f>
        <v>-135</v>
      </c>
      <c r="Z134" s="14">
        <f>IF(ISBLANK(Table24[[#This Row],[Roster Received By]]),1,0)</f>
        <v>1</v>
      </c>
      <c r="AA134" s="14">
        <f ca="1">IF(Table24[[#This Row],[Start Date]]&gt;TODAY(),1,)</f>
        <v>0</v>
      </c>
    </row>
    <row r="135" spans="1:27" s="105" customFormat="1" x14ac:dyDescent="0.25">
      <c r="A135" s="52"/>
      <c r="B135" s="69" t="s">
        <v>48</v>
      </c>
      <c r="C135" s="70" t="s">
        <v>50</v>
      </c>
      <c r="D135" s="70" t="s">
        <v>51</v>
      </c>
      <c r="E135" s="69" t="s">
        <v>274</v>
      </c>
      <c r="F135" s="72">
        <v>45866</v>
      </c>
      <c r="G135" s="72">
        <v>45870</v>
      </c>
      <c r="H135" s="75"/>
      <c r="I135" s="71">
        <v>0.33333333333333331</v>
      </c>
      <c r="J135" s="72"/>
      <c r="K135" s="72"/>
      <c r="L135" s="72"/>
      <c r="M135" s="72"/>
      <c r="N135" s="72"/>
      <c r="O135" s="69" t="s">
        <v>275</v>
      </c>
      <c r="P135" s="69"/>
      <c r="Q135" s="14">
        <v>25</v>
      </c>
      <c r="R135" s="14">
        <v>5</v>
      </c>
      <c r="S135" s="14"/>
      <c r="T135" s="73"/>
      <c r="U135" s="14"/>
      <c r="V135" s="14"/>
      <c r="W135" s="14"/>
      <c r="X135" s="69"/>
      <c r="Y135" s="60">
        <f ca="1">Table24[[#This Row],[End Date]]+2-TODAY()</f>
        <v>-135</v>
      </c>
      <c r="Z135" s="14">
        <f>IF(ISBLANK(Table24[[#This Row],[Roster Received By]]),1,0)</f>
        <v>1</v>
      </c>
      <c r="AA135" s="14">
        <f ca="1">IF(Table24[[#This Row],[Start Date]]&gt;TODAY(),1,)</f>
        <v>0</v>
      </c>
    </row>
    <row r="136" spans="1:27" s="76" customFormat="1" ht="14.25" customHeight="1" x14ac:dyDescent="0.25">
      <c r="A136" s="52"/>
      <c r="B136" s="69" t="s">
        <v>68</v>
      </c>
      <c r="C136" s="70" t="s">
        <v>277</v>
      </c>
      <c r="D136" s="70" t="s">
        <v>70</v>
      </c>
      <c r="E136" s="69" t="s">
        <v>274</v>
      </c>
      <c r="F136" s="72">
        <v>45615</v>
      </c>
      <c r="G136" s="72">
        <v>45618</v>
      </c>
      <c r="H136" s="75"/>
      <c r="I136" s="136">
        <v>0.33333333333333331</v>
      </c>
      <c r="J136" s="72"/>
      <c r="K136" s="72"/>
      <c r="L136" s="72"/>
      <c r="M136" s="72"/>
      <c r="N136" s="72"/>
      <c r="O136" s="69"/>
      <c r="P136" s="69"/>
      <c r="Q136" s="14">
        <v>30</v>
      </c>
      <c r="R136" s="14">
        <v>4</v>
      </c>
      <c r="S136" s="14"/>
      <c r="T136" s="73"/>
      <c r="U136" s="14"/>
      <c r="V136" s="14"/>
      <c r="W136" s="77"/>
      <c r="X136" s="69"/>
      <c r="Y136" s="60">
        <f ca="1">Table24[[#This Row],[End Date]]+2-TODAY()</f>
        <v>-387</v>
      </c>
      <c r="Z136" s="14">
        <f>IF(ISBLANK(Table24[[#This Row],[Roster Received By]]),1,0)</f>
        <v>1</v>
      </c>
      <c r="AA136" s="14">
        <f ca="1">IF(Table24[[#This Row],[Start Date]]&gt;TODAY(),1,)</f>
        <v>0</v>
      </c>
    </row>
    <row r="137" spans="1:27" s="76" customFormat="1" ht="14.25" customHeight="1" x14ac:dyDescent="0.25">
      <c r="A137" s="52"/>
      <c r="B137" s="69" t="s">
        <v>68</v>
      </c>
      <c r="C137" s="70" t="s">
        <v>277</v>
      </c>
      <c r="D137" s="70" t="s">
        <v>70</v>
      </c>
      <c r="E137" s="69" t="s">
        <v>254</v>
      </c>
      <c r="F137" s="72">
        <v>45636</v>
      </c>
      <c r="G137" s="72">
        <v>45639</v>
      </c>
      <c r="H137" s="72"/>
      <c r="I137" s="71"/>
      <c r="J137" s="136">
        <v>0.33333333333333331</v>
      </c>
      <c r="K137" s="71"/>
      <c r="L137" s="71"/>
      <c r="M137" s="71"/>
      <c r="N137" s="71"/>
      <c r="O137" s="69"/>
      <c r="P137" s="69"/>
      <c r="Q137" s="14">
        <v>30</v>
      </c>
      <c r="R137" s="14">
        <v>4</v>
      </c>
      <c r="S137" s="14"/>
      <c r="T137" s="73"/>
      <c r="U137" s="14"/>
      <c r="V137" s="14"/>
      <c r="W137" s="14"/>
      <c r="X137" s="69"/>
      <c r="Y137" s="60">
        <f ca="1">Table24[[#This Row],[End Date]]+2-TODAY()</f>
        <v>-366</v>
      </c>
      <c r="Z137" s="14">
        <f>IF(ISBLANK(Table24[[#This Row],[Roster Received By]]),1,0)</f>
        <v>1</v>
      </c>
      <c r="AA137" s="14">
        <f ca="1">IF(Table24[[#This Row],[Start Date]]&gt;TODAY(),1,)</f>
        <v>0</v>
      </c>
    </row>
    <row r="138" spans="1:27" s="76" customFormat="1" ht="14.25" customHeight="1" x14ac:dyDescent="0.25">
      <c r="A138" s="52"/>
      <c r="B138" s="69" t="s">
        <v>68</v>
      </c>
      <c r="C138" s="70" t="s">
        <v>277</v>
      </c>
      <c r="D138" s="70" t="s">
        <v>70</v>
      </c>
      <c r="E138" s="69" t="s">
        <v>258</v>
      </c>
      <c r="F138" s="72">
        <v>45685</v>
      </c>
      <c r="G138" s="72">
        <v>45688</v>
      </c>
      <c r="H138" s="72"/>
      <c r="I138" s="136">
        <v>0.33333333333333331</v>
      </c>
      <c r="J138" s="71"/>
      <c r="K138" s="71"/>
      <c r="L138" s="71"/>
      <c r="M138" s="71"/>
      <c r="N138" s="71"/>
      <c r="O138" s="69"/>
      <c r="P138" s="69"/>
      <c r="Q138" s="14">
        <v>30</v>
      </c>
      <c r="R138" s="14">
        <v>4</v>
      </c>
      <c r="S138" s="14"/>
      <c r="T138" s="73"/>
      <c r="U138" s="14"/>
      <c r="V138" s="14"/>
      <c r="W138" s="14"/>
      <c r="X138" s="69"/>
      <c r="Y138" s="60">
        <f ca="1">Table24[[#This Row],[End Date]]+2-TODAY()</f>
        <v>-317</v>
      </c>
      <c r="Z138" s="14">
        <f>IF(ISBLANK(Table24[[#This Row],[Roster Received By]]),1,0)</f>
        <v>1</v>
      </c>
      <c r="AA138" s="14">
        <f ca="1">IF(Table24[[#This Row],[Start Date]]&gt;TODAY(),1,)</f>
        <v>0</v>
      </c>
    </row>
    <row r="139" spans="1:27" s="76" customFormat="1" ht="14.25" customHeight="1" x14ac:dyDescent="0.25">
      <c r="A139" s="52"/>
      <c r="B139" s="69" t="s">
        <v>68</v>
      </c>
      <c r="C139" s="70" t="s">
        <v>277</v>
      </c>
      <c r="D139" s="70" t="s">
        <v>70</v>
      </c>
      <c r="E139" s="69" t="s">
        <v>264</v>
      </c>
      <c r="F139" s="72">
        <v>45713</v>
      </c>
      <c r="G139" s="72">
        <v>45716</v>
      </c>
      <c r="H139" s="72"/>
      <c r="I139" s="71"/>
      <c r="J139" s="136">
        <v>0.33333333333333331</v>
      </c>
      <c r="K139" s="71"/>
      <c r="L139" s="71"/>
      <c r="M139" s="71"/>
      <c r="N139" s="71"/>
      <c r="O139" s="69"/>
      <c r="P139" s="69"/>
      <c r="Q139" s="14">
        <v>30</v>
      </c>
      <c r="R139" s="14">
        <v>4</v>
      </c>
      <c r="S139" s="14"/>
      <c r="T139" s="73"/>
      <c r="U139" s="14"/>
      <c r="V139" s="14"/>
      <c r="W139" s="70"/>
      <c r="X139" s="69"/>
      <c r="Y139" s="60">
        <f ca="1">Table24[[#This Row],[End Date]]+2-TODAY()</f>
        <v>-289</v>
      </c>
      <c r="Z139" s="14">
        <f>IF(ISBLANK(Table24[[#This Row],[Roster Received By]]),1,0)</f>
        <v>1</v>
      </c>
      <c r="AA139" s="14">
        <f ca="1">IF(Table24[[#This Row],[Start Date]]&gt;TODAY(),1,)</f>
        <v>0</v>
      </c>
    </row>
    <row r="140" spans="1:27" s="76" customFormat="1" ht="14.25" customHeight="1" x14ac:dyDescent="0.25">
      <c r="A140" s="69"/>
      <c r="B140" s="69" t="s">
        <v>68</v>
      </c>
      <c r="C140" s="70" t="s">
        <v>277</v>
      </c>
      <c r="D140" s="70" t="s">
        <v>70</v>
      </c>
      <c r="E140" s="69" t="s">
        <v>266</v>
      </c>
      <c r="F140" s="72">
        <v>45719</v>
      </c>
      <c r="G140" s="72">
        <v>45722</v>
      </c>
      <c r="H140" s="78"/>
      <c r="I140" s="78"/>
      <c r="J140" s="136">
        <v>0.33333333333333331</v>
      </c>
      <c r="K140" s="72"/>
      <c r="L140" s="72"/>
      <c r="M140" s="72"/>
      <c r="N140" s="72"/>
      <c r="O140" s="69"/>
      <c r="P140" s="69"/>
      <c r="Q140" s="14">
        <v>30</v>
      </c>
      <c r="R140" s="14">
        <v>4</v>
      </c>
      <c r="S140" s="14"/>
      <c r="T140" s="73"/>
      <c r="U140" s="14"/>
      <c r="V140" s="14"/>
      <c r="W140" s="70"/>
      <c r="X140" s="69"/>
      <c r="Y140" s="60">
        <f ca="1">Table24[[#This Row],[End Date]]+2-TODAY()</f>
        <v>-283</v>
      </c>
      <c r="Z140" s="14">
        <f>IF(ISBLANK(Table24[[#This Row],[Roster Received By]]),1,0)</f>
        <v>1</v>
      </c>
      <c r="AA140" s="14">
        <f ca="1">IF(Table24[[#This Row],[Start Date]]&gt;TODAY(),1,)</f>
        <v>0</v>
      </c>
    </row>
    <row r="141" spans="1:27" s="76" customFormat="1" ht="14.25" customHeight="1" x14ac:dyDescent="0.25">
      <c r="A141" s="52"/>
      <c r="B141" s="69" t="s">
        <v>68</v>
      </c>
      <c r="C141" s="70" t="s">
        <v>277</v>
      </c>
      <c r="D141" s="70" t="s">
        <v>70</v>
      </c>
      <c r="E141" s="69" t="s">
        <v>278</v>
      </c>
      <c r="F141" s="72">
        <v>45741</v>
      </c>
      <c r="G141" s="72">
        <v>45744</v>
      </c>
      <c r="H141" s="72"/>
      <c r="I141" s="136">
        <v>0.33333333333333331</v>
      </c>
      <c r="J141" s="71"/>
      <c r="K141" s="71"/>
      <c r="L141" s="71"/>
      <c r="M141" s="71"/>
      <c r="N141" s="71"/>
      <c r="O141" s="69"/>
      <c r="P141" s="69"/>
      <c r="Q141" s="14">
        <v>30</v>
      </c>
      <c r="R141" s="14">
        <v>4</v>
      </c>
      <c r="S141" s="14"/>
      <c r="T141" s="73"/>
      <c r="U141" s="14"/>
      <c r="V141" s="14"/>
      <c r="W141" s="14"/>
      <c r="X141" s="69"/>
      <c r="Y141" s="60">
        <f ca="1">Table24[[#This Row],[End Date]]+2-TODAY()</f>
        <v>-261</v>
      </c>
      <c r="Z141" s="14">
        <f>IF(ISBLANK(Table24[[#This Row],[Roster Received By]]),1,0)</f>
        <v>1</v>
      </c>
      <c r="AA141" s="14">
        <f ca="1">IF(Table24[[#This Row],[Start Date]]&gt;TODAY(),1,)</f>
        <v>0</v>
      </c>
    </row>
    <row r="142" spans="1:27" s="52" customFormat="1" x14ac:dyDescent="0.25">
      <c r="B142" s="69" t="s">
        <v>68</v>
      </c>
      <c r="C142" s="70" t="s">
        <v>277</v>
      </c>
      <c r="D142" s="70" t="s">
        <v>70</v>
      </c>
      <c r="E142" s="69" t="s">
        <v>274</v>
      </c>
      <c r="F142" s="72">
        <v>45769</v>
      </c>
      <c r="G142" s="72">
        <v>45772</v>
      </c>
      <c r="H142" s="72"/>
      <c r="I142" s="136">
        <v>0.33333333333333331</v>
      </c>
      <c r="J142" s="71"/>
      <c r="K142" s="71"/>
      <c r="L142" s="71"/>
      <c r="M142" s="71"/>
      <c r="N142" s="71"/>
      <c r="O142" s="69"/>
      <c r="P142" s="69"/>
      <c r="Q142" s="14">
        <v>30</v>
      </c>
      <c r="R142" s="14">
        <v>4</v>
      </c>
      <c r="S142" s="14"/>
      <c r="T142" s="73"/>
      <c r="U142" s="14"/>
      <c r="V142" s="14"/>
      <c r="W142" s="73"/>
      <c r="X142" s="69"/>
      <c r="Y142" s="60">
        <f ca="1">Table24[[#This Row],[End Date]]+2-TODAY()</f>
        <v>-233</v>
      </c>
      <c r="Z142" s="14">
        <f>IF(ISBLANK(Table24[[#This Row],[Roster Received By]]),1,0)</f>
        <v>1</v>
      </c>
      <c r="AA142" s="14">
        <f ca="1">IF(Table24[[#This Row],[Start Date]]&gt;TODAY(),1,)</f>
        <v>0</v>
      </c>
    </row>
    <row r="143" spans="1:27" s="105" customFormat="1" ht="14.25" customHeight="1" x14ac:dyDescent="0.25">
      <c r="A143" s="52"/>
      <c r="B143" s="69" t="s">
        <v>68</v>
      </c>
      <c r="C143" s="70" t="s">
        <v>277</v>
      </c>
      <c r="D143" s="70" t="s">
        <v>70</v>
      </c>
      <c r="E143" s="69" t="s">
        <v>170</v>
      </c>
      <c r="F143" s="72">
        <v>45789</v>
      </c>
      <c r="G143" s="72">
        <v>45792</v>
      </c>
      <c r="H143" s="72"/>
      <c r="I143" s="71"/>
      <c r="J143" s="71"/>
      <c r="K143" s="71"/>
      <c r="L143" s="71"/>
      <c r="M143" s="71"/>
      <c r="N143" s="71">
        <v>0.33333333333333331</v>
      </c>
      <c r="O143" s="69"/>
      <c r="P143" s="69"/>
      <c r="Q143" s="14">
        <v>30</v>
      </c>
      <c r="R143" s="14">
        <v>4</v>
      </c>
      <c r="S143" s="14"/>
      <c r="T143" s="73"/>
      <c r="U143" s="14"/>
      <c r="V143" s="14"/>
      <c r="W143" s="14"/>
      <c r="X143" s="69"/>
      <c r="Y143" s="60">
        <f ca="1">Table24[[#This Row],[End Date]]+2-TODAY()</f>
        <v>-213</v>
      </c>
      <c r="Z143" s="14">
        <f>IF(ISBLANK(Table24[[#This Row],[Roster Received By]]),1,0)</f>
        <v>1</v>
      </c>
      <c r="AA143" s="14">
        <f ca="1">IF(Table24[[#This Row],[Start Date]]&gt;TODAY(),1,)</f>
        <v>0</v>
      </c>
    </row>
    <row r="144" spans="1:27" s="105" customFormat="1" ht="14.25" customHeight="1" x14ac:dyDescent="0.25">
      <c r="A144" s="52"/>
      <c r="B144" s="69" t="s">
        <v>68</v>
      </c>
      <c r="C144" s="70" t="s">
        <v>277</v>
      </c>
      <c r="D144" s="70" t="s">
        <v>70</v>
      </c>
      <c r="E144" s="69" t="s">
        <v>170</v>
      </c>
      <c r="F144" s="72">
        <v>45796</v>
      </c>
      <c r="G144" s="72">
        <v>45799</v>
      </c>
      <c r="H144" s="75"/>
      <c r="I144" s="75"/>
      <c r="J144" s="72"/>
      <c r="K144" s="72"/>
      <c r="L144" s="72"/>
      <c r="M144" s="72"/>
      <c r="N144" s="136">
        <v>0.33333333333333331</v>
      </c>
      <c r="O144" s="69"/>
      <c r="P144" s="69"/>
      <c r="Q144" s="14">
        <v>30</v>
      </c>
      <c r="R144" s="14">
        <v>4</v>
      </c>
      <c r="S144" s="14"/>
      <c r="T144" s="73"/>
      <c r="U144" s="14"/>
      <c r="V144" s="14"/>
      <c r="W144" s="70"/>
      <c r="X144" s="69"/>
      <c r="Y144" s="60">
        <f ca="1">Table24[[#This Row],[End Date]]+2-TODAY()</f>
        <v>-206</v>
      </c>
      <c r="Z144" s="14">
        <f>IF(ISBLANK(Table24[[#This Row],[Roster Received By]]),1,0)</f>
        <v>1</v>
      </c>
      <c r="AA144" s="14">
        <f ca="1">IF(Table24[[#This Row],[Start Date]]&gt;TODAY(),1,)</f>
        <v>0</v>
      </c>
    </row>
    <row r="145" spans="1:27" s="105" customFormat="1" ht="16.5" customHeight="1" x14ac:dyDescent="0.25">
      <c r="A145" s="52"/>
      <c r="B145" s="69" t="s">
        <v>68</v>
      </c>
      <c r="C145" s="70" t="s">
        <v>277</v>
      </c>
      <c r="D145" s="70" t="s">
        <v>70</v>
      </c>
      <c r="E145" s="69" t="s">
        <v>162</v>
      </c>
      <c r="F145" s="72">
        <v>45818</v>
      </c>
      <c r="G145" s="72">
        <v>45821</v>
      </c>
      <c r="H145" s="72"/>
      <c r="I145" s="71">
        <v>0.33333333333333331</v>
      </c>
      <c r="J145" s="71"/>
      <c r="K145" s="71"/>
      <c r="L145" s="71"/>
      <c r="M145" s="71"/>
      <c r="N145" s="71"/>
      <c r="O145" s="69"/>
      <c r="P145" s="69"/>
      <c r="Q145" s="14">
        <v>30</v>
      </c>
      <c r="R145" s="14">
        <v>4</v>
      </c>
      <c r="S145" s="14"/>
      <c r="T145" s="73"/>
      <c r="U145" s="14"/>
      <c r="V145" s="14"/>
      <c r="W145" s="14"/>
      <c r="X145" s="69"/>
      <c r="Y145" s="60">
        <f ca="1">Table24[[#This Row],[End Date]]+2-TODAY()</f>
        <v>-184</v>
      </c>
      <c r="Z145" s="14">
        <f>IF(ISBLANK(Table24[[#This Row],[Roster Received By]]),1,0)</f>
        <v>1</v>
      </c>
      <c r="AA145" s="14">
        <f ca="1">IF(Table24[[#This Row],[Start Date]]&gt;TODAY(),1,)</f>
        <v>0</v>
      </c>
    </row>
    <row r="146" spans="1:27" s="76" customFormat="1" ht="16.5" customHeight="1" x14ac:dyDescent="0.25">
      <c r="A146" s="52"/>
      <c r="B146" s="69" t="s">
        <v>68</v>
      </c>
      <c r="C146" s="70" t="s">
        <v>277</v>
      </c>
      <c r="D146" s="70" t="s">
        <v>70</v>
      </c>
      <c r="E146" s="69" t="s">
        <v>274</v>
      </c>
      <c r="F146" s="56">
        <v>45846</v>
      </c>
      <c r="G146" s="72">
        <v>45849</v>
      </c>
      <c r="H146" s="72"/>
      <c r="I146" s="71">
        <v>0.33333333333333331</v>
      </c>
      <c r="J146" s="71"/>
      <c r="K146" s="71"/>
      <c r="L146" s="71"/>
      <c r="M146" s="71"/>
      <c r="N146" s="71"/>
      <c r="O146" s="69"/>
      <c r="P146" s="69"/>
      <c r="Q146" s="14">
        <v>30</v>
      </c>
      <c r="R146" s="14">
        <v>4</v>
      </c>
      <c r="S146" s="14"/>
      <c r="T146" s="73"/>
      <c r="U146" s="14"/>
      <c r="V146" s="14"/>
      <c r="W146" s="14"/>
      <c r="X146" s="69"/>
      <c r="Y146" s="60">
        <f ca="1">Table24[[#This Row],[End Date]]+2-TODAY()</f>
        <v>-156</v>
      </c>
      <c r="Z146" s="14">
        <f>IF(ISBLANK(Table24[[#This Row],[Roster Received By]]),1,0)</f>
        <v>1</v>
      </c>
      <c r="AA146" s="14">
        <f ca="1">IF(Table24[[#This Row],[Start Date]]&gt;TODAY(),1,)</f>
        <v>0</v>
      </c>
    </row>
    <row r="147" spans="1:27" s="76" customFormat="1" ht="16.5" customHeight="1" x14ac:dyDescent="0.25">
      <c r="A147" s="69"/>
      <c r="B147" s="69" t="s">
        <v>68</v>
      </c>
      <c r="C147" s="70" t="s">
        <v>277</v>
      </c>
      <c r="D147" s="70" t="s">
        <v>70</v>
      </c>
      <c r="E147" s="54" t="s">
        <v>264</v>
      </c>
      <c r="F147" s="72">
        <v>45881</v>
      </c>
      <c r="G147" s="72">
        <v>45884</v>
      </c>
      <c r="H147" s="75"/>
      <c r="I147" s="75"/>
      <c r="J147" s="136">
        <v>0.33333333333333331</v>
      </c>
      <c r="K147" s="72"/>
      <c r="L147" s="72"/>
      <c r="M147" s="72"/>
      <c r="N147" s="72"/>
      <c r="O147" s="69"/>
      <c r="P147" s="69"/>
      <c r="Q147" s="14">
        <v>30</v>
      </c>
      <c r="R147" s="14">
        <v>4</v>
      </c>
      <c r="S147" s="14"/>
      <c r="T147" s="73"/>
      <c r="U147" s="14"/>
      <c r="V147" s="14"/>
      <c r="W147" s="14"/>
      <c r="X147" s="69"/>
      <c r="Y147" s="60">
        <f ca="1">Table24[[#This Row],[End Date]]+2-TODAY()</f>
        <v>-121</v>
      </c>
      <c r="Z147" s="14">
        <f>IF(ISBLANK(Table24[[#This Row],[Roster Received By]]),1,0)</f>
        <v>1</v>
      </c>
      <c r="AA147" s="14">
        <f ca="1">IF(Table24[[#This Row],[Start Date]]&gt;TODAY(),1,)</f>
        <v>0</v>
      </c>
    </row>
    <row r="148" spans="1:27" s="76" customFormat="1" ht="14.25" customHeight="1" x14ac:dyDescent="0.25">
      <c r="A148" s="52"/>
      <c r="B148" s="69" t="s">
        <v>68</v>
      </c>
      <c r="C148" s="70" t="s">
        <v>277</v>
      </c>
      <c r="D148" s="70" t="s">
        <v>70</v>
      </c>
      <c r="E148" s="69" t="s">
        <v>263</v>
      </c>
      <c r="F148" s="72">
        <v>45895</v>
      </c>
      <c r="G148" s="72">
        <v>45898</v>
      </c>
      <c r="H148" s="72"/>
      <c r="I148" s="71"/>
      <c r="J148" s="71"/>
      <c r="K148" s="71"/>
      <c r="L148" s="71"/>
      <c r="M148" s="71">
        <v>0.33333333333333331</v>
      </c>
      <c r="N148" s="71"/>
      <c r="O148" s="69"/>
      <c r="P148" s="69"/>
      <c r="Q148" s="14">
        <v>30</v>
      </c>
      <c r="R148" s="14">
        <v>4</v>
      </c>
      <c r="S148" s="14"/>
      <c r="T148" s="73"/>
      <c r="U148" s="14"/>
      <c r="V148" s="14"/>
      <c r="W148" s="14"/>
      <c r="X148" s="69"/>
      <c r="Y148" s="60">
        <f ca="1">Table24[[#This Row],[End Date]]+2-TODAY()</f>
        <v>-107</v>
      </c>
      <c r="Z148" s="14">
        <f>IF(ISBLANK(Table24[[#This Row],[Roster Received By]]),1,0)</f>
        <v>1</v>
      </c>
      <c r="AA148" s="14">
        <f ca="1">IF(Table24[[#This Row],[Start Date]]&gt;TODAY(),1,)</f>
        <v>0</v>
      </c>
    </row>
    <row r="149" spans="1:27" s="76" customFormat="1" ht="14.25" customHeight="1" x14ac:dyDescent="0.25">
      <c r="A149" s="52"/>
      <c r="B149" s="69" t="s">
        <v>68</v>
      </c>
      <c r="C149" s="70" t="s">
        <v>277</v>
      </c>
      <c r="D149" s="70" t="s">
        <v>70</v>
      </c>
      <c r="E149" s="69" t="s">
        <v>274</v>
      </c>
      <c r="F149" s="72">
        <v>45916</v>
      </c>
      <c r="G149" s="72">
        <v>45919</v>
      </c>
      <c r="H149" s="72"/>
      <c r="I149" s="136">
        <v>0.33333333333333331</v>
      </c>
      <c r="J149" s="71"/>
      <c r="K149" s="71"/>
      <c r="L149" s="71"/>
      <c r="M149" s="71"/>
      <c r="N149" s="71"/>
      <c r="O149" s="69"/>
      <c r="P149" s="69"/>
      <c r="Q149" s="14">
        <v>30</v>
      </c>
      <c r="R149" s="14">
        <v>4</v>
      </c>
      <c r="S149" s="14"/>
      <c r="T149" s="73"/>
      <c r="U149" s="14"/>
      <c r="V149" s="14"/>
      <c r="W149" s="14"/>
      <c r="X149" s="69"/>
      <c r="Y149" s="60">
        <f ca="1">Table24[[#This Row],[End Date]]+2-TODAY()</f>
        <v>-86</v>
      </c>
      <c r="Z149" s="14">
        <f>IF(ISBLANK(Table24[[#This Row],[Roster Received By]]),1,0)</f>
        <v>1</v>
      </c>
      <c r="AA149" s="14">
        <f ca="1">IF(Table24[[#This Row],[Start Date]]&gt;TODAY(),1,)</f>
        <v>0</v>
      </c>
    </row>
    <row r="150" spans="1:27" s="76" customFormat="1" ht="14.25" customHeight="1" x14ac:dyDescent="0.25">
      <c r="A150" s="52"/>
      <c r="B150" s="69" t="s">
        <v>55</v>
      </c>
      <c r="C150" s="70" t="s">
        <v>56</v>
      </c>
      <c r="D150" s="70" t="s">
        <v>57</v>
      </c>
      <c r="E150" s="69" t="s">
        <v>264</v>
      </c>
      <c r="F150" s="72">
        <v>45712</v>
      </c>
      <c r="G150" s="72">
        <v>45715</v>
      </c>
      <c r="H150" s="72"/>
      <c r="I150" s="71"/>
      <c r="J150" s="71">
        <v>0.33333333333333331</v>
      </c>
      <c r="K150" s="71"/>
      <c r="L150" s="71"/>
      <c r="M150" s="71"/>
      <c r="N150" s="71"/>
      <c r="O150" s="69"/>
      <c r="P150" s="69"/>
      <c r="Q150" s="14">
        <v>35</v>
      </c>
      <c r="R150" s="14">
        <v>5</v>
      </c>
      <c r="S150" s="14"/>
      <c r="T150" s="73"/>
      <c r="U150" s="14"/>
      <c r="V150" s="14"/>
      <c r="W150" s="14"/>
      <c r="X150" s="69"/>
      <c r="Y150" s="60">
        <f ca="1">Table24[[#This Row],[End Date]]+2-TODAY()</f>
        <v>-290</v>
      </c>
      <c r="Z150" s="14">
        <f>IF(ISBLANK(Table24[[#This Row],[Roster Received By]]),1,0)</f>
        <v>1</v>
      </c>
      <c r="AA150" s="14">
        <f ca="1">IF(Table24[[#This Row],[Start Date]]&gt;TODAY(),1,)</f>
        <v>0</v>
      </c>
    </row>
    <row r="151" spans="1:27" s="76" customFormat="1" ht="16.5" customHeight="1" x14ac:dyDescent="0.25">
      <c r="A151" s="121" t="s">
        <v>271</v>
      </c>
      <c r="B151" s="122" t="s">
        <v>55</v>
      </c>
      <c r="C151" s="124" t="s">
        <v>56</v>
      </c>
      <c r="D151" s="124" t="s">
        <v>57</v>
      </c>
      <c r="E151" s="122" t="s">
        <v>279</v>
      </c>
      <c r="F151" s="137">
        <v>45866</v>
      </c>
      <c r="G151" s="137">
        <v>45870</v>
      </c>
      <c r="H151" s="137"/>
      <c r="I151" s="126"/>
      <c r="J151" s="126">
        <v>0.33333333333333331</v>
      </c>
      <c r="K151" s="126"/>
      <c r="L151" s="126"/>
      <c r="M151" s="126"/>
      <c r="N151" s="126"/>
      <c r="O151" s="122"/>
      <c r="P151" s="122"/>
      <c r="Q151" s="127">
        <v>35</v>
      </c>
      <c r="R151" s="127">
        <v>5</v>
      </c>
      <c r="S151" s="14"/>
      <c r="T151" s="73"/>
      <c r="U151" s="14"/>
      <c r="V151" s="14"/>
      <c r="W151" s="14"/>
      <c r="X151" s="69"/>
      <c r="Y151" s="60">
        <f ca="1">Table24[[#This Row],[End Date]]+2-TODAY()</f>
        <v>-135</v>
      </c>
      <c r="Z151" s="14">
        <f>IF(ISBLANK(Table24[[#This Row],[Roster Received By]]),1,0)</f>
        <v>1</v>
      </c>
      <c r="AA151" s="14">
        <f ca="1">IF(Table24[[#This Row],[Start Date]]&gt;TODAY(),1,)</f>
        <v>0</v>
      </c>
    </row>
    <row r="152" spans="1:27" s="76" customFormat="1" ht="14.25" customHeight="1" x14ac:dyDescent="0.25">
      <c r="A152" s="122" t="s">
        <v>280</v>
      </c>
      <c r="B152" s="122" t="s">
        <v>55</v>
      </c>
      <c r="C152" s="124" t="s">
        <v>56</v>
      </c>
      <c r="D152" s="124" t="s">
        <v>57</v>
      </c>
      <c r="E152" s="122" t="s">
        <v>256</v>
      </c>
      <c r="F152" s="125">
        <v>45789</v>
      </c>
      <c r="G152" s="125">
        <v>45793</v>
      </c>
      <c r="H152" s="125"/>
      <c r="I152" s="126">
        <v>0.33333333333333331</v>
      </c>
      <c r="J152" s="126"/>
      <c r="K152" s="126"/>
      <c r="L152" s="126"/>
      <c r="M152" s="126"/>
      <c r="N152" s="126"/>
      <c r="O152" s="122"/>
      <c r="P152" s="122"/>
      <c r="Q152" s="127">
        <v>35</v>
      </c>
      <c r="R152" s="127">
        <v>5</v>
      </c>
      <c r="S152" s="14"/>
      <c r="T152" s="73"/>
      <c r="U152" s="14"/>
      <c r="V152" s="14"/>
      <c r="W152" s="14"/>
      <c r="X152" s="69"/>
      <c r="Y152" s="60">
        <f ca="1">Table24[[#This Row],[End Date]]+2-TODAY()</f>
        <v>-212</v>
      </c>
      <c r="Z152" s="14">
        <f>IF(ISBLANK(Table24[[#This Row],[Roster Received By]]),1,0)</f>
        <v>1</v>
      </c>
      <c r="AA152" s="14">
        <f ca="1">IF(Table24[[#This Row],[Start Date]]&gt;TODAY(),1,)</f>
        <v>0</v>
      </c>
    </row>
    <row r="153" spans="1:27" s="76" customFormat="1" ht="14.25" customHeight="1" x14ac:dyDescent="0.25">
      <c r="A153" s="52"/>
      <c r="B153" s="69" t="s">
        <v>55</v>
      </c>
      <c r="C153" s="70" t="s">
        <v>56</v>
      </c>
      <c r="D153" s="70" t="s">
        <v>57</v>
      </c>
      <c r="E153" s="69" t="s">
        <v>274</v>
      </c>
      <c r="F153" s="56">
        <v>45733</v>
      </c>
      <c r="G153" s="56">
        <v>45737</v>
      </c>
      <c r="H153" s="75"/>
      <c r="I153" s="71">
        <v>0.33333333333333331</v>
      </c>
      <c r="J153" s="72"/>
      <c r="K153" s="72"/>
      <c r="L153" s="72"/>
      <c r="M153" s="72"/>
      <c r="N153" s="72"/>
      <c r="O153" s="69"/>
      <c r="P153" s="69"/>
      <c r="Q153" s="14">
        <v>35</v>
      </c>
      <c r="R153" s="14">
        <v>5</v>
      </c>
      <c r="S153" s="14"/>
      <c r="T153" s="73"/>
      <c r="U153" s="14"/>
      <c r="V153" s="14"/>
      <c r="W153" s="70"/>
      <c r="X153" s="69"/>
      <c r="Y153" s="79">
        <f ca="1">Table24[[#This Row],[End Date]]+2-TODAY()</f>
        <v>-268</v>
      </c>
      <c r="Z153" s="14">
        <f>IF(ISBLANK(Table24[[#This Row],[Roster Received By]]),1,0)</f>
        <v>1</v>
      </c>
      <c r="AA153" s="70">
        <f ca="1">IF(Table24[[#This Row],[Start Date]]&gt;TODAY(),1,)</f>
        <v>0</v>
      </c>
    </row>
    <row r="154" spans="1:27" s="76" customFormat="1" ht="14.25" customHeight="1" x14ac:dyDescent="0.25">
      <c r="A154" s="52"/>
      <c r="B154" s="69" t="s">
        <v>55</v>
      </c>
      <c r="C154" s="70" t="s">
        <v>56</v>
      </c>
      <c r="D154" s="70" t="s">
        <v>57</v>
      </c>
      <c r="E154" s="106" t="s">
        <v>263</v>
      </c>
      <c r="F154" s="56">
        <v>45810</v>
      </c>
      <c r="G154" s="56">
        <v>45814</v>
      </c>
      <c r="H154" s="72"/>
      <c r="I154" s="71"/>
      <c r="J154" s="71"/>
      <c r="K154" s="71"/>
      <c r="L154" s="71"/>
      <c r="M154" s="71">
        <v>0.33333333333333331</v>
      </c>
      <c r="N154" s="71"/>
      <c r="O154" s="69"/>
      <c r="P154" s="69"/>
      <c r="Q154" s="14">
        <v>35</v>
      </c>
      <c r="R154" s="14">
        <v>5</v>
      </c>
      <c r="S154" s="14"/>
      <c r="T154" s="73"/>
      <c r="U154" s="14"/>
      <c r="V154" s="14"/>
      <c r="W154" s="14"/>
      <c r="X154" s="69"/>
      <c r="Y154" s="60">
        <f ca="1">Table24[[#This Row],[End Date]]+2-TODAY()</f>
        <v>-191</v>
      </c>
      <c r="Z154" s="14">
        <f>IF(ISBLANK(Table24[[#This Row],[Roster Received By]]),1,0)</f>
        <v>1</v>
      </c>
      <c r="AA154" s="14">
        <f ca="1">IF(Table24[[#This Row],[Start Date]]&gt;TODAY(),1,)</f>
        <v>0</v>
      </c>
    </row>
    <row r="155" spans="1:27" s="52" customFormat="1" x14ac:dyDescent="0.25">
      <c r="B155" s="69" t="s">
        <v>103</v>
      </c>
      <c r="C155" s="70" t="s">
        <v>104</v>
      </c>
      <c r="D155" s="70" t="s">
        <v>105</v>
      </c>
      <c r="E155" s="69"/>
      <c r="F155" s="72">
        <v>45621</v>
      </c>
      <c r="G155" s="72">
        <v>45625</v>
      </c>
      <c r="H155" s="75"/>
      <c r="I155" s="136">
        <v>0.33333333333333331</v>
      </c>
      <c r="J155" s="72"/>
      <c r="K155" s="72"/>
      <c r="L155" s="72"/>
      <c r="M155" s="72"/>
      <c r="N155" s="72"/>
      <c r="O155" s="69"/>
      <c r="P155" s="69"/>
      <c r="Q155" s="14">
        <v>30</v>
      </c>
      <c r="R155" s="14">
        <v>4</v>
      </c>
      <c r="S155" s="14"/>
      <c r="T155" s="73"/>
      <c r="U155" s="14"/>
      <c r="V155" s="14"/>
      <c r="W155" s="14"/>
      <c r="X155" s="69"/>
      <c r="Y155" s="60">
        <f ca="1">Table24[[#This Row],[End Date]]+2-TODAY()</f>
        <v>-380</v>
      </c>
      <c r="Z155" s="14">
        <f>IF(ISBLANK(Table24[[#This Row],[Roster Received By]]),1,0)</f>
        <v>1</v>
      </c>
      <c r="AA155" s="14">
        <f ca="1">IF(Table24[[#This Row],[Start Date]]&gt;TODAY(),1,)</f>
        <v>0</v>
      </c>
    </row>
    <row r="156" spans="1:27" s="52" customFormat="1" x14ac:dyDescent="0.25">
      <c r="A156" s="69"/>
      <c r="B156" s="69" t="s">
        <v>103</v>
      </c>
      <c r="C156" s="70" t="s">
        <v>104</v>
      </c>
      <c r="D156" s="70" t="s">
        <v>105</v>
      </c>
      <c r="E156" s="69"/>
      <c r="F156" s="72">
        <v>45670</v>
      </c>
      <c r="G156" s="72">
        <v>45673</v>
      </c>
      <c r="H156" s="75"/>
      <c r="I156" s="75"/>
      <c r="J156" s="136">
        <v>0.33333333333333331</v>
      </c>
      <c r="K156" s="72"/>
      <c r="L156" s="72"/>
      <c r="M156" s="72"/>
      <c r="N156" s="72"/>
      <c r="O156" s="69"/>
      <c r="P156" s="69"/>
      <c r="Q156" s="14">
        <v>30</v>
      </c>
      <c r="R156" s="14">
        <v>4</v>
      </c>
      <c r="S156" s="14"/>
      <c r="T156" s="73"/>
      <c r="U156" s="14"/>
      <c r="V156" s="14"/>
      <c r="W156" s="14"/>
      <c r="X156" s="69"/>
      <c r="Y156" s="60">
        <f ca="1">Table24[[#This Row],[End Date]]+2-TODAY()</f>
        <v>-332</v>
      </c>
      <c r="Z156" s="14">
        <f>IF(ISBLANK(Table24[[#This Row],[Roster Received By]]),1,0)</f>
        <v>1</v>
      </c>
      <c r="AA156" s="14">
        <f ca="1">IF(Table24[[#This Row],[Start Date]]&gt;TODAY(),1,)</f>
        <v>0</v>
      </c>
    </row>
    <row r="157" spans="1:27" s="52" customFormat="1" x14ac:dyDescent="0.25">
      <c r="B157" s="69" t="s">
        <v>103</v>
      </c>
      <c r="C157" s="70" t="s">
        <v>104</v>
      </c>
      <c r="D157" s="70" t="s">
        <v>105</v>
      </c>
      <c r="E157" s="69"/>
      <c r="F157" s="72">
        <v>45698</v>
      </c>
      <c r="G157" s="72">
        <v>45701</v>
      </c>
      <c r="H157" s="72"/>
      <c r="I157" s="71"/>
      <c r="J157" s="71"/>
      <c r="K157" s="71"/>
      <c r="L157" s="136">
        <v>0.33333333333333331</v>
      </c>
      <c r="M157" s="71"/>
      <c r="N157" s="71"/>
      <c r="O157" s="69"/>
      <c r="P157" s="69"/>
      <c r="Q157" s="14">
        <v>30</v>
      </c>
      <c r="R157" s="14">
        <v>4</v>
      </c>
      <c r="S157" s="14"/>
      <c r="T157" s="73"/>
      <c r="U157" s="14"/>
      <c r="V157" s="14"/>
      <c r="W157" s="14"/>
      <c r="X157" s="69"/>
      <c r="Y157" s="60">
        <f ca="1">Table24[[#This Row],[End Date]]+2-TODAY()</f>
        <v>-304</v>
      </c>
      <c r="Z157" s="14">
        <f>IF(ISBLANK(Table24[[#This Row],[Roster Received By]]),1,0)</f>
        <v>1</v>
      </c>
      <c r="AA157" s="14">
        <f ca="1">IF(Table24[[#This Row],[Start Date]]&gt;TODAY(),1,)</f>
        <v>0</v>
      </c>
    </row>
    <row r="158" spans="1:27" s="52" customFormat="1" x14ac:dyDescent="0.25">
      <c r="B158" s="69" t="s">
        <v>103</v>
      </c>
      <c r="C158" s="70" t="s">
        <v>104</v>
      </c>
      <c r="D158" s="70" t="s">
        <v>105</v>
      </c>
      <c r="E158" s="69"/>
      <c r="F158" s="72">
        <v>45733</v>
      </c>
      <c r="G158" s="72">
        <v>45736</v>
      </c>
      <c r="H158" s="72"/>
      <c r="I158" s="71"/>
      <c r="J158" s="71"/>
      <c r="K158" s="71"/>
      <c r="L158" s="71"/>
      <c r="M158" s="136">
        <v>0.33333333333333331</v>
      </c>
      <c r="N158" s="71"/>
      <c r="O158" s="69"/>
      <c r="P158" s="69"/>
      <c r="Q158" s="14">
        <v>30</v>
      </c>
      <c r="R158" s="14">
        <v>4</v>
      </c>
      <c r="S158" s="14"/>
      <c r="T158" s="73"/>
      <c r="U158" s="14"/>
      <c r="V158" s="14"/>
      <c r="W158" s="14"/>
      <c r="X158" s="69"/>
      <c r="Y158" s="60">
        <f ca="1">Table24[[#This Row],[End Date]]+2-TODAY()</f>
        <v>-269</v>
      </c>
      <c r="Z158" s="14">
        <f>IF(ISBLANK(Table24[[#This Row],[Roster Received By]]),1,0)</f>
        <v>1</v>
      </c>
      <c r="AA158" s="14">
        <f ca="1">IF(Table24[[#This Row],[Start Date]]&gt;TODAY(),1,)</f>
        <v>0</v>
      </c>
    </row>
    <row r="159" spans="1:27" s="52" customFormat="1" x14ac:dyDescent="0.25">
      <c r="A159" s="54"/>
      <c r="B159" s="69" t="s">
        <v>103</v>
      </c>
      <c r="C159" s="70" t="s">
        <v>104</v>
      </c>
      <c r="D159" s="70" t="s">
        <v>105</v>
      </c>
      <c r="E159" s="69"/>
      <c r="F159" s="72">
        <v>45754</v>
      </c>
      <c r="G159" s="72">
        <v>45757</v>
      </c>
      <c r="H159" s="75"/>
      <c r="I159" s="75"/>
      <c r="J159" s="72"/>
      <c r="K159" s="72"/>
      <c r="L159" s="72"/>
      <c r="M159" s="72"/>
      <c r="N159" s="136">
        <v>0.33333333333333331</v>
      </c>
      <c r="O159" s="69"/>
      <c r="P159" s="69"/>
      <c r="Q159" s="14">
        <v>30</v>
      </c>
      <c r="R159" s="14">
        <v>4</v>
      </c>
      <c r="S159" s="73"/>
      <c r="T159" s="73"/>
      <c r="U159" s="14"/>
      <c r="V159" s="14"/>
      <c r="W159" s="70"/>
      <c r="X159" s="69"/>
      <c r="Y159" s="79">
        <f ca="1">Table24[[#This Row],[End Date]]+2-TODAY()</f>
        <v>-248</v>
      </c>
      <c r="Z159" s="14">
        <f>IF(ISBLANK(Table24[[#This Row],[Roster Received By]]),1,0)</f>
        <v>1</v>
      </c>
      <c r="AA159" s="70">
        <f ca="1">IF(Table24[[#This Row],[Start Date]]&gt;TODAY(),1,)</f>
        <v>0</v>
      </c>
    </row>
    <row r="160" spans="1:27" s="52" customFormat="1" x14ac:dyDescent="0.25">
      <c r="A160" s="70"/>
      <c r="B160" s="69" t="s">
        <v>103</v>
      </c>
      <c r="C160" s="70" t="s">
        <v>104</v>
      </c>
      <c r="D160" s="70" t="s">
        <v>105</v>
      </c>
      <c r="E160" s="69"/>
      <c r="F160" s="72">
        <v>45796</v>
      </c>
      <c r="G160" s="72">
        <v>45799</v>
      </c>
      <c r="H160" s="78"/>
      <c r="I160" s="136">
        <v>0.33333333333333331</v>
      </c>
      <c r="J160" s="72"/>
      <c r="K160" s="72"/>
      <c r="L160" s="72"/>
      <c r="M160" s="72"/>
      <c r="N160" s="72"/>
      <c r="O160" s="69"/>
      <c r="P160" s="69"/>
      <c r="Q160" s="14">
        <v>30</v>
      </c>
      <c r="R160" s="14">
        <v>4</v>
      </c>
      <c r="S160" s="77"/>
      <c r="T160" s="73"/>
      <c r="U160" s="14"/>
      <c r="V160" s="14"/>
      <c r="W160" s="14"/>
      <c r="X160" s="69"/>
      <c r="Y160" s="60">
        <f ca="1">Table24[[#This Row],[End Date]]+2-TODAY()</f>
        <v>-206</v>
      </c>
      <c r="Z160" s="14">
        <f>IF(ISBLANK(Table24[[#This Row],[Roster Received By]]),1,0)</f>
        <v>1</v>
      </c>
      <c r="AA160" s="14">
        <f ca="1">IF(Table24[[#This Row],[Start Date]]&gt;TODAY(),1,)</f>
        <v>0</v>
      </c>
    </row>
    <row r="161" spans="1:27" s="52" customFormat="1" ht="15" customHeight="1" x14ac:dyDescent="0.25">
      <c r="B161" s="69" t="s">
        <v>103</v>
      </c>
      <c r="C161" s="70" t="s">
        <v>104</v>
      </c>
      <c r="D161" s="70" t="s">
        <v>105</v>
      </c>
      <c r="E161" s="69"/>
      <c r="F161" s="72">
        <v>45810</v>
      </c>
      <c r="G161" s="72">
        <v>45813</v>
      </c>
      <c r="H161" s="78"/>
      <c r="I161" s="78"/>
      <c r="J161" s="136">
        <v>0.33333333333333331</v>
      </c>
      <c r="K161" s="72"/>
      <c r="L161" s="72"/>
      <c r="M161" s="72"/>
      <c r="N161" s="72"/>
      <c r="O161" s="69"/>
      <c r="P161" s="69"/>
      <c r="Q161" s="14">
        <v>30</v>
      </c>
      <c r="R161" s="14">
        <v>4</v>
      </c>
      <c r="S161" s="14"/>
      <c r="T161" s="73"/>
      <c r="U161" s="14"/>
      <c r="V161" s="14"/>
      <c r="W161" s="14"/>
      <c r="X161" s="69"/>
      <c r="Y161" s="60">
        <f ca="1">Table24[[#This Row],[End Date]]+2-TODAY()</f>
        <v>-192</v>
      </c>
      <c r="Z161" s="14">
        <f>IF(ISBLANK(Table24[[#This Row],[Roster Received By]]),1,0)</f>
        <v>1</v>
      </c>
      <c r="AA161" s="14">
        <f ca="1">IF(Table24[[#This Row],[Start Date]]&gt;TODAY(),1,)</f>
        <v>0</v>
      </c>
    </row>
    <row r="162" spans="1:27" s="52" customFormat="1" x14ac:dyDescent="0.25">
      <c r="B162" s="69" t="s">
        <v>103</v>
      </c>
      <c r="C162" s="70" t="s">
        <v>104</v>
      </c>
      <c r="D162" s="70" t="s">
        <v>105</v>
      </c>
      <c r="E162" s="69"/>
      <c r="F162" s="72">
        <v>45859</v>
      </c>
      <c r="G162" s="72">
        <v>45862</v>
      </c>
      <c r="H162" s="75"/>
      <c r="I162" s="75"/>
      <c r="J162" s="72"/>
      <c r="K162" s="72"/>
      <c r="L162" s="72"/>
      <c r="M162" s="136">
        <v>0.33333333333333331</v>
      </c>
      <c r="N162" s="72"/>
      <c r="O162" s="69"/>
      <c r="P162" s="69"/>
      <c r="Q162" s="14">
        <v>30</v>
      </c>
      <c r="R162" s="14">
        <v>4</v>
      </c>
      <c r="S162" s="14"/>
      <c r="T162" s="73"/>
      <c r="U162" s="14"/>
      <c r="V162" s="14"/>
      <c r="W162" s="14"/>
      <c r="X162" s="69"/>
      <c r="Y162" s="60">
        <f ca="1">Table24[[#This Row],[End Date]]+2-TODAY()</f>
        <v>-143</v>
      </c>
      <c r="Z162" s="14">
        <f>IF(ISBLANK(Table24[[#This Row],[Roster Received By]]),1,0)</f>
        <v>1</v>
      </c>
      <c r="AA162" s="14">
        <f ca="1">IF(Table24[[#This Row],[Start Date]]&gt;TODAY(),1,)</f>
        <v>0</v>
      </c>
    </row>
    <row r="163" spans="1:27" s="52" customFormat="1" x14ac:dyDescent="0.25">
      <c r="B163" s="69" t="s">
        <v>103</v>
      </c>
      <c r="C163" s="70" t="s">
        <v>104</v>
      </c>
      <c r="D163" s="70" t="s">
        <v>105</v>
      </c>
      <c r="E163" s="69"/>
      <c r="F163" s="72">
        <v>45887</v>
      </c>
      <c r="G163" s="72">
        <v>45890</v>
      </c>
      <c r="H163" s="75"/>
      <c r="I163" s="136">
        <v>0.33333333333333331</v>
      </c>
      <c r="J163" s="72"/>
      <c r="K163" s="72"/>
      <c r="L163" s="72"/>
      <c r="M163" s="72"/>
      <c r="N163" s="72"/>
      <c r="O163" s="69"/>
      <c r="P163" s="69"/>
      <c r="Q163" s="14">
        <v>30</v>
      </c>
      <c r="R163" s="14">
        <v>4</v>
      </c>
      <c r="S163" s="73"/>
      <c r="T163" s="73"/>
      <c r="U163" s="14"/>
      <c r="V163" s="14"/>
      <c r="W163" s="14"/>
      <c r="X163" s="69"/>
      <c r="Y163" s="60">
        <f ca="1">Table24[[#This Row],[End Date]]+2-TODAY()</f>
        <v>-115</v>
      </c>
      <c r="Z163" s="14">
        <f>IF(ISBLANK(Table24[[#This Row],[Roster Received By]]),1,0)</f>
        <v>1</v>
      </c>
      <c r="AA163" s="14">
        <f ca="1">IF(Table24[[#This Row],[Start Date]]&gt;TODAY(),1,)</f>
        <v>0</v>
      </c>
    </row>
    <row r="164" spans="1:27" s="52" customFormat="1" x14ac:dyDescent="0.25">
      <c r="B164" s="69" t="s">
        <v>103</v>
      </c>
      <c r="C164" s="70" t="s">
        <v>104</v>
      </c>
      <c r="D164" s="70" t="s">
        <v>105</v>
      </c>
      <c r="E164" s="69"/>
      <c r="F164" s="72">
        <v>45915</v>
      </c>
      <c r="G164" s="72">
        <v>45918</v>
      </c>
      <c r="H164" s="75"/>
      <c r="I164" s="75"/>
      <c r="J164" s="72"/>
      <c r="K164" s="72"/>
      <c r="L164" s="136">
        <v>0.33333333333333331</v>
      </c>
      <c r="M164" s="72"/>
      <c r="N164" s="72"/>
      <c r="O164" s="69"/>
      <c r="P164" s="69"/>
      <c r="Q164" s="14">
        <v>30</v>
      </c>
      <c r="R164" s="14">
        <v>4</v>
      </c>
      <c r="S164" s="14"/>
      <c r="T164" s="73"/>
      <c r="U164" s="14"/>
      <c r="V164" s="14"/>
      <c r="W164" s="14"/>
      <c r="X164" s="69"/>
      <c r="Y164" s="60">
        <f ca="1">Table24[[#This Row],[End Date]]+2-TODAY()</f>
        <v>-87</v>
      </c>
      <c r="Z164" s="14">
        <f>IF(ISBLANK(Table24[[#This Row],[Roster Received By]]),1,0)</f>
        <v>1</v>
      </c>
      <c r="AA164" s="14">
        <f ca="1">IF(Table24[[#This Row],[Start Date]]&gt;TODAY(),1,)</f>
        <v>0</v>
      </c>
    </row>
    <row r="165" spans="1:27" s="52" customFormat="1" x14ac:dyDescent="0.25">
      <c r="B165" s="69"/>
      <c r="C165" s="70"/>
      <c r="D165" s="70"/>
      <c r="E165" s="111"/>
      <c r="F165" s="72"/>
      <c r="G165" s="72"/>
      <c r="H165" s="75"/>
      <c r="I165" s="71"/>
      <c r="J165" s="71"/>
      <c r="K165" s="71"/>
      <c r="L165" s="71"/>
      <c r="M165" s="71"/>
      <c r="N165" s="71"/>
      <c r="O165" s="69"/>
      <c r="P165" s="69"/>
      <c r="Q165" s="14" t="e">
        <v>#N/A</v>
      </c>
      <c r="R165" s="14" t="e">
        <v>#N/A</v>
      </c>
      <c r="S165" s="14"/>
      <c r="T165" s="73"/>
      <c r="U165" s="14"/>
      <c r="V165" s="14"/>
      <c r="W165" s="14"/>
      <c r="X165" s="69"/>
      <c r="Y165" s="60">
        <f ca="1">Table24[[#This Row],[End Date]]+2-TODAY()</f>
        <v>-46005</v>
      </c>
      <c r="Z165" s="14">
        <f>IF(ISBLANK(Table24[[#This Row],[Roster Received By]]),1,0)</f>
        <v>1</v>
      </c>
      <c r="AA165" s="14">
        <f ca="1">IF(Table24[[#This Row],[Start Date]]&gt;TODAY(),1,)</f>
        <v>0</v>
      </c>
    </row>
    <row r="166" spans="1:27" s="52" customFormat="1" x14ac:dyDescent="0.25">
      <c r="A166" s="69"/>
      <c r="B166" s="69"/>
      <c r="C166" s="70"/>
      <c r="D166" s="70"/>
      <c r="E166" s="54"/>
      <c r="F166" s="56"/>
      <c r="G166" s="56"/>
      <c r="H166" s="75"/>
      <c r="I166" s="75"/>
      <c r="J166" s="72"/>
      <c r="K166" s="72"/>
      <c r="L166" s="72"/>
      <c r="M166" s="72"/>
      <c r="N166" s="72"/>
      <c r="O166" s="69"/>
      <c r="P166" s="69"/>
      <c r="Q166" s="14" t="e">
        <v>#N/A</v>
      </c>
      <c r="R166" s="14" t="e">
        <v>#N/A</v>
      </c>
      <c r="S166" s="14"/>
      <c r="T166" s="73"/>
      <c r="U166" s="14"/>
      <c r="V166" s="14"/>
      <c r="W166" s="14"/>
      <c r="X166" s="69"/>
      <c r="Y166" s="60">
        <f ca="1">Table24[[#This Row],[End Date]]+2-TODAY()</f>
        <v>-46005</v>
      </c>
      <c r="Z166" s="14">
        <f>IF(ISBLANK(Table24[[#This Row],[Roster Received By]]),1,0)</f>
        <v>1</v>
      </c>
      <c r="AA166" s="14">
        <f ca="1">IF(Table24[[#This Row],[Start Date]]&gt;TODAY(),1,)</f>
        <v>0</v>
      </c>
    </row>
    <row r="167" spans="1:27" s="52" customFormat="1" x14ac:dyDescent="0.25">
      <c r="B167" s="69"/>
      <c r="C167" s="70"/>
      <c r="D167" s="70"/>
      <c r="E167" s="69"/>
      <c r="F167" s="72"/>
      <c r="G167" s="72"/>
      <c r="H167" s="72"/>
      <c r="I167" s="71"/>
      <c r="J167" s="71"/>
      <c r="K167" s="71"/>
      <c r="L167" s="71"/>
      <c r="M167" s="71"/>
      <c r="N167" s="71"/>
      <c r="O167" s="69"/>
      <c r="P167" s="69"/>
      <c r="Q167" s="14" t="e">
        <v>#N/A</v>
      </c>
      <c r="R167" s="14" t="e">
        <v>#N/A</v>
      </c>
      <c r="S167" s="14"/>
      <c r="T167" s="73"/>
      <c r="U167" s="14"/>
      <c r="V167" s="14"/>
      <c r="W167" s="14"/>
      <c r="X167" s="69"/>
      <c r="Y167" s="60">
        <f ca="1">Table24[[#This Row],[End Date]]+2-TODAY()</f>
        <v>-46005</v>
      </c>
      <c r="Z167" s="14">
        <f>IF(ISBLANK(Table24[[#This Row],[Roster Received By]]),1,0)</f>
        <v>1</v>
      </c>
      <c r="AA167" s="14">
        <f ca="1">IF(Table24[[#This Row],[Start Date]]&gt;TODAY(),1,)</f>
        <v>0</v>
      </c>
    </row>
    <row r="168" spans="1:27" s="52" customFormat="1" x14ac:dyDescent="0.25">
      <c r="B168" s="69"/>
      <c r="C168" s="70"/>
      <c r="D168" s="70"/>
      <c r="E168" s="69"/>
      <c r="F168" s="72"/>
      <c r="G168" s="72"/>
      <c r="H168" s="72"/>
      <c r="I168" s="71"/>
      <c r="J168" s="71"/>
      <c r="K168" s="71"/>
      <c r="L168" s="71"/>
      <c r="M168" s="71"/>
      <c r="N168" s="71"/>
      <c r="O168" s="69"/>
      <c r="P168" s="69"/>
      <c r="Q168" s="14" t="e">
        <v>#N/A</v>
      </c>
      <c r="R168" s="14" t="e">
        <v>#N/A</v>
      </c>
      <c r="S168" s="14"/>
      <c r="T168" s="73"/>
      <c r="U168" s="14"/>
      <c r="V168" s="14"/>
      <c r="W168" s="70"/>
      <c r="X168" s="69"/>
      <c r="Y168" s="60">
        <f ca="1">Table24[[#This Row],[End Date]]+2-TODAY()</f>
        <v>-46005</v>
      </c>
      <c r="Z168" s="14">
        <f>IF(ISBLANK(Table24[[#This Row],[Roster Received By]]),1,0)</f>
        <v>1</v>
      </c>
      <c r="AA168" s="14">
        <f ca="1">IF(Table24[[#This Row],[Start Date]]&gt;TODAY(),1,)</f>
        <v>0</v>
      </c>
    </row>
    <row r="169" spans="1:27" s="52" customFormat="1" x14ac:dyDescent="0.25">
      <c r="B169" s="69"/>
      <c r="C169" s="70"/>
      <c r="D169" s="70"/>
      <c r="E169" s="69"/>
      <c r="F169" s="80"/>
      <c r="G169" s="80"/>
      <c r="H169" s="75"/>
      <c r="I169" s="71"/>
      <c r="J169" s="71"/>
      <c r="K169" s="71"/>
      <c r="L169" s="71"/>
      <c r="M169" s="71"/>
      <c r="N169" s="71"/>
      <c r="O169" s="69"/>
      <c r="P169" s="69"/>
      <c r="Q169" s="14" t="e">
        <v>#N/A</v>
      </c>
      <c r="R169" s="14" t="e">
        <v>#N/A</v>
      </c>
      <c r="S169" s="73"/>
      <c r="T169" s="73"/>
      <c r="U169" s="14"/>
      <c r="V169" s="14"/>
      <c r="W169" s="70"/>
      <c r="X169" s="69"/>
      <c r="Y169" s="60">
        <f ca="1">Table24[[#This Row],[End Date]]+2-TODAY()</f>
        <v>-46005</v>
      </c>
      <c r="Z169" s="14">
        <f>IF(ISBLANK(Table24[[#This Row],[Roster Received By]]),1,0)</f>
        <v>1</v>
      </c>
      <c r="AA169" s="14">
        <f ca="1">IF(Table24[[#This Row],[Start Date]]&gt;TODAY(),1,)</f>
        <v>0</v>
      </c>
    </row>
    <row r="170" spans="1:27" s="52" customFormat="1" x14ac:dyDescent="0.25">
      <c r="B170" s="69"/>
      <c r="C170" s="70"/>
      <c r="D170" s="70"/>
      <c r="E170" s="94"/>
      <c r="F170" s="68"/>
      <c r="G170" s="68"/>
      <c r="H170" s="71"/>
      <c r="I170" s="71"/>
      <c r="J170" s="71"/>
      <c r="K170" s="71"/>
      <c r="L170" s="71"/>
      <c r="M170" s="71"/>
      <c r="N170" s="71"/>
      <c r="O170" s="69"/>
      <c r="P170" s="69"/>
      <c r="Q170" s="14" t="e">
        <v>#N/A</v>
      </c>
      <c r="R170" s="14" t="e">
        <v>#N/A</v>
      </c>
      <c r="S170" s="14"/>
      <c r="T170" s="73"/>
      <c r="U170" s="14"/>
      <c r="V170" s="14"/>
      <c r="W170" s="14"/>
      <c r="X170" s="69"/>
      <c r="Y170" s="60">
        <f ca="1">Table24[[#This Row],[End Date]]+2-TODAY()</f>
        <v>-46005</v>
      </c>
      <c r="Z170" s="14">
        <f>IF(ISBLANK(Table24[[#This Row],[Roster Received By]]),1,0)</f>
        <v>1</v>
      </c>
      <c r="AA170" s="14">
        <f ca="1">IF(Table24[[#This Row],[Start Date]]&gt;TODAY(),1,)</f>
        <v>0</v>
      </c>
    </row>
    <row r="171" spans="1:27" s="52" customFormat="1" x14ac:dyDescent="0.25">
      <c r="B171" s="69"/>
      <c r="C171" s="70"/>
      <c r="D171" s="70"/>
      <c r="E171"/>
      <c r="F171" s="80"/>
      <c r="G171" s="80"/>
      <c r="H171" s="75"/>
      <c r="I171" s="75"/>
      <c r="J171" s="72"/>
      <c r="K171" s="72"/>
      <c r="L171" s="72"/>
      <c r="M171" s="72"/>
      <c r="N171" s="72"/>
      <c r="O171" s="69"/>
      <c r="P171" s="69"/>
      <c r="Q171" s="14" t="e">
        <v>#N/A</v>
      </c>
      <c r="R171" s="14" t="e">
        <v>#N/A</v>
      </c>
      <c r="S171" s="14"/>
      <c r="T171" s="73"/>
      <c r="U171" s="14"/>
      <c r="V171" s="14"/>
      <c r="W171" s="14"/>
      <c r="X171" s="69"/>
      <c r="Y171" s="60">
        <f ca="1">Table24[[#This Row],[End Date]]+2-TODAY()</f>
        <v>-46005</v>
      </c>
      <c r="Z171" s="14">
        <f>IF(ISBLANK(Table24[[#This Row],[Roster Received By]]),1,0)</f>
        <v>1</v>
      </c>
      <c r="AA171" s="14">
        <f ca="1">IF(Table24[[#This Row],[Start Date]]&gt;TODAY(),1,)</f>
        <v>0</v>
      </c>
    </row>
    <row r="172" spans="1:27" s="52" customFormat="1" x14ac:dyDescent="0.25">
      <c r="B172" s="69"/>
      <c r="C172" s="70"/>
      <c r="D172" s="70"/>
      <c r="E172" s="69"/>
      <c r="F172" s="80"/>
      <c r="G172" s="80"/>
      <c r="H172" s="72"/>
      <c r="I172" s="71"/>
      <c r="J172" s="71"/>
      <c r="K172" s="71"/>
      <c r="L172" s="71"/>
      <c r="M172" s="71"/>
      <c r="N172" s="71"/>
      <c r="O172" s="69"/>
      <c r="P172" s="69"/>
      <c r="Q172" s="14" t="e">
        <v>#N/A</v>
      </c>
      <c r="R172" s="14" t="e">
        <v>#N/A</v>
      </c>
      <c r="S172" s="14"/>
      <c r="T172" s="73"/>
      <c r="U172" s="14"/>
      <c r="V172" s="14"/>
      <c r="W172" s="14"/>
      <c r="X172" s="69"/>
      <c r="Y172" s="60">
        <f ca="1">Table24[[#This Row],[End Date]]+2-TODAY()</f>
        <v>-46005</v>
      </c>
      <c r="Z172" s="14">
        <f>IF(ISBLANK(Table24[[#This Row],[Roster Received By]]),1,0)</f>
        <v>1</v>
      </c>
      <c r="AA172" s="14">
        <f ca="1">IF(Table24[[#This Row],[Start Date]]&gt;TODAY(),1,)</f>
        <v>0</v>
      </c>
    </row>
    <row r="173" spans="1:27" s="52" customFormat="1" x14ac:dyDescent="0.25">
      <c r="B173" s="69"/>
      <c r="C173" s="70"/>
      <c r="D173" s="70"/>
      <c r="E173" s="69"/>
      <c r="F173" s="72"/>
      <c r="G173" s="72"/>
      <c r="H173" s="72"/>
      <c r="I173" s="71"/>
      <c r="J173" s="71"/>
      <c r="K173" s="71"/>
      <c r="L173" s="71"/>
      <c r="M173" s="71"/>
      <c r="N173" s="71"/>
      <c r="O173" s="69"/>
      <c r="P173" s="69"/>
      <c r="Q173" s="14" t="e">
        <v>#N/A</v>
      </c>
      <c r="R173" s="14" t="e">
        <v>#N/A</v>
      </c>
      <c r="S173" s="14"/>
      <c r="T173" s="73"/>
      <c r="U173" s="14"/>
      <c r="V173" s="14"/>
      <c r="W173" s="14"/>
      <c r="X173" s="69"/>
      <c r="Y173" s="60">
        <f ca="1">Table24[[#This Row],[End Date]]+2-TODAY()</f>
        <v>-46005</v>
      </c>
      <c r="Z173" s="14">
        <f>IF(ISBLANK(Table24[[#This Row],[Roster Received By]]),1,0)</f>
        <v>1</v>
      </c>
      <c r="AA173" s="14">
        <f ca="1">IF(Table24[[#This Row],[Start Date]]&gt;TODAY(),1,)</f>
        <v>0</v>
      </c>
    </row>
    <row r="174" spans="1:27" s="52" customFormat="1" x14ac:dyDescent="0.25">
      <c r="B174" s="69"/>
      <c r="C174" s="70"/>
      <c r="D174" s="70"/>
      <c r="E174" s="69"/>
      <c r="F174" s="80"/>
      <c r="G174" s="80"/>
      <c r="H174" s="72"/>
      <c r="I174" s="71"/>
      <c r="J174" s="71"/>
      <c r="K174" s="71"/>
      <c r="L174" s="71"/>
      <c r="M174" s="71"/>
      <c r="N174" s="71"/>
      <c r="O174" s="69"/>
      <c r="P174" s="69"/>
      <c r="Q174" s="14" t="e">
        <v>#N/A</v>
      </c>
      <c r="R174" s="14" t="e">
        <v>#N/A</v>
      </c>
      <c r="S174" s="14"/>
      <c r="T174" s="73"/>
      <c r="U174" s="14"/>
      <c r="V174" s="14"/>
      <c r="W174" s="14"/>
      <c r="X174" s="69"/>
      <c r="Y174" s="60">
        <f ca="1">Table24[[#This Row],[End Date]]+2-TODAY()</f>
        <v>-46005</v>
      </c>
      <c r="Z174" s="14">
        <f>IF(ISBLANK(Table24[[#This Row],[Roster Received By]]),1,0)</f>
        <v>1</v>
      </c>
      <c r="AA174" s="14">
        <f ca="1">IF(Table24[[#This Row],[Start Date]]&gt;TODAY(),1,)</f>
        <v>0</v>
      </c>
    </row>
    <row r="175" spans="1:27" s="52" customFormat="1" x14ac:dyDescent="0.25">
      <c r="B175" s="69"/>
      <c r="C175" s="70"/>
      <c r="D175" s="70"/>
      <c r="E175" s="69"/>
      <c r="F175" s="80"/>
      <c r="G175" s="80"/>
      <c r="H175" s="72"/>
      <c r="I175" s="71"/>
      <c r="J175" s="71"/>
      <c r="K175" s="71"/>
      <c r="L175" s="71"/>
      <c r="M175" s="71"/>
      <c r="N175" s="71"/>
      <c r="O175" s="69"/>
      <c r="P175" s="69"/>
      <c r="Q175" s="14" t="e">
        <v>#N/A</v>
      </c>
      <c r="R175" s="14" t="e">
        <v>#N/A</v>
      </c>
      <c r="S175" s="14"/>
      <c r="T175" s="73"/>
      <c r="U175" s="14"/>
      <c r="V175" s="14"/>
      <c r="W175" s="14"/>
      <c r="X175" s="69"/>
      <c r="Y175" s="60">
        <f ca="1">Table24[[#This Row],[End Date]]+2-TODAY()</f>
        <v>-46005</v>
      </c>
      <c r="Z175" s="14">
        <f>IF(ISBLANK(Table24[[#This Row],[Roster Received By]]),1,0)</f>
        <v>1</v>
      </c>
      <c r="AA175" s="14">
        <f ca="1">IF(Table24[[#This Row],[Start Date]]&gt;TODAY(),1,)</f>
        <v>0</v>
      </c>
    </row>
    <row r="176" spans="1:27" s="52" customFormat="1" x14ac:dyDescent="0.25">
      <c r="B176" s="69"/>
      <c r="C176" s="70"/>
      <c r="D176" s="70"/>
      <c r="E176" s="69"/>
      <c r="F176" s="80"/>
      <c r="G176" s="80"/>
      <c r="H176" s="72"/>
      <c r="I176" s="71"/>
      <c r="J176" s="71"/>
      <c r="K176" s="71"/>
      <c r="L176" s="71"/>
      <c r="M176" s="71"/>
      <c r="N176" s="71"/>
      <c r="O176" s="69"/>
      <c r="P176" s="69"/>
      <c r="Q176" s="14" t="e">
        <v>#N/A</v>
      </c>
      <c r="R176" s="14" t="e">
        <v>#N/A</v>
      </c>
      <c r="S176" s="14"/>
      <c r="T176" s="73"/>
      <c r="U176" s="14"/>
      <c r="V176" s="14"/>
      <c r="W176" s="14"/>
      <c r="X176" s="69"/>
      <c r="Y176" s="60">
        <f ca="1">Table24[[#This Row],[End Date]]+2-TODAY()</f>
        <v>-46005</v>
      </c>
      <c r="Z176" s="14">
        <f>IF(ISBLANK(Table24[[#This Row],[Roster Received By]]),1,0)</f>
        <v>1</v>
      </c>
      <c r="AA176" s="14">
        <f ca="1">IF(Table24[[#This Row],[Start Date]]&gt;TODAY(),1,)</f>
        <v>0</v>
      </c>
    </row>
    <row r="177" spans="1:27" s="52" customFormat="1" x14ac:dyDescent="0.25">
      <c r="B177" s="69"/>
      <c r="C177" s="70"/>
      <c r="D177" s="70"/>
      <c r="E177" s="69"/>
      <c r="F177" s="80"/>
      <c r="G177" s="80"/>
      <c r="H177" s="72"/>
      <c r="I177" s="71"/>
      <c r="J177" s="71"/>
      <c r="K177" s="71"/>
      <c r="L177" s="71"/>
      <c r="M177" s="71"/>
      <c r="N177" s="71"/>
      <c r="O177" s="69"/>
      <c r="P177" s="69"/>
      <c r="Q177" s="14" t="e">
        <v>#N/A</v>
      </c>
      <c r="R177" s="14" t="e">
        <v>#N/A</v>
      </c>
      <c r="S177" s="14"/>
      <c r="T177" s="73"/>
      <c r="U177" s="14"/>
      <c r="V177" s="14"/>
      <c r="W177" s="70"/>
      <c r="X177" s="69"/>
      <c r="Y177" s="60">
        <f ca="1">Table24[[#This Row],[End Date]]+2-TODAY()</f>
        <v>-46005</v>
      </c>
      <c r="Z177" s="14">
        <f>IF(ISBLANK(Table24[[#This Row],[Roster Received By]]),1,0)</f>
        <v>1</v>
      </c>
      <c r="AA177" s="14">
        <f ca="1">IF(Table24[[#This Row],[Start Date]]&gt;TODAY(),1,)</f>
        <v>0</v>
      </c>
    </row>
    <row r="178" spans="1:27" s="52" customFormat="1" x14ac:dyDescent="0.25">
      <c r="B178" s="69"/>
      <c r="C178" s="70"/>
      <c r="D178" s="70"/>
      <c r="E178" s="69"/>
      <c r="F178" s="80"/>
      <c r="G178" s="80"/>
      <c r="H178" s="72"/>
      <c r="I178" s="71"/>
      <c r="J178" s="71"/>
      <c r="K178" s="71"/>
      <c r="L178" s="71"/>
      <c r="M178" s="71"/>
      <c r="N178" s="71"/>
      <c r="O178" s="69"/>
      <c r="P178" s="69"/>
      <c r="Q178" s="14" t="e">
        <v>#N/A</v>
      </c>
      <c r="R178" s="14" t="e">
        <v>#N/A</v>
      </c>
      <c r="S178" s="14"/>
      <c r="T178" s="73"/>
      <c r="U178" s="14"/>
      <c r="V178" s="14"/>
      <c r="W178" s="14"/>
      <c r="X178" s="69"/>
      <c r="Y178" s="60">
        <f ca="1">Table24[[#This Row],[End Date]]+2-TODAY()</f>
        <v>-46005</v>
      </c>
      <c r="Z178" s="14">
        <f>IF(ISBLANK(Table24[[#This Row],[Roster Received By]]),1,0)</f>
        <v>1</v>
      </c>
      <c r="AA178" s="14">
        <f ca="1">IF(Table24[[#This Row],[Start Date]]&gt;TODAY(),1,)</f>
        <v>0</v>
      </c>
    </row>
    <row r="179" spans="1:27" s="52" customFormat="1" x14ac:dyDescent="0.25">
      <c r="B179" s="69"/>
      <c r="C179" s="70"/>
      <c r="D179" s="70"/>
      <c r="E179" s="69"/>
      <c r="F179" s="80"/>
      <c r="G179" s="80"/>
      <c r="H179" s="72"/>
      <c r="I179" s="71"/>
      <c r="J179" s="71"/>
      <c r="K179" s="71"/>
      <c r="L179" s="71"/>
      <c r="M179" s="71"/>
      <c r="N179" s="71"/>
      <c r="O179" s="69"/>
      <c r="P179" s="69"/>
      <c r="Q179" s="14" t="e">
        <v>#N/A</v>
      </c>
      <c r="R179" s="14" t="e">
        <v>#N/A</v>
      </c>
      <c r="S179" s="14"/>
      <c r="T179" s="73"/>
      <c r="U179" s="14"/>
      <c r="V179" s="14"/>
      <c r="W179" s="14"/>
      <c r="X179" s="69"/>
      <c r="Y179" s="60">
        <f ca="1">Table24[[#This Row],[End Date]]+2-TODAY()</f>
        <v>-46005</v>
      </c>
      <c r="Z179" s="14">
        <f>IF(ISBLANK(Table24[[#This Row],[Roster Received By]]),1,0)</f>
        <v>1</v>
      </c>
      <c r="AA179" s="14">
        <f ca="1">IF(Table24[[#This Row],[Start Date]]&gt;TODAY(),1,)</f>
        <v>0</v>
      </c>
    </row>
    <row r="180" spans="1:27" s="52" customFormat="1" x14ac:dyDescent="0.25">
      <c r="B180" s="69"/>
      <c r="C180" s="70"/>
      <c r="D180" s="70"/>
      <c r="E180" s="69"/>
      <c r="F180" s="80"/>
      <c r="G180" s="80"/>
      <c r="H180" s="75"/>
      <c r="I180" s="75"/>
      <c r="J180" s="75"/>
      <c r="K180" s="75"/>
      <c r="L180" s="75"/>
      <c r="M180" s="75"/>
      <c r="N180" s="72"/>
      <c r="O180" s="69"/>
      <c r="P180" s="69"/>
      <c r="Q180" s="14" t="e">
        <v>#N/A</v>
      </c>
      <c r="R180" s="14" t="e">
        <v>#N/A</v>
      </c>
      <c r="S180" s="14"/>
      <c r="T180" s="73"/>
      <c r="U180" s="14"/>
      <c r="V180" s="14"/>
      <c r="W180" s="14"/>
      <c r="X180" s="69"/>
      <c r="Y180" s="60">
        <f ca="1">Table24[[#This Row],[End Date]]+2-TODAY()</f>
        <v>-46005</v>
      </c>
      <c r="Z180" s="14">
        <f>IF(ISBLANK(Table24[[#This Row],[Roster Received By]]),1,0)</f>
        <v>1</v>
      </c>
      <c r="AA180" s="14">
        <f ca="1">IF(Table24[[#This Row],[Start Date]]&gt;TODAY(),1,)</f>
        <v>0</v>
      </c>
    </row>
    <row r="181" spans="1:27" s="52" customFormat="1" x14ac:dyDescent="0.25">
      <c r="B181" s="69"/>
      <c r="C181" s="70"/>
      <c r="D181" s="70"/>
      <c r="E181" s="69"/>
      <c r="F181" s="72"/>
      <c r="G181" s="72"/>
      <c r="H181" s="72"/>
      <c r="I181" s="71"/>
      <c r="J181" s="71"/>
      <c r="K181" s="71"/>
      <c r="L181" s="71"/>
      <c r="M181" s="71"/>
      <c r="N181" s="71"/>
      <c r="O181" s="69"/>
      <c r="P181" s="69"/>
      <c r="Q181" s="14" t="e">
        <v>#N/A</v>
      </c>
      <c r="R181" s="14" t="e">
        <v>#N/A</v>
      </c>
      <c r="S181" s="14"/>
      <c r="T181" s="73"/>
      <c r="U181" s="14"/>
      <c r="V181" s="14"/>
      <c r="W181" s="14"/>
      <c r="X181" s="69"/>
      <c r="Y181" s="60">
        <f ca="1">Table24[[#This Row],[End Date]]+2-TODAY()</f>
        <v>-46005</v>
      </c>
      <c r="Z181" s="14">
        <f>IF(ISBLANK(Table24[[#This Row],[Roster Received By]]),1,0)</f>
        <v>1</v>
      </c>
      <c r="AA181" s="14">
        <f ca="1">IF(Table24[[#This Row],[Start Date]]&gt;TODAY(),1,)</f>
        <v>0</v>
      </c>
    </row>
    <row r="182" spans="1:27" s="15" customFormat="1" ht="14.25" customHeight="1" x14ac:dyDescent="0.25">
      <c r="A182" s="52"/>
      <c r="B182" s="69"/>
      <c r="C182" s="70"/>
      <c r="D182" s="70"/>
      <c r="E182" s="69"/>
      <c r="F182" s="72"/>
      <c r="G182" s="72"/>
      <c r="H182" s="75"/>
      <c r="I182" s="75"/>
      <c r="J182" s="72"/>
      <c r="K182" s="72"/>
      <c r="L182" s="72"/>
      <c r="M182" s="72"/>
      <c r="N182" s="72"/>
      <c r="O182" s="69"/>
      <c r="P182" s="69"/>
      <c r="Q182" s="14" t="e">
        <v>#N/A</v>
      </c>
      <c r="R182" s="14" t="e">
        <v>#N/A</v>
      </c>
      <c r="S182" s="14"/>
      <c r="T182" s="73"/>
      <c r="U182" s="14"/>
      <c r="V182" s="14"/>
      <c r="W182" s="14"/>
      <c r="X182" s="69"/>
      <c r="Y182" s="60">
        <f ca="1">Table24[[#This Row],[End Date]]+2-TODAY()</f>
        <v>-46005</v>
      </c>
      <c r="Z182" s="14">
        <f>IF(ISBLANK(Table24[[#This Row],[Roster Received By]]),1,0)</f>
        <v>1</v>
      </c>
      <c r="AA182" s="14">
        <f ca="1">IF(Table24[[#This Row],[Start Date]]&gt;TODAY(),1,)</f>
        <v>0</v>
      </c>
    </row>
    <row r="183" spans="1:27" s="52" customFormat="1" ht="15" customHeight="1" x14ac:dyDescent="0.25">
      <c r="B183" s="69"/>
      <c r="C183" s="70"/>
      <c r="D183" s="70"/>
      <c r="E183" s="69"/>
      <c r="F183" s="80"/>
      <c r="G183" s="80"/>
      <c r="H183" s="75"/>
      <c r="I183" s="75"/>
      <c r="J183" s="72"/>
      <c r="K183" s="72"/>
      <c r="L183" s="72"/>
      <c r="M183" s="72"/>
      <c r="N183" s="72"/>
      <c r="O183" s="69"/>
      <c r="P183" s="69"/>
      <c r="Q183" s="14" t="e">
        <v>#N/A</v>
      </c>
      <c r="R183" s="14" t="e">
        <v>#N/A</v>
      </c>
      <c r="S183" s="14"/>
      <c r="T183" s="73"/>
      <c r="U183" s="14"/>
      <c r="V183" s="14"/>
      <c r="W183" s="14"/>
      <c r="X183" s="69"/>
      <c r="Y183" s="60">
        <f ca="1">Table24[[#This Row],[End Date]]+2-TODAY()</f>
        <v>-46005</v>
      </c>
      <c r="Z183" s="14">
        <f>IF(ISBLANK(Table24[[#This Row],[Roster Received By]]),1,0)</f>
        <v>1</v>
      </c>
      <c r="AA183" s="14">
        <f ca="1">IF(Table24[[#This Row],[Start Date]]&gt;TODAY(),1,)</f>
        <v>0</v>
      </c>
    </row>
    <row r="184" spans="1:27" s="52" customFormat="1" x14ac:dyDescent="0.25">
      <c r="B184" s="69"/>
      <c r="C184" s="70"/>
      <c r="D184" s="70"/>
      <c r="E184" s="69"/>
      <c r="F184" s="80"/>
      <c r="G184" s="80"/>
      <c r="H184" s="72"/>
      <c r="I184" s="71"/>
      <c r="J184" s="71"/>
      <c r="K184" s="71"/>
      <c r="L184" s="71"/>
      <c r="M184" s="71"/>
      <c r="N184" s="71"/>
      <c r="O184" s="69"/>
      <c r="P184" s="69"/>
      <c r="Q184" s="14" t="e">
        <v>#N/A</v>
      </c>
      <c r="R184" s="14" t="e">
        <v>#N/A</v>
      </c>
      <c r="S184" s="14"/>
      <c r="T184" s="73"/>
      <c r="U184" s="14"/>
      <c r="V184" s="14"/>
      <c r="W184" s="14"/>
      <c r="X184" s="69"/>
      <c r="Y184" s="60">
        <f ca="1">Table24[[#This Row],[End Date]]+2-TODAY()</f>
        <v>-46005</v>
      </c>
      <c r="Z184" s="14">
        <f>IF(ISBLANK(Table24[[#This Row],[Roster Received By]]),1,0)</f>
        <v>1</v>
      </c>
      <c r="AA184" s="14">
        <f ca="1">IF(Table24[[#This Row],[Start Date]]&gt;TODAY(),1,)</f>
        <v>0</v>
      </c>
    </row>
    <row r="185" spans="1:27" s="52" customFormat="1" x14ac:dyDescent="0.25">
      <c r="B185" s="69"/>
      <c r="C185" s="70"/>
      <c r="D185" s="70"/>
      <c r="E185" s="69"/>
      <c r="F185" s="72"/>
      <c r="G185" s="72"/>
      <c r="H185" s="75"/>
      <c r="I185" s="75"/>
      <c r="J185" s="72"/>
      <c r="K185" s="72"/>
      <c r="L185" s="72"/>
      <c r="M185" s="72"/>
      <c r="N185" s="72"/>
      <c r="O185" s="69"/>
      <c r="P185" s="69"/>
      <c r="Q185" s="14" t="e">
        <v>#N/A</v>
      </c>
      <c r="R185" s="14" t="e">
        <v>#N/A</v>
      </c>
      <c r="S185" s="73"/>
      <c r="T185" s="73"/>
      <c r="U185" s="14"/>
      <c r="V185" s="14"/>
      <c r="W185" s="14"/>
      <c r="X185" s="69"/>
      <c r="Y185" s="60">
        <f ca="1">Table24[[#This Row],[End Date]]+2-TODAY()</f>
        <v>-46005</v>
      </c>
      <c r="Z185" s="14">
        <f>IF(ISBLANK(Table24[[#This Row],[Roster Received By]]),1,0)</f>
        <v>1</v>
      </c>
      <c r="AA185" s="14">
        <f ca="1">IF(Table24[[#This Row],[Start Date]]&gt;TODAY(),1,)</f>
        <v>0</v>
      </c>
    </row>
    <row r="186" spans="1:27" s="52" customFormat="1" x14ac:dyDescent="0.25">
      <c r="B186" s="69"/>
      <c r="C186" s="70"/>
      <c r="D186" s="70"/>
      <c r="E186" s="69"/>
      <c r="F186" s="72"/>
      <c r="G186" s="72"/>
      <c r="H186" s="72"/>
      <c r="I186" s="71"/>
      <c r="J186" s="71"/>
      <c r="K186" s="71"/>
      <c r="L186" s="71"/>
      <c r="M186" s="71"/>
      <c r="N186" s="71"/>
      <c r="O186" s="69"/>
      <c r="P186" s="69"/>
      <c r="Q186" s="14" t="e">
        <v>#N/A</v>
      </c>
      <c r="R186" s="14" t="e">
        <v>#N/A</v>
      </c>
      <c r="S186" s="14"/>
      <c r="T186" s="73"/>
      <c r="U186" s="14"/>
      <c r="V186" s="14"/>
      <c r="W186" s="77"/>
      <c r="X186" s="69"/>
      <c r="Y186" s="60">
        <f ca="1">Table24[[#This Row],[End Date]]+2-TODAY()</f>
        <v>-46005</v>
      </c>
      <c r="Z186" s="14">
        <f>IF(ISBLANK(Table24[[#This Row],[Roster Received By]]),1,0)</f>
        <v>1</v>
      </c>
      <c r="AA186" s="14">
        <f ca="1">IF(Table24[[#This Row],[Start Date]]&gt;TODAY(),1,)</f>
        <v>0</v>
      </c>
    </row>
    <row r="187" spans="1:27" s="52" customFormat="1" x14ac:dyDescent="0.25">
      <c r="B187" s="69"/>
      <c r="C187" s="70"/>
      <c r="D187" s="70"/>
      <c r="E187" s="69"/>
      <c r="F187" s="72"/>
      <c r="G187" s="72"/>
      <c r="H187" s="72"/>
      <c r="I187" s="71"/>
      <c r="J187" s="71"/>
      <c r="K187" s="71"/>
      <c r="L187" s="71"/>
      <c r="M187" s="71"/>
      <c r="N187" s="71"/>
      <c r="O187" s="69"/>
      <c r="P187" s="69"/>
      <c r="Q187" s="14" t="e">
        <v>#N/A</v>
      </c>
      <c r="R187" s="14" t="e">
        <v>#N/A</v>
      </c>
      <c r="S187" s="14"/>
      <c r="T187" s="73"/>
      <c r="U187" s="14"/>
      <c r="V187" s="14"/>
      <c r="W187" s="73"/>
      <c r="X187" s="69"/>
      <c r="Y187" s="60">
        <f ca="1">Table24[[#This Row],[End Date]]+2-TODAY()</f>
        <v>-46005</v>
      </c>
      <c r="Z187" s="14">
        <f>IF(ISBLANK(Table24[[#This Row],[Roster Received By]]),1,0)</f>
        <v>1</v>
      </c>
      <c r="AA187" s="14">
        <f ca="1">IF(Table24[[#This Row],[Start Date]]&gt;TODAY(),1,)</f>
        <v>0</v>
      </c>
    </row>
    <row r="188" spans="1:27" s="52" customFormat="1" x14ac:dyDescent="0.25">
      <c r="A188" s="54"/>
      <c r="B188" s="69"/>
      <c r="C188" s="70"/>
      <c r="D188" s="70"/>
      <c r="E188" s="69"/>
      <c r="F188" s="72"/>
      <c r="G188" s="72"/>
      <c r="H188" s="78"/>
      <c r="I188" s="78"/>
      <c r="J188" s="72"/>
      <c r="K188" s="72"/>
      <c r="L188" s="72"/>
      <c r="M188" s="72"/>
      <c r="N188" s="72"/>
      <c r="O188" s="69"/>
      <c r="P188" s="69"/>
      <c r="Q188" s="14" t="e">
        <v>#N/A</v>
      </c>
      <c r="R188" s="14" t="e">
        <v>#N/A</v>
      </c>
      <c r="S188" s="14"/>
      <c r="T188" s="73"/>
      <c r="U188" s="14"/>
      <c r="V188" s="14"/>
      <c r="W188" s="14"/>
      <c r="X188" s="69"/>
      <c r="Y188" s="60">
        <f ca="1">Table24[[#This Row],[End Date]]+2-TODAY()</f>
        <v>-46005</v>
      </c>
      <c r="Z188" s="14">
        <f>IF(ISBLANK(Table24[[#This Row],[Roster Received By]]),1,0)</f>
        <v>1</v>
      </c>
      <c r="AA188" s="14">
        <f ca="1">IF(Table24[[#This Row],[Start Date]]&gt;TODAY(),1,)</f>
        <v>0</v>
      </c>
    </row>
    <row r="189" spans="1:27" s="52" customFormat="1" x14ac:dyDescent="0.25">
      <c r="B189" s="69"/>
      <c r="C189" s="70"/>
      <c r="D189" s="70"/>
      <c r="E189" s="69"/>
      <c r="F189" s="72"/>
      <c r="G189" s="72"/>
      <c r="H189" s="75"/>
      <c r="I189" s="78"/>
      <c r="J189" s="72"/>
      <c r="K189" s="72"/>
      <c r="L189" s="72"/>
      <c r="M189" s="72"/>
      <c r="N189" s="72"/>
      <c r="O189" s="69"/>
      <c r="P189" s="69"/>
      <c r="Q189" s="14" t="e">
        <v>#N/A</v>
      </c>
      <c r="R189" s="14" t="e">
        <v>#N/A</v>
      </c>
      <c r="S189" s="73"/>
      <c r="T189" s="73"/>
      <c r="U189" s="14"/>
      <c r="V189" s="14"/>
      <c r="W189" s="14"/>
      <c r="X189" s="69"/>
      <c r="Y189" s="60">
        <f ca="1">Table24[[#This Row],[End Date]]+2-TODAY()</f>
        <v>-46005</v>
      </c>
      <c r="Z189" s="14">
        <f>IF(ISBLANK(Table24[[#This Row],[Roster Received By]]),1,0)</f>
        <v>1</v>
      </c>
      <c r="AA189" s="14">
        <f ca="1">IF(Table24[[#This Row],[Start Date]]&gt;TODAY(),1,)</f>
        <v>0</v>
      </c>
    </row>
    <row r="190" spans="1:27" s="52" customFormat="1" x14ac:dyDescent="0.25">
      <c r="B190" s="69"/>
      <c r="C190" s="70"/>
      <c r="D190" s="70"/>
      <c r="E190" s="94"/>
      <c r="F190" s="56"/>
      <c r="G190" s="56"/>
      <c r="H190" s="71"/>
      <c r="I190" s="71"/>
      <c r="J190" s="71"/>
      <c r="K190" s="71"/>
      <c r="L190" s="71"/>
      <c r="M190" s="71"/>
      <c r="N190" s="71"/>
      <c r="O190" s="69"/>
      <c r="P190" s="69"/>
      <c r="Q190" s="14" t="e">
        <v>#N/A</v>
      </c>
      <c r="R190" s="14" t="e">
        <v>#N/A</v>
      </c>
      <c r="S190" s="14"/>
      <c r="T190" s="73"/>
      <c r="U190" s="14"/>
      <c r="V190" s="14"/>
      <c r="W190" s="14"/>
      <c r="X190" s="69"/>
      <c r="Y190" s="60">
        <f ca="1">Table24[[#This Row],[End Date]]+2-TODAY()</f>
        <v>-46005</v>
      </c>
      <c r="Z190" s="14">
        <f>IF(ISBLANK(Table24[[#This Row],[Roster Received By]]),1,0)</f>
        <v>1</v>
      </c>
      <c r="AA190" s="14">
        <f ca="1">IF(Table24[[#This Row],[Start Date]]&gt;TODAY(),1,)</f>
        <v>0</v>
      </c>
    </row>
    <row r="191" spans="1:27" s="52" customFormat="1" x14ac:dyDescent="0.25">
      <c r="A191" s="69"/>
      <c r="B191" s="69"/>
      <c r="C191" s="70"/>
      <c r="D191" s="70"/>
      <c r="E191" s="69"/>
      <c r="F191" s="72"/>
      <c r="G191" s="72"/>
      <c r="H191" s="75"/>
      <c r="I191" s="75"/>
      <c r="J191" s="72"/>
      <c r="K191" s="72"/>
      <c r="L191" s="72"/>
      <c r="M191" s="72"/>
      <c r="N191" s="72"/>
      <c r="O191" s="69"/>
      <c r="P191" s="69"/>
      <c r="Q191" s="14" t="e">
        <v>#N/A</v>
      </c>
      <c r="R191" s="14" t="e">
        <v>#N/A</v>
      </c>
      <c r="S191" s="14"/>
      <c r="T191" s="73"/>
      <c r="U191" s="14"/>
      <c r="V191" s="14"/>
      <c r="W191" s="14"/>
      <c r="X191" s="69"/>
      <c r="Y191" s="60">
        <f ca="1">Table24[[#This Row],[End Date]]+2-TODAY()</f>
        <v>-46005</v>
      </c>
      <c r="Z191" s="14">
        <f>IF(ISBLANK(Table24[[#This Row],[Roster Received By]]),1,0)</f>
        <v>1</v>
      </c>
      <c r="AA191" s="14">
        <f ca="1">IF(Table24[[#This Row],[Start Date]]&gt;TODAY(),1,)</f>
        <v>0</v>
      </c>
    </row>
    <row r="192" spans="1:27" s="52" customFormat="1" x14ac:dyDescent="0.25">
      <c r="A192" s="70"/>
      <c r="B192" s="69"/>
      <c r="C192" s="70"/>
      <c r="D192" s="70"/>
      <c r="E192" s="69"/>
      <c r="F192" s="72"/>
      <c r="G192" s="72"/>
      <c r="H192" s="75"/>
      <c r="I192" s="75"/>
      <c r="J192" s="72"/>
      <c r="K192" s="72"/>
      <c r="L192" s="72"/>
      <c r="M192" s="72"/>
      <c r="N192" s="72"/>
      <c r="O192" s="69"/>
      <c r="P192" s="69"/>
      <c r="Q192" s="14" t="e">
        <v>#N/A</v>
      </c>
      <c r="R192" s="14" t="e">
        <v>#N/A</v>
      </c>
      <c r="S192" s="77"/>
      <c r="T192" s="73"/>
      <c r="U192" s="14"/>
      <c r="V192" s="14"/>
      <c r="W192" s="14"/>
      <c r="X192" s="69"/>
      <c r="Y192" s="60">
        <f ca="1">Table24[[#This Row],[End Date]]+2-TODAY()</f>
        <v>-46005</v>
      </c>
      <c r="Z192" s="14">
        <f>IF(ISBLANK(Table24[[#This Row],[Roster Received By]]),1,0)</f>
        <v>1</v>
      </c>
      <c r="AA192" s="14">
        <f ca="1">IF(Table24[[#This Row],[Start Date]]&gt;TODAY(),1,)</f>
        <v>0</v>
      </c>
    </row>
    <row r="193" spans="1:27" s="52" customFormat="1" x14ac:dyDescent="0.25">
      <c r="B193" s="69"/>
      <c r="C193" s="70"/>
      <c r="D193" s="70"/>
      <c r="E193" s="69"/>
      <c r="F193" s="72"/>
      <c r="G193" s="72"/>
      <c r="H193" s="75"/>
      <c r="I193" s="75"/>
      <c r="J193" s="72"/>
      <c r="K193" s="72"/>
      <c r="L193" s="72"/>
      <c r="M193" s="72"/>
      <c r="N193" s="72"/>
      <c r="O193" s="69"/>
      <c r="P193" s="69"/>
      <c r="Q193" s="14" t="e">
        <v>#N/A</v>
      </c>
      <c r="R193" s="14" t="e">
        <v>#N/A</v>
      </c>
      <c r="S193" s="14"/>
      <c r="T193" s="73"/>
      <c r="U193" s="14"/>
      <c r="V193" s="14"/>
      <c r="W193" s="14"/>
      <c r="X193" s="69"/>
      <c r="Y193" s="60">
        <f ca="1">Table24[[#This Row],[End Date]]+2-TODAY()</f>
        <v>-46005</v>
      </c>
      <c r="Z193" s="14">
        <f>IF(ISBLANK(Table24[[#This Row],[Roster Received By]]),1,0)</f>
        <v>1</v>
      </c>
      <c r="AA193" s="14">
        <f ca="1">IF(Table24[[#This Row],[Start Date]]&gt;TODAY(),1,)</f>
        <v>0</v>
      </c>
    </row>
    <row r="194" spans="1:27" s="52" customFormat="1" x14ac:dyDescent="0.25">
      <c r="B194" s="69"/>
      <c r="C194" s="70"/>
      <c r="D194" s="70"/>
      <c r="E194" s="69"/>
      <c r="F194" s="72"/>
      <c r="G194" s="72"/>
      <c r="H194" s="72"/>
      <c r="I194" s="71"/>
      <c r="J194" s="71"/>
      <c r="K194" s="71"/>
      <c r="L194" s="71"/>
      <c r="M194" s="71"/>
      <c r="N194" s="71"/>
      <c r="O194" s="69"/>
      <c r="P194" s="69"/>
      <c r="Q194" s="14" t="e">
        <v>#N/A</v>
      </c>
      <c r="R194" s="14" t="e">
        <v>#N/A</v>
      </c>
      <c r="S194" s="14"/>
      <c r="T194" s="73"/>
      <c r="U194" s="14"/>
      <c r="V194" s="14"/>
      <c r="W194" s="14"/>
      <c r="X194" s="69"/>
      <c r="Y194" s="60">
        <f ca="1">Table24[[#This Row],[End Date]]+2-TODAY()</f>
        <v>-46005</v>
      </c>
      <c r="Z194" s="14">
        <f>IF(ISBLANK(Table24[[#This Row],[Roster Received By]]),1,0)</f>
        <v>1</v>
      </c>
      <c r="AA194" s="14">
        <f ca="1">IF(Table24[[#This Row],[Start Date]]&gt;TODAY(),1,)</f>
        <v>0</v>
      </c>
    </row>
    <row r="195" spans="1:27" s="52" customFormat="1" x14ac:dyDescent="0.25">
      <c r="B195" s="54"/>
      <c r="C195" s="70"/>
      <c r="D195" s="70"/>
      <c r="E195" s="54"/>
      <c r="F195" s="56"/>
      <c r="G195" s="56"/>
      <c r="H195" s="71"/>
      <c r="I195" s="71"/>
      <c r="J195" s="72"/>
      <c r="K195" s="72"/>
      <c r="L195" s="72"/>
      <c r="M195" s="72"/>
      <c r="N195" s="72"/>
      <c r="O195" s="69"/>
      <c r="P195" s="69"/>
      <c r="Q195" s="14" t="e">
        <v>#N/A</v>
      </c>
      <c r="R195" s="14" t="e">
        <v>#N/A</v>
      </c>
      <c r="S195" s="14"/>
      <c r="T195" s="73"/>
      <c r="U195" s="14"/>
      <c r="V195" s="14"/>
      <c r="W195" s="14"/>
      <c r="X195" s="69"/>
      <c r="Y195" s="60">
        <f ca="1">Table24[[#This Row],[End Date]]+2-TODAY()</f>
        <v>-46005</v>
      </c>
      <c r="Z195" s="14">
        <f>IF(ISBLANK(Table24[[#This Row],[Roster Received By]]),1,0)</f>
        <v>1</v>
      </c>
      <c r="AA195" s="14">
        <f ca="1">IF(Table24[[#This Row],[Start Date]]&gt;TODAY(),1,)</f>
        <v>0</v>
      </c>
    </row>
    <row r="196" spans="1:27" s="52" customFormat="1" x14ac:dyDescent="0.25">
      <c r="B196" s="69"/>
      <c r="C196" s="70"/>
      <c r="D196" s="70"/>
      <c r="E196" s="69"/>
      <c r="F196" s="72"/>
      <c r="G196" s="72"/>
      <c r="H196" s="72"/>
      <c r="I196" s="71"/>
      <c r="J196" s="71"/>
      <c r="K196" s="71"/>
      <c r="L196" s="71"/>
      <c r="M196" s="71"/>
      <c r="N196" s="71"/>
      <c r="O196" s="69"/>
      <c r="P196" s="69"/>
      <c r="Q196" s="14" t="e">
        <v>#N/A</v>
      </c>
      <c r="R196" s="14" t="e">
        <v>#N/A</v>
      </c>
      <c r="S196" s="14"/>
      <c r="T196" s="73"/>
      <c r="U196" s="14"/>
      <c r="V196" s="14"/>
      <c r="W196" s="14"/>
      <c r="X196" s="69"/>
      <c r="Y196" s="60">
        <f ca="1">Table24[[#This Row],[End Date]]+2-TODAY()</f>
        <v>-46005</v>
      </c>
      <c r="Z196" s="14">
        <f>IF(ISBLANK(Table24[[#This Row],[Roster Received By]]),1,0)</f>
        <v>1</v>
      </c>
      <c r="AA196" s="14">
        <f ca="1">IF(Table24[[#This Row],[Start Date]]&gt;TODAY(),1,)</f>
        <v>0</v>
      </c>
    </row>
    <row r="197" spans="1:27" s="52" customFormat="1" x14ac:dyDescent="0.25">
      <c r="B197" s="69"/>
      <c r="C197" s="70"/>
      <c r="D197" s="70"/>
      <c r="E197" s="69"/>
      <c r="F197" s="72"/>
      <c r="G197" s="72"/>
      <c r="H197" s="72"/>
      <c r="I197" s="71"/>
      <c r="J197" s="71"/>
      <c r="K197" s="71"/>
      <c r="L197" s="71"/>
      <c r="M197" s="71"/>
      <c r="N197" s="71"/>
      <c r="O197" s="69"/>
      <c r="P197" s="69"/>
      <c r="Q197" s="14" t="e">
        <v>#N/A</v>
      </c>
      <c r="R197" s="14" t="e">
        <v>#N/A</v>
      </c>
      <c r="S197" s="14"/>
      <c r="T197" s="73"/>
      <c r="U197" s="14"/>
      <c r="V197" s="14"/>
      <c r="W197" s="14"/>
      <c r="X197" s="69"/>
      <c r="Y197" s="60">
        <f ca="1">Table24[[#This Row],[End Date]]+2-TODAY()</f>
        <v>-46005</v>
      </c>
      <c r="Z197" s="14">
        <f>IF(ISBLANK(Table24[[#This Row],[Roster Received By]]),1,0)</f>
        <v>1</v>
      </c>
      <c r="AA197" s="14">
        <f ca="1">IF(Table24[[#This Row],[Start Date]]&gt;TODAY(),1,)</f>
        <v>0</v>
      </c>
    </row>
    <row r="198" spans="1:27" s="52" customFormat="1" x14ac:dyDescent="0.25">
      <c r="B198" s="69"/>
      <c r="C198" s="70"/>
      <c r="D198" s="70"/>
      <c r="E198" s="69"/>
      <c r="F198" s="72"/>
      <c r="G198" s="72"/>
      <c r="H198" s="72"/>
      <c r="I198" s="71"/>
      <c r="J198" s="71"/>
      <c r="K198" s="71"/>
      <c r="L198" s="71"/>
      <c r="M198" s="71"/>
      <c r="N198" s="71"/>
      <c r="O198" s="69"/>
      <c r="P198" s="69"/>
      <c r="Q198" s="14" t="e">
        <v>#N/A</v>
      </c>
      <c r="R198" s="14" t="e">
        <v>#N/A</v>
      </c>
      <c r="S198" s="14"/>
      <c r="T198" s="73"/>
      <c r="U198" s="14"/>
      <c r="V198" s="14"/>
      <c r="W198" s="14"/>
      <c r="X198" s="69"/>
      <c r="Y198" s="60">
        <f ca="1">Table24[[#This Row],[End Date]]+2-TODAY()</f>
        <v>-46005</v>
      </c>
      <c r="Z198" s="14">
        <f>IF(ISBLANK(Table24[[#This Row],[Roster Received By]]),1,0)</f>
        <v>1</v>
      </c>
      <c r="AA198" s="14">
        <f ca="1">IF(Table24[[#This Row],[Start Date]]&gt;TODAY(),1,)</f>
        <v>0</v>
      </c>
    </row>
    <row r="199" spans="1:27" s="52" customFormat="1" x14ac:dyDescent="0.25">
      <c r="A199" s="69"/>
      <c r="B199" s="69"/>
      <c r="C199" s="70"/>
      <c r="D199" s="70"/>
      <c r="E199" s="54"/>
      <c r="F199" s="72"/>
      <c r="G199" s="72"/>
      <c r="H199" s="75"/>
      <c r="I199" s="75"/>
      <c r="J199" s="72"/>
      <c r="K199" s="72"/>
      <c r="L199" s="72"/>
      <c r="M199" s="72"/>
      <c r="N199" s="72"/>
      <c r="O199" s="69"/>
      <c r="P199" s="69"/>
      <c r="Q199" s="14" t="e">
        <v>#N/A</v>
      </c>
      <c r="R199" s="14" t="e">
        <v>#N/A</v>
      </c>
      <c r="S199" s="14"/>
      <c r="T199" s="73"/>
      <c r="U199" s="14"/>
      <c r="V199" s="14"/>
      <c r="W199" s="14"/>
      <c r="X199" s="69"/>
      <c r="Y199" s="60">
        <f ca="1">Table24[[#This Row],[End Date]]+2-TODAY()</f>
        <v>-46005</v>
      </c>
      <c r="Z199" s="14">
        <f>IF(ISBLANK(Table24[[#This Row],[Roster Received By]]),1,0)</f>
        <v>1</v>
      </c>
      <c r="AA199" s="14">
        <f ca="1">IF(Table24[[#This Row],[Start Date]]&gt;TODAY(),1,)</f>
        <v>0</v>
      </c>
    </row>
    <row r="200" spans="1:27" s="52" customFormat="1" x14ac:dyDescent="0.25">
      <c r="B200" s="69"/>
      <c r="C200" s="70"/>
      <c r="D200" s="70"/>
      <c r="E200" s="69"/>
      <c r="F200" s="80"/>
      <c r="G200" s="80"/>
      <c r="H200" s="72"/>
      <c r="I200" s="71"/>
      <c r="J200" s="71"/>
      <c r="K200" s="71"/>
      <c r="L200" s="71"/>
      <c r="M200" s="71"/>
      <c r="N200" s="71"/>
      <c r="O200" s="69"/>
      <c r="P200" s="69"/>
      <c r="Q200" s="14" t="e">
        <v>#N/A</v>
      </c>
      <c r="R200" s="14" t="e">
        <v>#N/A</v>
      </c>
      <c r="S200" s="14"/>
      <c r="T200" s="73"/>
      <c r="U200" s="14"/>
      <c r="V200" s="14"/>
      <c r="W200" s="14"/>
      <c r="X200" s="69"/>
      <c r="Y200" s="60">
        <f ca="1">Table24[[#This Row],[End Date]]+2-TODAY()</f>
        <v>-46005</v>
      </c>
      <c r="Z200" s="14">
        <f>IF(ISBLANK(Table24[[#This Row],[Roster Received By]]),1,0)</f>
        <v>1</v>
      </c>
      <c r="AA200" s="14">
        <f ca="1">IF(Table24[[#This Row],[Start Date]]&gt;TODAY(),1,)</f>
        <v>0</v>
      </c>
    </row>
    <row r="201" spans="1:27" s="52" customFormat="1" x14ac:dyDescent="0.25">
      <c r="B201" s="69"/>
      <c r="C201" s="70"/>
      <c r="D201" s="70"/>
      <c r="E201" s="54"/>
      <c r="F201" s="56"/>
      <c r="G201" s="56"/>
      <c r="H201" s="71"/>
      <c r="I201" s="71"/>
      <c r="J201" s="72"/>
      <c r="K201" s="72"/>
      <c r="L201" s="72"/>
      <c r="M201" s="72"/>
      <c r="N201" s="72"/>
      <c r="O201" s="69"/>
      <c r="P201" s="69"/>
      <c r="Q201" s="14" t="e">
        <v>#N/A</v>
      </c>
      <c r="R201" s="14" t="e">
        <v>#N/A</v>
      </c>
      <c r="S201" s="14"/>
      <c r="T201" s="73"/>
      <c r="U201" s="14"/>
      <c r="V201" s="14"/>
      <c r="W201" s="14"/>
      <c r="X201" s="69"/>
      <c r="Y201" s="60">
        <f ca="1">Table24[[#This Row],[End Date]]+2-TODAY()</f>
        <v>-46005</v>
      </c>
      <c r="Z201" s="14">
        <f>IF(ISBLANK(Table24[[#This Row],[Roster Received By]]),1,0)</f>
        <v>1</v>
      </c>
      <c r="AA201" s="14">
        <f ca="1">IF(Table24[[#This Row],[Start Date]]&gt;TODAY(),1,)</f>
        <v>0</v>
      </c>
    </row>
    <row r="202" spans="1:27" s="52" customFormat="1" x14ac:dyDescent="0.25">
      <c r="B202" s="69"/>
      <c r="C202" s="70"/>
      <c r="D202" s="70"/>
      <c r="E202" s="69"/>
      <c r="F202" s="56"/>
      <c r="G202" s="72"/>
      <c r="H202" s="72"/>
      <c r="I202" s="71"/>
      <c r="J202" s="71"/>
      <c r="K202" s="71"/>
      <c r="L202" s="71"/>
      <c r="M202" s="71"/>
      <c r="N202" s="71"/>
      <c r="O202" s="69"/>
      <c r="P202" s="69"/>
      <c r="Q202" s="14" t="e">
        <v>#N/A</v>
      </c>
      <c r="R202" s="14" t="e">
        <v>#N/A</v>
      </c>
      <c r="S202" s="14"/>
      <c r="T202" s="73"/>
      <c r="U202" s="14"/>
      <c r="V202" s="14"/>
      <c r="W202" s="14"/>
      <c r="X202" s="69"/>
      <c r="Y202" s="60">
        <f ca="1">Table24[[#This Row],[End Date]]+2-TODAY()</f>
        <v>-46005</v>
      </c>
      <c r="Z202" s="14">
        <f>IF(ISBLANK(Table24[[#This Row],[Roster Received By]]),1,0)</f>
        <v>1</v>
      </c>
      <c r="AA202" s="14">
        <f ca="1">IF(Table24[[#This Row],[Start Date]]&gt;TODAY(),1,)</f>
        <v>0</v>
      </c>
    </row>
    <row r="203" spans="1:27" s="52" customFormat="1" x14ac:dyDescent="0.25">
      <c r="B203" s="69"/>
      <c r="C203" s="70"/>
      <c r="D203" s="70"/>
      <c r="E203" s="69"/>
      <c r="F203" s="72"/>
      <c r="G203" s="72"/>
      <c r="H203" s="75"/>
      <c r="I203" s="75"/>
      <c r="J203" s="72"/>
      <c r="K203" s="72"/>
      <c r="L203" s="72"/>
      <c r="M203" s="72"/>
      <c r="N203" s="72"/>
      <c r="O203" s="69"/>
      <c r="P203" s="69"/>
      <c r="Q203" s="14" t="e">
        <v>#N/A</v>
      </c>
      <c r="R203" s="14" t="e">
        <v>#N/A</v>
      </c>
      <c r="S203" s="14"/>
      <c r="T203" s="73"/>
      <c r="U203" s="14"/>
      <c r="V203" s="14"/>
      <c r="W203" s="14"/>
      <c r="X203" s="69"/>
      <c r="Y203" s="60">
        <f ca="1">Table24[[#This Row],[End Date]]+2-TODAY()</f>
        <v>-46005</v>
      </c>
      <c r="Z203" s="14">
        <f>IF(ISBLANK(Table24[[#This Row],[Roster Received By]]),1,0)</f>
        <v>1</v>
      </c>
      <c r="AA203" s="14">
        <f ca="1">IF(Table24[[#This Row],[Start Date]]&gt;TODAY(),1,)</f>
        <v>0</v>
      </c>
    </row>
    <row r="204" spans="1:27" s="52" customFormat="1" x14ac:dyDescent="0.25">
      <c r="B204" s="69"/>
      <c r="C204" s="70"/>
      <c r="D204" s="70"/>
      <c r="E204" s="54"/>
      <c r="F204" s="56"/>
      <c r="G204" s="72"/>
      <c r="H204" s="75"/>
      <c r="I204" s="75"/>
      <c r="J204" s="72"/>
      <c r="K204" s="72"/>
      <c r="L204" s="72"/>
      <c r="M204" s="72"/>
      <c r="N204" s="72"/>
      <c r="O204" s="69"/>
      <c r="P204" s="69"/>
      <c r="Q204" s="14" t="e">
        <v>#N/A</v>
      </c>
      <c r="R204" s="14" t="e">
        <v>#N/A</v>
      </c>
      <c r="S204" s="14"/>
      <c r="T204" s="73"/>
      <c r="U204" s="14"/>
      <c r="V204" s="14"/>
      <c r="W204" s="14"/>
      <c r="X204" s="69"/>
      <c r="Y204" s="60">
        <f ca="1">Table24[[#This Row],[End Date]]+2-TODAY()</f>
        <v>-46005</v>
      </c>
      <c r="Z204" s="14">
        <f>IF(ISBLANK(Table24[[#This Row],[Roster Received By]]),1,0)</f>
        <v>1</v>
      </c>
      <c r="AA204" s="14">
        <f ca="1">IF(Table24[[#This Row],[Start Date]]&gt;TODAY(),1,)</f>
        <v>0</v>
      </c>
    </row>
    <row r="205" spans="1:27" s="52" customFormat="1" x14ac:dyDescent="0.25">
      <c r="B205" s="69"/>
      <c r="C205" s="70"/>
      <c r="D205" s="70"/>
      <c r="E205" s="69"/>
      <c r="F205" s="56"/>
      <c r="G205" s="56"/>
      <c r="H205" s="56"/>
      <c r="I205" s="71"/>
      <c r="J205" s="71"/>
      <c r="K205" s="71"/>
      <c r="L205" s="71"/>
      <c r="M205" s="71"/>
      <c r="N205" s="71"/>
      <c r="O205" s="69"/>
      <c r="P205" s="69"/>
      <c r="Q205" s="14" t="e">
        <v>#N/A</v>
      </c>
      <c r="R205" s="14" t="e">
        <v>#N/A</v>
      </c>
      <c r="S205" s="14"/>
      <c r="T205" s="73"/>
      <c r="U205" s="14"/>
      <c r="V205" s="14"/>
      <c r="W205" s="14"/>
      <c r="X205" s="69"/>
      <c r="Y205" s="60">
        <f ca="1">Table24[[#This Row],[End Date]]+2-TODAY()</f>
        <v>-46005</v>
      </c>
      <c r="Z205" s="14">
        <f>IF(ISBLANK(Table24[[#This Row],[Roster Received By]]),1,0)</f>
        <v>1</v>
      </c>
      <c r="AA205" s="14">
        <f ca="1">IF(Table24[[#This Row],[Start Date]]&gt;TODAY(),1,)</f>
        <v>0</v>
      </c>
    </row>
    <row r="206" spans="1:27" s="52" customFormat="1" x14ac:dyDescent="0.25">
      <c r="B206" s="69"/>
      <c r="C206" s="70"/>
      <c r="D206" s="70"/>
      <c r="E206" s="69"/>
      <c r="F206" s="72"/>
      <c r="G206" s="72"/>
      <c r="H206" s="75"/>
      <c r="I206" s="75"/>
      <c r="J206" s="75"/>
      <c r="K206" s="75"/>
      <c r="L206" s="75"/>
      <c r="M206" s="75"/>
      <c r="N206" s="75"/>
      <c r="O206" s="69"/>
      <c r="P206" s="69"/>
      <c r="Q206" s="14" t="e">
        <v>#N/A</v>
      </c>
      <c r="R206" s="14" t="e">
        <v>#N/A</v>
      </c>
      <c r="S206" s="14"/>
      <c r="T206" s="73"/>
      <c r="U206" s="14"/>
      <c r="V206" s="14"/>
      <c r="W206" s="14"/>
      <c r="X206" s="69"/>
      <c r="Y206" s="60">
        <f ca="1">Table24[[#This Row],[End Date]]+2-TODAY()</f>
        <v>-46005</v>
      </c>
      <c r="Z206" s="14">
        <f>IF(ISBLANK(Table24[[#This Row],[Roster Received By]]),1,0)</f>
        <v>1</v>
      </c>
      <c r="AA206" s="14">
        <f ca="1">IF(Table24[[#This Row],[Start Date]]&gt;TODAY(),1,)</f>
        <v>0</v>
      </c>
    </row>
    <row r="207" spans="1:27" s="52" customFormat="1" x14ac:dyDescent="0.25">
      <c r="B207" s="69"/>
      <c r="C207" s="70"/>
      <c r="D207" s="70"/>
      <c r="E207" s="69"/>
      <c r="F207" s="72"/>
      <c r="G207" s="72"/>
      <c r="H207" s="75"/>
      <c r="I207" s="75"/>
      <c r="J207" s="72"/>
      <c r="K207" s="72"/>
      <c r="L207" s="72"/>
      <c r="M207" s="72"/>
      <c r="N207" s="72"/>
      <c r="O207" s="69"/>
      <c r="P207" s="69"/>
      <c r="Q207" s="14" t="e">
        <v>#N/A</v>
      </c>
      <c r="R207" s="14" t="e">
        <v>#N/A</v>
      </c>
      <c r="S207" s="14"/>
      <c r="T207" s="73"/>
      <c r="U207" s="14"/>
      <c r="V207" s="14"/>
      <c r="W207" s="14"/>
      <c r="X207" s="69"/>
      <c r="Y207" s="60">
        <f ca="1">Table24[[#This Row],[End Date]]+2-TODAY()</f>
        <v>-46005</v>
      </c>
      <c r="Z207" s="14">
        <f>IF(ISBLANK(Table24[[#This Row],[Roster Received By]]),1,0)</f>
        <v>1</v>
      </c>
      <c r="AA207" s="14">
        <f ca="1">IF(Table24[[#This Row],[Start Date]]&gt;TODAY(),1,)</f>
        <v>0</v>
      </c>
    </row>
    <row r="208" spans="1:27" s="52" customFormat="1" x14ac:dyDescent="0.25">
      <c r="B208" s="69"/>
      <c r="C208" s="70"/>
      <c r="D208" s="70"/>
      <c r="E208" s="54"/>
      <c r="F208" s="72"/>
      <c r="G208" s="72"/>
      <c r="H208" s="75"/>
      <c r="I208" s="75"/>
      <c r="J208" s="72"/>
      <c r="K208" s="72"/>
      <c r="L208" s="72"/>
      <c r="M208" s="72"/>
      <c r="N208" s="72"/>
      <c r="O208" s="69"/>
      <c r="P208" s="69"/>
      <c r="Q208" s="14" t="e">
        <v>#N/A</v>
      </c>
      <c r="R208" s="14" t="e">
        <v>#N/A</v>
      </c>
      <c r="S208" s="14"/>
      <c r="T208" s="73"/>
      <c r="U208" s="14"/>
      <c r="V208" s="14"/>
      <c r="W208" s="70"/>
      <c r="X208" s="69"/>
      <c r="Y208" s="60">
        <f ca="1">Table24[[#This Row],[End Date]]+2-TODAY()</f>
        <v>-46005</v>
      </c>
      <c r="Z208" s="14">
        <f>IF(ISBLANK(Table24[[#This Row],[Roster Received By]]),1,0)</f>
        <v>1</v>
      </c>
      <c r="AA208" s="14">
        <f ca="1">IF(Table24[[#This Row],[Start Date]]&gt;TODAY(),1,)</f>
        <v>0</v>
      </c>
    </row>
    <row r="209" spans="2:27" s="52" customFormat="1" x14ac:dyDescent="0.25">
      <c r="B209" s="69"/>
      <c r="C209" s="70"/>
      <c r="D209" s="70"/>
      <c r="E209" s="54"/>
      <c r="F209" s="72"/>
      <c r="G209" s="72"/>
      <c r="H209" s="75"/>
      <c r="I209" s="75"/>
      <c r="J209" s="72"/>
      <c r="K209" s="72"/>
      <c r="L209" s="72"/>
      <c r="M209" s="72"/>
      <c r="N209" s="72"/>
      <c r="O209" s="69"/>
      <c r="P209" s="69"/>
      <c r="Q209" s="14" t="e">
        <v>#N/A</v>
      </c>
      <c r="R209" s="14" t="e">
        <v>#N/A</v>
      </c>
      <c r="S209" s="14"/>
      <c r="T209" s="73"/>
      <c r="U209" s="14"/>
      <c r="V209" s="14"/>
      <c r="W209" s="14"/>
      <c r="X209" s="69"/>
      <c r="Y209" s="60">
        <f ca="1">Table24[[#This Row],[End Date]]+2-TODAY()</f>
        <v>-46005</v>
      </c>
      <c r="Z209" s="14">
        <f>IF(ISBLANK(Table24[[#This Row],[Roster Received By]]),1,0)</f>
        <v>1</v>
      </c>
      <c r="AA209" s="14">
        <f ca="1">IF(Table24[[#This Row],[Start Date]]&gt;TODAY(),1,)</f>
        <v>0</v>
      </c>
    </row>
    <row r="210" spans="2:27" s="52" customFormat="1" x14ac:dyDescent="0.25">
      <c r="B210" s="69"/>
      <c r="C210" s="70" t="e">
        <v>#N/A</v>
      </c>
      <c r="D210" s="70" t="e">
        <v>#N/A</v>
      </c>
      <c r="E210" s="54"/>
      <c r="F210" s="72"/>
      <c r="G210" s="72"/>
      <c r="H210" s="75"/>
      <c r="I210" s="75"/>
      <c r="J210" s="72"/>
      <c r="K210" s="72"/>
      <c r="L210" s="72"/>
      <c r="M210" s="72"/>
      <c r="N210" s="72"/>
      <c r="O210" s="69"/>
      <c r="P210" s="69"/>
      <c r="Q210" s="14" t="e">
        <v>#N/A</v>
      </c>
      <c r="R210" s="14" t="e">
        <v>#N/A</v>
      </c>
      <c r="S210" s="14"/>
      <c r="T210" s="73"/>
      <c r="U210" s="14"/>
      <c r="V210" s="14"/>
      <c r="W210" s="14"/>
      <c r="X210" s="69"/>
      <c r="Y210" s="60">
        <f ca="1">Table24[[#This Row],[End Date]]+2-TODAY()</f>
        <v>-46005</v>
      </c>
      <c r="Z210" s="14">
        <f>IF(ISBLANK(Table24[[#This Row],[Roster Received By]]),1,0)</f>
        <v>1</v>
      </c>
      <c r="AA210" s="14">
        <f ca="1">IF(Table24[[#This Row],[Start Date]]&gt;TODAY(),1,)</f>
        <v>0</v>
      </c>
    </row>
    <row r="211" spans="2:27" s="52" customFormat="1" x14ac:dyDescent="0.25">
      <c r="B211" s="69"/>
      <c r="C211" s="70" t="e">
        <v>#N/A</v>
      </c>
      <c r="D211" s="70" t="e">
        <v>#N/A</v>
      </c>
      <c r="E211" s="69"/>
      <c r="F211" s="72"/>
      <c r="G211" s="72"/>
      <c r="H211" s="75"/>
      <c r="I211" s="75"/>
      <c r="J211" s="72"/>
      <c r="K211" s="72"/>
      <c r="L211" s="72"/>
      <c r="M211" s="72"/>
      <c r="N211" s="72"/>
      <c r="O211" s="69"/>
      <c r="P211" s="69"/>
      <c r="Q211" s="14" t="e">
        <v>#N/A</v>
      </c>
      <c r="R211" s="14" t="e">
        <v>#N/A</v>
      </c>
      <c r="S211" s="14"/>
      <c r="T211" s="73"/>
      <c r="U211" s="14"/>
      <c r="V211" s="14"/>
      <c r="W211" s="14"/>
      <c r="X211" s="69"/>
      <c r="Y211" s="60">
        <f ca="1">Table24[[#This Row],[End Date]]+2-TODAY()</f>
        <v>-46005</v>
      </c>
      <c r="Z211" s="14">
        <f>IF(ISBLANK(Table24[[#This Row],[Roster Received By]]),1,0)</f>
        <v>1</v>
      </c>
      <c r="AA211" s="14">
        <f ca="1">IF(Table24[[#This Row],[Start Date]]&gt;TODAY(),1,)</f>
        <v>0</v>
      </c>
    </row>
    <row r="212" spans="2:27" s="52" customFormat="1" x14ac:dyDescent="0.25">
      <c r="B212" s="69"/>
      <c r="C212" s="70" t="e">
        <v>#N/A</v>
      </c>
      <c r="D212" s="70" t="e">
        <v>#N/A</v>
      </c>
      <c r="E212" s="69"/>
      <c r="F212" s="72"/>
      <c r="G212" s="72"/>
      <c r="H212" s="75"/>
      <c r="I212" s="75"/>
      <c r="J212" s="72"/>
      <c r="K212" s="72"/>
      <c r="L212" s="72"/>
      <c r="M212" s="72"/>
      <c r="N212" s="72"/>
      <c r="O212" s="69"/>
      <c r="P212" s="69"/>
      <c r="Q212" s="14" t="e">
        <v>#N/A</v>
      </c>
      <c r="R212" s="14" t="e">
        <v>#N/A</v>
      </c>
      <c r="S212" s="14"/>
      <c r="T212" s="73"/>
      <c r="U212" s="14"/>
      <c r="V212" s="14"/>
      <c r="W212" s="14"/>
      <c r="X212" s="69"/>
      <c r="Y212" s="60">
        <f ca="1">Table24[[#This Row],[End Date]]+2-TODAY()</f>
        <v>-46005</v>
      </c>
      <c r="Z212" s="14">
        <f>IF(ISBLANK(Table24[[#This Row],[Roster Received By]]),1,0)</f>
        <v>1</v>
      </c>
      <c r="AA212" s="14">
        <f ca="1">IF(Table24[[#This Row],[Start Date]]&gt;TODAY(),1,)</f>
        <v>0</v>
      </c>
    </row>
    <row r="213" spans="2:27" s="52" customFormat="1" x14ac:dyDescent="0.25">
      <c r="B213" s="69"/>
      <c r="C213" s="70" t="e">
        <v>#N/A</v>
      </c>
      <c r="D213" s="70" t="e">
        <v>#N/A</v>
      </c>
      <c r="E213" s="69"/>
      <c r="F213" s="72"/>
      <c r="G213" s="72"/>
      <c r="H213" s="75"/>
      <c r="I213" s="75"/>
      <c r="J213" s="72"/>
      <c r="K213" s="72"/>
      <c r="L213" s="72"/>
      <c r="M213" s="72"/>
      <c r="N213" s="72"/>
      <c r="O213" s="69"/>
      <c r="P213" s="69"/>
      <c r="Q213" s="14" t="e">
        <v>#N/A</v>
      </c>
      <c r="R213" s="14" t="e">
        <v>#N/A</v>
      </c>
      <c r="S213" s="73"/>
      <c r="T213" s="73"/>
      <c r="U213" s="14"/>
      <c r="V213" s="14"/>
      <c r="W213" s="14"/>
      <c r="X213" s="69"/>
      <c r="Y213" s="60">
        <f ca="1">Table24[[#This Row],[End Date]]+2-TODAY()</f>
        <v>-46005</v>
      </c>
      <c r="Z213" s="14">
        <f>IF(ISBLANK(Table24[[#This Row],[Roster Received By]]),1,0)</f>
        <v>1</v>
      </c>
      <c r="AA213" s="14">
        <f ca="1">IF(Table24[[#This Row],[Start Date]]&gt;TODAY(),1,)</f>
        <v>0</v>
      </c>
    </row>
    <row r="214" spans="2:27" s="52" customFormat="1" x14ac:dyDescent="0.25">
      <c r="B214" s="69"/>
      <c r="C214" s="70" t="e">
        <v>#N/A</v>
      </c>
      <c r="D214" s="70" t="e">
        <v>#N/A</v>
      </c>
      <c r="E214" s="69"/>
      <c r="F214" s="72"/>
      <c r="G214" s="72"/>
      <c r="H214" s="75"/>
      <c r="I214" s="75"/>
      <c r="J214" s="75"/>
      <c r="K214" s="75"/>
      <c r="L214" s="75"/>
      <c r="M214" s="75"/>
      <c r="N214" s="72"/>
      <c r="O214" s="69"/>
      <c r="P214" s="69"/>
      <c r="Q214" s="14" t="e">
        <v>#N/A</v>
      </c>
      <c r="R214" s="14" t="e">
        <v>#N/A</v>
      </c>
      <c r="S214" s="14"/>
      <c r="T214" s="73"/>
      <c r="U214" s="14"/>
      <c r="V214" s="14"/>
      <c r="W214" s="14"/>
      <c r="X214" s="69"/>
      <c r="Y214" s="60">
        <f ca="1">Table24[[#This Row],[End Date]]+2-TODAY()</f>
        <v>-46005</v>
      </c>
      <c r="Z214" s="14">
        <f>IF(ISBLANK(Table24[[#This Row],[Roster Received By]]),1,0)</f>
        <v>1</v>
      </c>
      <c r="AA214" s="14">
        <f ca="1">IF(Table24[[#This Row],[Start Date]]&gt;TODAY(),1,)</f>
        <v>0</v>
      </c>
    </row>
    <row r="215" spans="2:27" s="52" customFormat="1" x14ac:dyDescent="0.25">
      <c r="B215" s="69"/>
      <c r="C215" s="70" t="e">
        <v>#N/A</v>
      </c>
      <c r="D215" s="70" t="e">
        <v>#N/A</v>
      </c>
      <c r="E215" s="69"/>
      <c r="F215" s="72"/>
      <c r="G215" s="72"/>
      <c r="H215" s="72"/>
      <c r="I215" s="71"/>
      <c r="J215" s="71"/>
      <c r="K215" s="71"/>
      <c r="L215" s="71"/>
      <c r="M215" s="71"/>
      <c r="N215" s="71"/>
      <c r="O215" s="69"/>
      <c r="P215" s="69"/>
      <c r="Q215" s="14" t="e">
        <v>#N/A</v>
      </c>
      <c r="R215" s="14" t="e">
        <v>#N/A</v>
      </c>
      <c r="S215" s="14"/>
      <c r="T215" s="73"/>
      <c r="U215" s="14"/>
      <c r="V215" s="14"/>
      <c r="W215" s="14"/>
      <c r="X215" s="69"/>
      <c r="Y215" s="60">
        <f ca="1">Table24[[#This Row],[End Date]]+2-TODAY()</f>
        <v>-46005</v>
      </c>
      <c r="Z215" s="14">
        <f>IF(ISBLANK(Table24[[#This Row],[Roster Received By]]),1,0)</f>
        <v>1</v>
      </c>
      <c r="AA215" s="14">
        <f ca="1">IF(Table24[[#This Row],[Start Date]]&gt;TODAY(),1,)</f>
        <v>0</v>
      </c>
    </row>
    <row r="216" spans="2:27" s="52" customFormat="1" x14ac:dyDescent="0.25">
      <c r="B216" s="69"/>
      <c r="C216" s="70" t="e">
        <v>#N/A</v>
      </c>
      <c r="D216" s="70" t="e">
        <v>#N/A</v>
      </c>
      <c r="E216" s="54"/>
      <c r="F216" s="72"/>
      <c r="G216" s="72"/>
      <c r="H216" s="75"/>
      <c r="I216" s="75"/>
      <c r="J216" s="72"/>
      <c r="K216" s="72"/>
      <c r="L216" s="72"/>
      <c r="M216" s="72"/>
      <c r="N216" s="72"/>
      <c r="O216" s="69"/>
      <c r="P216" s="69"/>
      <c r="Q216" s="14" t="e">
        <v>#N/A</v>
      </c>
      <c r="R216" s="14" t="e">
        <v>#N/A</v>
      </c>
      <c r="S216" s="14"/>
      <c r="T216" s="73"/>
      <c r="U216" s="14"/>
      <c r="V216" s="14"/>
      <c r="W216" s="14"/>
      <c r="X216" s="69"/>
      <c r="Y216" s="60">
        <f ca="1">Table24[[#This Row],[End Date]]+2-TODAY()</f>
        <v>-46005</v>
      </c>
      <c r="Z216" s="14">
        <f>IF(ISBLANK(Table24[[#This Row],[Roster Received By]]),1,0)</f>
        <v>1</v>
      </c>
      <c r="AA216" s="14">
        <f ca="1">IF(Table24[[#This Row],[Start Date]]&gt;TODAY(),1,)</f>
        <v>0</v>
      </c>
    </row>
    <row r="217" spans="2:27" s="52" customFormat="1" x14ac:dyDescent="0.25">
      <c r="B217" s="69"/>
      <c r="C217" s="70" t="e">
        <v>#N/A</v>
      </c>
      <c r="D217" s="70" t="e">
        <v>#N/A</v>
      </c>
      <c r="E217" s="69"/>
      <c r="F217" s="72"/>
      <c r="G217" s="72"/>
      <c r="H217" s="75"/>
      <c r="I217" s="75"/>
      <c r="J217" s="104"/>
      <c r="K217" s="104"/>
      <c r="L217" s="104"/>
      <c r="M217" s="104"/>
      <c r="N217" s="72"/>
      <c r="O217" s="69"/>
      <c r="P217" s="69"/>
      <c r="Q217" s="14" t="e">
        <v>#N/A</v>
      </c>
      <c r="R217" s="14" t="e">
        <v>#N/A</v>
      </c>
      <c r="S217" s="14"/>
      <c r="T217" s="73"/>
      <c r="U217" s="14"/>
      <c r="V217" s="14"/>
      <c r="W217" s="77"/>
      <c r="X217" s="69"/>
      <c r="Y217" s="60">
        <f ca="1">Table24[[#This Row],[End Date]]+2-TODAY()</f>
        <v>-46005</v>
      </c>
      <c r="Z217" s="14">
        <f>IF(ISBLANK(Table24[[#This Row],[Roster Received By]]),1,0)</f>
        <v>1</v>
      </c>
      <c r="AA217" s="14">
        <f ca="1">IF(Table24[[#This Row],[Start Date]]&gt;TODAY(),1,)</f>
        <v>0</v>
      </c>
    </row>
    <row r="218" spans="2:27" s="52" customFormat="1" x14ac:dyDescent="0.25">
      <c r="B218" s="69"/>
      <c r="C218" s="70" t="e">
        <v>#N/A</v>
      </c>
      <c r="D218" s="70" t="e">
        <v>#N/A</v>
      </c>
      <c r="E218" s="69"/>
      <c r="F218" s="72"/>
      <c r="G218" s="72"/>
      <c r="H218" s="72"/>
      <c r="I218" s="71"/>
      <c r="J218" s="71"/>
      <c r="K218" s="71"/>
      <c r="L218" s="71"/>
      <c r="M218" s="71"/>
      <c r="N218" s="71"/>
      <c r="O218" s="69"/>
      <c r="P218" s="69"/>
      <c r="Q218" s="14" t="e">
        <v>#N/A</v>
      </c>
      <c r="R218" s="14" t="e">
        <v>#N/A</v>
      </c>
      <c r="S218" s="14"/>
      <c r="T218" s="73"/>
      <c r="U218" s="14"/>
      <c r="V218" s="14"/>
      <c r="W218" s="14"/>
      <c r="X218" s="69"/>
      <c r="Y218" s="60">
        <f ca="1">Table24[[#This Row],[End Date]]+2-TODAY()</f>
        <v>-46005</v>
      </c>
      <c r="Z218" s="14">
        <f>IF(ISBLANK(Table24[[#This Row],[Roster Received By]]),1,0)</f>
        <v>1</v>
      </c>
      <c r="AA218" s="14">
        <f ca="1">IF(Table24[[#This Row],[Start Date]]&gt;TODAY(),1,)</f>
        <v>0</v>
      </c>
    </row>
    <row r="219" spans="2:27" s="52" customFormat="1" x14ac:dyDescent="0.25">
      <c r="B219" s="69"/>
      <c r="C219" s="70" t="e">
        <v>#N/A</v>
      </c>
      <c r="D219" s="70" t="e">
        <v>#N/A</v>
      </c>
      <c r="E219" s="69"/>
      <c r="F219" s="72"/>
      <c r="G219" s="72"/>
      <c r="H219" s="72"/>
      <c r="I219" s="71"/>
      <c r="J219" s="71"/>
      <c r="K219" s="71"/>
      <c r="L219" s="71"/>
      <c r="M219" s="71"/>
      <c r="N219" s="71"/>
      <c r="O219" s="69"/>
      <c r="P219" s="69"/>
      <c r="Q219" s="14" t="e">
        <v>#N/A</v>
      </c>
      <c r="R219" s="14" t="e">
        <v>#N/A</v>
      </c>
      <c r="S219" s="14"/>
      <c r="T219" s="73"/>
      <c r="U219" s="14"/>
      <c r="V219" s="14"/>
      <c r="W219" s="14"/>
      <c r="X219" s="69"/>
      <c r="Y219" s="60">
        <f ca="1">Table24[[#This Row],[End Date]]+2-TODAY()</f>
        <v>-46005</v>
      </c>
      <c r="Z219" s="14">
        <f>IF(ISBLANK(Table24[[#This Row],[Roster Received By]]),1,0)</f>
        <v>1</v>
      </c>
      <c r="AA219" s="14">
        <f ca="1">IF(Table24[[#This Row],[Start Date]]&gt;TODAY(),1,)</f>
        <v>0</v>
      </c>
    </row>
    <row r="220" spans="2:27" s="52" customFormat="1" x14ac:dyDescent="0.25">
      <c r="B220" s="69"/>
      <c r="C220" s="70" t="e">
        <v>#N/A</v>
      </c>
      <c r="D220" s="70" t="e">
        <v>#N/A</v>
      </c>
      <c r="E220" s="69"/>
      <c r="F220" s="72"/>
      <c r="G220" s="72"/>
      <c r="H220" s="72"/>
      <c r="I220" s="71"/>
      <c r="J220" s="71"/>
      <c r="K220" s="71"/>
      <c r="L220" s="71"/>
      <c r="M220" s="71"/>
      <c r="N220" s="71"/>
      <c r="O220" s="69"/>
      <c r="P220" s="69"/>
      <c r="Q220" s="14" t="e">
        <v>#N/A</v>
      </c>
      <c r="R220" s="14" t="e">
        <v>#N/A</v>
      </c>
      <c r="S220" s="14"/>
      <c r="T220" s="73"/>
      <c r="U220" s="14"/>
      <c r="V220" s="14"/>
      <c r="W220" s="14"/>
      <c r="X220" s="69"/>
      <c r="Y220" s="60">
        <f ca="1">Table24[[#This Row],[End Date]]+2-TODAY()</f>
        <v>-46005</v>
      </c>
      <c r="Z220" s="14">
        <f>IF(ISBLANK(Table24[[#This Row],[Roster Received By]]),1,0)</f>
        <v>1</v>
      </c>
      <c r="AA220" s="14">
        <f ca="1">IF(Table24[[#This Row],[Start Date]]&gt;TODAY(),1,)</f>
        <v>0</v>
      </c>
    </row>
    <row r="221" spans="2:27" s="52" customFormat="1" x14ac:dyDescent="0.25">
      <c r="B221" s="69"/>
      <c r="C221" s="70" t="e">
        <v>#N/A</v>
      </c>
      <c r="D221" s="70" t="e">
        <v>#N/A</v>
      </c>
      <c r="E221" s="54"/>
      <c r="F221" s="72"/>
      <c r="G221" s="72"/>
      <c r="H221" s="78"/>
      <c r="I221" s="78"/>
      <c r="J221" s="72"/>
      <c r="K221" s="72"/>
      <c r="L221" s="72"/>
      <c r="M221" s="72"/>
      <c r="N221" s="72"/>
      <c r="O221" s="69"/>
      <c r="P221" s="69"/>
      <c r="Q221" s="14" t="e">
        <v>#N/A</v>
      </c>
      <c r="R221" s="14" t="e">
        <v>#N/A</v>
      </c>
      <c r="S221" s="14"/>
      <c r="T221" s="73"/>
      <c r="U221" s="14"/>
      <c r="V221" s="14"/>
      <c r="W221" s="73"/>
      <c r="X221" s="69"/>
      <c r="Y221" s="60">
        <f ca="1">Table24[[#This Row],[End Date]]+2-TODAY()</f>
        <v>-46005</v>
      </c>
      <c r="Z221" s="14">
        <f>IF(ISBLANK(Table24[[#This Row],[Roster Received By]]),1,0)</f>
        <v>1</v>
      </c>
      <c r="AA221" s="14">
        <f ca="1">IF(Table24[[#This Row],[Start Date]]&gt;TODAY(),1,)</f>
        <v>0</v>
      </c>
    </row>
    <row r="222" spans="2:27" s="52" customFormat="1" x14ac:dyDescent="0.25">
      <c r="B222" s="69"/>
      <c r="C222" s="70" t="e">
        <v>#N/A</v>
      </c>
      <c r="D222" s="70" t="e">
        <v>#N/A</v>
      </c>
      <c r="E222" s="69"/>
      <c r="F222" s="72"/>
      <c r="G222" s="72"/>
      <c r="H222" s="72"/>
      <c r="I222" s="71"/>
      <c r="J222" s="71"/>
      <c r="K222" s="71"/>
      <c r="L222" s="71"/>
      <c r="M222" s="71"/>
      <c r="N222" s="71"/>
      <c r="O222" s="69"/>
      <c r="P222" s="69"/>
      <c r="Q222" s="14" t="e">
        <v>#N/A</v>
      </c>
      <c r="R222" s="14" t="e">
        <v>#N/A</v>
      </c>
      <c r="S222" s="14"/>
      <c r="T222" s="73"/>
      <c r="U222" s="14"/>
      <c r="V222" s="14"/>
      <c r="W222" s="14"/>
      <c r="X222" s="69"/>
      <c r="Y222" s="60">
        <f ca="1">Table24[[#This Row],[End Date]]+2-TODAY()</f>
        <v>-46005</v>
      </c>
      <c r="Z222" s="14">
        <f>IF(ISBLANK(Table24[[#This Row],[Roster Received By]]),1,0)</f>
        <v>1</v>
      </c>
      <c r="AA222" s="14">
        <f ca="1">IF(Table24[[#This Row],[Start Date]]&gt;TODAY(),1,)</f>
        <v>0</v>
      </c>
    </row>
    <row r="223" spans="2:27" s="52" customFormat="1" x14ac:dyDescent="0.25">
      <c r="B223" s="69"/>
      <c r="C223" s="70" t="e">
        <v>#N/A</v>
      </c>
      <c r="D223" s="70" t="e">
        <v>#N/A</v>
      </c>
      <c r="E223" s="69"/>
      <c r="F223" s="72"/>
      <c r="G223" s="72"/>
      <c r="H223" s="72"/>
      <c r="I223" s="71"/>
      <c r="J223" s="71"/>
      <c r="K223" s="71"/>
      <c r="L223" s="71"/>
      <c r="M223" s="71"/>
      <c r="N223" s="71"/>
      <c r="O223" s="69"/>
      <c r="P223" s="69"/>
      <c r="Q223" s="14" t="e">
        <v>#N/A</v>
      </c>
      <c r="R223" s="14" t="e">
        <v>#N/A</v>
      </c>
      <c r="S223" s="14"/>
      <c r="T223" s="73"/>
      <c r="U223" s="14"/>
      <c r="V223" s="14"/>
      <c r="W223" s="74"/>
      <c r="X223" s="69"/>
      <c r="Y223" s="60">
        <f ca="1">Table24[[#This Row],[End Date]]+2-TODAY()</f>
        <v>-46005</v>
      </c>
      <c r="Z223" s="14">
        <f>IF(ISBLANK(Table24[[#This Row],[Roster Received By]]),1,0)</f>
        <v>1</v>
      </c>
      <c r="AA223" s="14">
        <f ca="1">IF(Table24[[#This Row],[Start Date]]&gt;TODAY(),1,)</f>
        <v>0</v>
      </c>
    </row>
    <row r="224" spans="2:27" s="52" customFormat="1" x14ac:dyDescent="0.25">
      <c r="B224" s="69"/>
      <c r="C224" s="70" t="e">
        <v>#N/A</v>
      </c>
      <c r="D224" s="70" t="e">
        <v>#N/A</v>
      </c>
      <c r="E224" s="54"/>
      <c r="F224" s="72"/>
      <c r="G224" s="72"/>
      <c r="H224" s="75"/>
      <c r="I224" s="75"/>
      <c r="J224" s="72"/>
      <c r="K224" s="72"/>
      <c r="L224" s="72"/>
      <c r="M224" s="72"/>
      <c r="N224" s="72"/>
      <c r="O224" s="69"/>
      <c r="P224" s="69"/>
      <c r="Q224" s="14" t="e">
        <v>#N/A</v>
      </c>
      <c r="R224" s="14" t="e">
        <v>#N/A</v>
      </c>
      <c r="S224" s="14"/>
      <c r="T224" s="73"/>
      <c r="U224" s="14"/>
      <c r="V224" s="14"/>
      <c r="W224" s="70"/>
      <c r="X224" s="69"/>
      <c r="Y224" s="60">
        <f ca="1">Table24[[#This Row],[End Date]]+2-TODAY()</f>
        <v>-46005</v>
      </c>
      <c r="Z224" s="14">
        <f>IF(ISBLANK(Table24[[#This Row],[Roster Received By]]),1,0)</f>
        <v>1</v>
      </c>
      <c r="AA224" s="14">
        <f ca="1">IF(Table24[[#This Row],[Start Date]]&gt;TODAY(),1,)</f>
        <v>0</v>
      </c>
    </row>
    <row r="225" spans="1:27" s="83" customFormat="1" x14ac:dyDescent="0.25">
      <c r="A225" s="52"/>
      <c r="B225" s="69"/>
      <c r="C225" s="70" t="e">
        <v>#N/A</v>
      </c>
      <c r="D225" s="70" t="e">
        <v>#N/A</v>
      </c>
      <c r="E225" s="69"/>
      <c r="F225" s="72"/>
      <c r="G225" s="72"/>
      <c r="H225" s="72"/>
      <c r="I225" s="71"/>
      <c r="J225" s="71"/>
      <c r="K225" s="71"/>
      <c r="L225" s="71"/>
      <c r="M225" s="71"/>
      <c r="N225" s="71"/>
      <c r="O225" s="69"/>
      <c r="P225" s="69"/>
      <c r="Q225" s="14" t="e">
        <v>#N/A</v>
      </c>
      <c r="R225" s="14" t="e">
        <v>#N/A</v>
      </c>
      <c r="S225" s="14"/>
      <c r="T225" s="73"/>
      <c r="U225" s="14"/>
      <c r="V225" s="14"/>
      <c r="W225" s="14"/>
      <c r="X225" s="69"/>
      <c r="Y225" s="60">
        <f ca="1">Table24[[#This Row],[End Date]]+2-TODAY()</f>
        <v>-46005</v>
      </c>
      <c r="Z225" s="14">
        <f>IF(ISBLANK(Table24[[#This Row],[Roster Received By]]),1,0)</f>
        <v>1</v>
      </c>
      <c r="AA225" s="14">
        <f ca="1">IF(Table24[[#This Row],[Start Date]]&gt;TODAY(),1,)</f>
        <v>0</v>
      </c>
    </row>
    <row r="226" spans="1:27" s="52" customFormat="1" x14ac:dyDescent="0.25">
      <c r="A226" s="69"/>
      <c r="B226" s="69"/>
      <c r="C226" s="70" t="e">
        <v>#N/A</v>
      </c>
      <c r="D226" s="70" t="e">
        <v>#N/A</v>
      </c>
      <c r="E226" s="54"/>
      <c r="F226" s="72"/>
      <c r="G226" s="72"/>
      <c r="H226" s="75"/>
      <c r="I226" s="75"/>
      <c r="J226" s="72"/>
      <c r="K226" s="72"/>
      <c r="L226" s="72"/>
      <c r="M226" s="72"/>
      <c r="N226" s="72"/>
      <c r="O226" s="69"/>
      <c r="P226" s="69"/>
      <c r="Q226" s="14" t="e">
        <v>#N/A</v>
      </c>
      <c r="R226" s="14" t="e">
        <v>#N/A</v>
      </c>
      <c r="S226" s="14"/>
      <c r="T226" s="73"/>
      <c r="U226" s="14"/>
      <c r="V226" s="14"/>
      <c r="W226" s="70"/>
      <c r="X226" s="69"/>
      <c r="Y226" s="60">
        <f ca="1">Table24[[#This Row],[End Date]]+2-TODAY()</f>
        <v>-46005</v>
      </c>
      <c r="Z226" s="14">
        <f>IF(ISBLANK(Table24[[#This Row],[Roster Received By]]),1,0)</f>
        <v>1</v>
      </c>
      <c r="AA226" s="14">
        <f ca="1">IF(Table24[[#This Row],[Start Date]]&gt;TODAY(),1,)</f>
        <v>0</v>
      </c>
    </row>
    <row r="227" spans="1:27" s="52" customFormat="1" x14ac:dyDescent="0.25">
      <c r="B227" s="69"/>
      <c r="C227" s="70" t="e">
        <v>#N/A</v>
      </c>
      <c r="D227" s="70" t="e">
        <v>#N/A</v>
      </c>
      <c r="E227" s="69"/>
      <c r="F227" s="72"/>
      <c r="G227" s="72"/>
      <c r="H227" s="75"/>
      <c r="I227" s="75"/>
      <c r="J227" s="72"/>
      <c r="K227" s="72"/>
      <c r="L227" s="72"/>
      <c r="M227" s="72"/>
      <c r="N227" s="72"/>
      <c r="O227" s="69"/>
      <c r="P227" s="69"/>
      <c r="Q227" s="14" t="e">
        <v>#N/A</v>
      </c>
      <c r="R227" s="14" t="e">
        <v>#N/A</v>
      </c>
      <c r="S227" s="14"/>
      <c r="T227" s="73"/>
      <c r="U227" s="14"/>
      <c r="V227" s="14"/>
      <c r="W227" s="70"/>
      <c r="X227" s="69"/>
      <c r="Y227" s="60">
        <f ca="1">Table24[[#This Row],[End Date]]+2-TODAY()</f>
        <v>-46005</v>
      </c>
      <c r="Z227" s="14">
        <f>IF(ISBLANK(Table24[[#This Row],[Roster Received By]]),1,0)</f>
        <v>1</v>
      </c>
      <c r="AA227" s="14">
        <f ca="1">IF(Table24[[#This Row],[Start Date]]&gt;TODAY(),1,)</f>
        <v>0</v>
      </c>
    </row>
    <row r="228" spans="1:27" s="52" customFormat="1" x14ac:dyDescent="0.25">
      <c r="B228" s="69"/>
      <c r="C228" s="70" t="e">
        <v>#N/A</v>
      </c>
      <c r="D228" s="70" t="e">
        <v>#N/A</v>
      </c>
      <c r="E228" s="69"/>
      <c r="F228" s="72"/>
      <c r="G228" s="72"/>
      <c r="H228" s="72"/>
      <c r="I228" s="71"/>
      <c r="J228" s="71"/>
      <c r="K228" s="71"/>
      <c r="L228" s="71"/>
      <c r="M228" s="71"/>
      <c r="N228" s="71"/>
      <c r="O228" s="69"/>
      <c r="P228" s="69"/>
      <c r="Q228" s="14" t="e">
        <v>#N/A</v>
      </c>
      <c r="R228" s="14" t="e">
        <v>#N/A</v>
      </c>
      <c r="S228" s="14"/>
      <c r="T228" s="73"/>
      <c r="U228" s="14"/>
      <c r="V228" s="14"/>
      <c r="W228" s="14"/>
      <c r="X228" s="69"/>
      <c r="Y228" s="60">
        <f ca="1">Table24[[#This Row],[End Date]]+2-TODAY()</f>
        <v>-46005</v>
      </c>
      <c r="Z228" s="14">
        <f>IF(ISBLANK(Table24[[#This Row],[Roster Received By]]),1,0)</f>
        <v>1</v>
      </c>
      <c r="AA228" s="14">
        <f ca="1">IF(Table24[[#This Row],[Start Date]]&gt;TODAY(),1,)</f>
        <v>0</v>
      </c>
    </row>
    <row r="229" spans="1:27" s="52" customFormat="1" x14ac:dyDescent="0.25">
      <c r="B229" s="69"/>
      <c r="C229" s="70" t="e">
        <v>#N/A</v>
      </c>
      <c r="D229" s="70" t="e">
        <v>#N/A</v>
      </c>
      <c r="E229" s="69"/>
      <c r="F229" s="72"/>
      <c r="G229" s="72"/>
      <c r="H229" s="75"/>
      <c r="I229" s="75"/>
      <c r="J229" s="75"/>
      <c r="K229" s="75"/>
      <c r="L229" s="75"/>
      <c r="M229" s="75"/>
      <c r="N229" s="72"/>
      <c r="O229" s="69"/>
      <c r="P229" s="69"/>
      <c r="Q229" s="14" t="e">
        <v>#N/A</v>
      </c>
      <c r="R229" s="14" t="e">
        <v>#N/A</v>
      </c>
      <c r="S229" s="14"/>
      <c r="T229" s="73"/>
      <c r="U229" s="14"/>
      <c r="V229" s="14"/>
      <c r="W229" s="14"/>
      <c r="X229" s="69"/>
      <c r="Y229" s="60">
        <f ca="1">Table24[[#This Row],[End Date]]+2-TODAY()</f>
        <v>-46005</v>
      </c>
      <c r="Z229" s="14">
        <f>IF(ISBLANK(Table24[[#This Row],[Roster Received By]]),1,0)</f>
        <v>1</v>
      </c>
      <c r="AA229" s="14">
        <f ca="1">IF(Table24[[#This Row],[Start Date]]&gt;TODAY(),1,)</f>
        <v>0</v>
      </c>
    </row>
    <row r="230" spans="1:27" s="52" customFormat="1" x14ac:dyDescent="0.25">
      <c r="B230" s="69"/>
      <c r="C230" s="70" t="e">
        <v>#N/A</v>
      </c>
      <c r="D230" s="70" t="e">
        <v>#N/A</v>
      </c>
      <c r="E230" s="69"/>
      <c r="F230" s="72"/>
      <c r="G230" s="72"/>
      <c r="H230" s="75"/>
      <c r="I230" s="75"/>
      <c r="J230" s="75"/>
      <c r="K230" s="75"/>
      <c r="L230" s="75"/>
      <c r="M230" s="75"/>
      <c r="N230" s="72"/>
      <c r="O230" s="69"/>
      <c r="P230" s="69"/>
      <c r="Q230" s="14" t="e">
        <v>#N/A</v>
      </c>
      <c r="R230" s="14" t="e">
        <v>#N/A</v>
      </c>
      <c r="S230" s="14"/>
      <c r="T230" s="73"/>
      <c r="U230" s="14"/>
      <c r="V230" s="14"/>
      <c r="W230" s="14"/>
      <c r="X230" s="69"/>
      <c r="Y230" s="60">
        <f ca="1">Table24[[#This Row],[End Date]]+2-TODAY()</f>
        <v>-46005</v>
      </c>
      <c r="Z230" s="14">
        <f>IF(ISBLANK(Table24[[#This Row],[Roster Received By]]),1,0)</f>
        <v>1</v>
      </c>
      <c r="AA230" s="14">
        <f ca="1">IF(Table24[[#This Row],[Start Date]]&gt;TODAY(),1,)</f>
        <v>0</v>
      </c>
    </row>
    <row r="231" spans="1:27" s="52" customFormat="1" x14ac:dyDescent="0.25">
      <c r="B231" s="69"/>
      <c r="C231" s="70" t="e">
        <v>#N/A</v>
      </c>
      <c r="D231" s="70" t="e">
        <v>#N/A</v>
      </c>
      <c r="E231" s="69"/>
      <c r="F231" s="72"/>
      <c r="G231" s="72"/>
      <c r="H231" s="72"/>
      <c r="I231" s="71"/>
      <c r="J231" s="71"/>
      <c r="K231" s="71"/>
      <c r="L231" s="71"/>
      <c r="M231" s="71"/>
      <c r="N231" s="71"/>
      <c r="O231" s="69"/>
      <c r="P231" s="69"/>
      <c r="Q231" s="14" t="e">
        <v>#N/A</v>
      </c>
      <c r="R231" s="14" t="e">
        <v>#N/A</v>
      </c>
      <c r="S231" s="14"/>
      <c r="T231" s="73"/>
      <c r="U231" s="14"/>
      <c r="V231" s="14"/>
      <c r="W231" s="14"/>
      <c r="X231" s="69"/>
      <c r="Y231" s="60">
        <f ca="1">Table24[[#This Row],[End Date]]+2-TODAY()</f>
        <v>-46005</v>
      </c>
      <c r="Z231" s="14">
        <f>IF(ISBLANK(Table24[[#This Row],[Roster Received By]]),1,0)</f>
        <v>1</v>
      </c>
      <c r="AA231" s="14">
        <f ca="1">IF(Table24[[#This Row],[Start Date]]&gt;TODAY(),1,)</f>
        <v>0</v>
      </c>
    </row>
    <row r="232" spans="1:27" s="52" customFormat="1" x14ac:dyDescent="0.25">
      <c r="B232" s="69"/>
      <c r="C232" s="70" t="e">
        <v>#N/A</v>
      </c>
      <c r="D232" s="70" t="e">
        <v>#N/A</v>
      </c>
      <c r="E232" s="69"/>
      <c r="F232" s="72"/>
      <c r="G232" s="72"/>
      <c r="H232" s="72"/>
      <c r="I232" s="71"/>
      <c r="J232" s="71"/>
      <c r="K232" s="71"/>
      <c r="L232" s="71"/>
      <c r="M232" s="71"/>
      <c r="N232" s="71"/>
      <c r="O232" s="69"/>
      <c r="P232" s="69"/>
      <c r="Q232" s="14" t="e">
        <v>#N/A</v>
      </c>
      <c r="R232" s="14" t="e">
        <v>#N/A</v>
      </c>
      <c r="S232" s="14"/>
      <c r="T232" s="73"/>
      <c r="U232" s="14"/>
      <c r="V232" s="14"/>
      <c r="W232" s="14"/>
      <c r="X232" s="69"/>
      <c r="Y232" s="60">
        <f ca="1">Table24[[#This Row],[End Date]]+2-TODAY()</f>
        <v>-46005</v>
      </c>
      <c r="Z232" s="14">
        <f>IF(ISBLANK(Table24[[#This Row],[Roster Received By]]),1,0)</f>
        <v>1</v>
      </c>
      <c r="AA232" s="14">
        <f ca="1">IF(Table24[[#This Row],[Start Date]]&gt;TODAY(),1,)</f>
        <v>0</v>
      </c>
    </row>
    <row r="233" spans="1:27" s="52" customFormat="1" x14ac:dyDescent="0.25">
      <c r="B233" s="69"/>
      <c r="C233" s="70" t="e">
        <v>#N/A</v>
      </c>
      <c r="D233" s="70" t="e">
        <v>#N/A</v>
      </c>
      <c r="E233" s="69"/>
      <c r="F233" s="72"/>
      <c r="G233" s="72"/>
      <c r="H233" s="72"/>
      <c r="I233" s="71"/>
      <c r="J233" s="71"/>
      <c r="K233" s="71"/>
      <c r="L233" s="71"/>
      <c r="M233" s="71"/>
      <c r="N233" s="71"/>
      <c r="O233" s="69"/>
      <c r="P233" s="69"/>
      <c r="Q233" s="14" t="e">
        <v>#N/A</v>
      </c>
      <c r="R233" s="14" t="e">
        <v>#N/A</v>
      </c>
      <c r="S233" s="14"/>
      <c r="T233" s="73"/>
      <c r="U233" s="14"/>
      <c r="V233" s="14"/>
      <c r="W233" s="14"/>
      <c r="X233" s="69"/>
      <c r="Y233" s="60">
        <f ca="1">Table24[[#This Row],[End Date]]+2-TODAY()</f>
        <v>-46005</v>
      </c>
      <c r="Z233" s="14">
        <f>IF(ISBLANK(Table24[[#This Row],[Roster Received By]]),1,0)</f>
        <v>1</v>
      </c>
      <c r="AA233" s="14">
        <f ca="1">IF(Table24[[#This Row],[Start Date]]&gt;TODAY(),1,)</f>
        <v>0</v>
      </c>
    </row>
    <row r="234" spans="1:27" s="52" customFormat="1" x14ac:dyDescent="0.25">
      <c r="B234" s="69"/>
      <c r="C234" s="70" t="e">
        <v>#N/A</v>
      </c>
      <c r="D234" s="70" t="e">
        <v>#N/A</v>
      </c>
      <c r="E234" s="69"/>
      <c r="F234" s="72"/>
      <c r="G234" s="72"/>
      <c r="H234" s="72"/>
      <c r="I234" s="71"/>
      <c r="J234" s="71"/>
      <c r="K234" s="71"/>
      <c r="L234" s="71"/>
      <c r="M234" s="71"/>
      <c r="N234" s="71"/>
      <c r="O234" s="69"/>
      <c r="P234" s="69"/>
      <c r="Q234" s="14" t="e">
        <v>#N/A</v>
      </c>
      <c r="R234" s="14" t="e">
        <v>#N/A</v>
      </c>
      <c r="S234" s="14"/>
      <c r="T234" s="73"/>
      <c r="U234" s="14"/>
      <c r="V234" s="14"/>
      <c r="W234" s="14"/>
      <c r="X234" s="69"/>
      <c r="Y234" s="60">
        <f ca="1">Table24[[#This Row],[End Date]]+2-TODAY()</f>
        <v>-46005</v>
      </c>
      <c r="Z234" s="14">
        <f>IF(ISBLANK(Table24[[#This Row],[Roster Received By]]),1,0)</f>
        <v>1</v>
      </c>
      <c r="AA234" s="14">
        <f ca="1">IF(Table24[[#This Row],[Start Date]]&gt;TODAY(),1,)</f>
        <v>0</v>
      </c>
    </row>
    <row r="235" spans="1:27" s="52" customFormat="1" x14ac:dyDescent="0.25">
      <c r="B235" s="69"/>
      <c r="C235" s="70" t="e">
        <v>#N/A</v>
      </c>
      <c r="D235" s="70" t="e">
        <v>#N/A</v>
      </c>
      <c r="E235" s="69"/>
      <c r="F235" s="72"/>
      <c r="G235" s="72"/>
      <c r="H235" s="72"/>
      <c r="I235" s="71"/>
      <c r="J235" s="71"/>
      <c r="K235" s="71"/>
      <c r="L235" s="71"/>
      <c r="M235" s="71"/>
      <c r="N235" s="71"/>
      <c r="O235" s="69"/>
      <c r="P235" s="69"/>
      <c r="Q235" s="14" t="e">
        <v>#N/A</v>
      </c>
      <c r="R235" s="14" t="e">
        <v>#N/A</v>
      </c>
      <c r="S235" s="14"/>
      <c r="T235" s="73"/>
      <c r="U235" s="14"/>
      <c r="V235" s="14"/>
      <c r="W235" s="14"/>
      <c r="X235" s="69"/>
      <c r="Y235" s="60">
        <f ca="1">Table24[[#This Row],[End Date]]+2-TODAY()</f>
        <v>-46005</v>
      </c>
      <c r="Z235" s="14">
        <f>IF(ISBLANK(Table24[[#This Row],[Roster Received By]]),1,0)</f>
        <v>1</v>
      </c>
      <c r="AA235" s="14">
        <f ca="1">IF(Table24[[#This Row],[Start Date]]&gt;TODAY(),1,)</f>
        <v>0</v>
      </c>
    </row>
    <row r="236" spans="1:27" s="52" customFormat="1" x14ac:dyDescent="0.25">
      <c r="B236" s="69"/>
      <c r="C236" s="70" t="e">
        <v>#N/A</v>
      </c>
      <c r="D236" s="70" t="e">
        <v>#N/A</v>
      </c>
      <c r="E236" s="69"/>
      <c r="F236" s="72"/>
      <c r="G236" s="72"/>
      <c r="H236" s="78"/>
      <c r="I236" s="75"/>
      <c r="J236" s="72"/>
      <c r="K236" s="72"/>
      <c r="L236" s="72"/>
      <c r="M236" s="72"/>
      <c r="N236" s="72"/>
      <c r="O236" s="69"/>
      <c r="P236" s="69"/>
      <c r="Q236" s="14" t="e">
        <v>#N/A</v>
      </c>
      <c r="R236" s="14" t="e">
        <v>#N/A</v>
      </c>
      <c r="S236" s="73"/>
      <c r="T236" s="73"/>
      <c r="U236" s="14"/>
      <c r="V236" s="14"/>
      <c r="W236" s="14"/>
      <c r="X236" s="69"/>
      <c r="Y236" s="60">
        <f ca="1">Table24[[#This Row],[End Date]]+2-TODAY()</f>
        <v>-46005</v>
      </c>
      <c r="Z236" s="14">
        <f>IF(ISBLANK(Table24[[#This Row],[Roster Received By]]),1,0)</f>
        <v>1</v>
      </c>
      <c r="AA236" s="14">
        <f ca="1">IF(Table24[[#This Row],[Start Date]]&gt;TODAY(),1,)</f>
        <v>0</v>
      </c>
    </row>
    <row r="237" spans="1:27" s="52" customFormat="1" x14ac:dyDescent="0.25">
      <c r="B237" s="86"/>
      <c r="C237" s="70" t="e">
        <v>#N/A</v>
      </c>
      <c r="D237" s="70" t="e">
        <v>#N/A</v>
      </c>
      <c r="E237" s="69"/>
      <c r="F237" s="72"/>
      <c r="G237" s="72"/>
      <c r="H237" s="72"/>
      <c r="I237" s="71"/>
      <c r="J237" s="71"/>
      <c r="K237" s="71"/>
      <c r="L237" s="71"/>
      <c r="M237" s="71"/>
      <c r="N237" s="71"/>
      <c r="O237" s="69"/>
      <c r="P237" s="69"/>
      <c r="Q237" s="14" t="e">
        <v>#N/A</v>
      </c>
      <c r="R237" s="14" t="e">
        <v>#N/A</v>
      </c>
      <c r="S237" s="14"/>
      <c r="T237" s="73"/>
      <c r="U237" s="14"/>
      <c r="V237" s="14"/>
      <c r="W237" s="14"/>
      <c r="X237" s="69"/>
      <c r="Y237" s="60">
        <f ca="1">Table24[[#This Row],[End Date]]+2-TODAY()</f>
        <v>-46005</v>
      </c>
      <c r="Z237" s="14">
        <f>IF(ISBLANK(Table24[[#This Row],[Roster Received By]]),1,0)</f>
        <v>1</v>
      </c>
      <c r="AA237" s="14">
        <f ca="1">IF(Table24[[#This Row],[Start Date]]&gt;TODAY(),1,)</f>
        <v>0</v>
      </c>
    </row>
    <row r="238" spans="1:27" s="52" customFormat="1" x14ac:dyDescent="0.25">
      <c r="B238" s="69"/>
      <c r="C238" s="70" t="e">
        <v>#N/A</v>
      </c>
      <c r="D238" s="70" t="e">
        <v>#N/A</v>
      </c>
      <c r="E238" s="69"/>
      <c r="F238" s="72"/>
      <c r="G238" s="72"/>
      <c r="H238" s="75"/>
      <c r="I238" s="75"/>
      <c r="J238" s="72"/>
      <c r="K238" s="72"/>
      <c r="L238" s="72"/>
      <c r="M238" s="72"/>
      <c r="N238" s="72"/>
      <c r="O238" s="69"/>
      <c r="P238" s="69"/>
      <c r="Q238" s="14" t="e">
        <v>#N/A</v>
      </c>
      <c r="R238" s="14" t="e">
        <v>#N/A</v>
      </c>
      <c r="S238" s="14"/>
      <c r="T238" s="73"/>
      <c r="U238" s="14"/>
      <c r="V238" s="14"/>
      <c r="W238" s="74"/>
      <c r="X238" s="69"/>
      <c r="Y238" s="60">
        <f ca="1">Table24[[#This Row],[End Date]]+2-TODAY()</f>
        <v>-46005</v>
      </c>
      <c r="Z238" s="14">
        <f>IF(ISBLANK(Table24[[#This Row],[Roster Received By]]),1,0)</f>
        <v>1</v>
      </c>
      <c r="AA238" s="14">
        <f ca="1">IF(Table24[[#This Row],[Start Date]]&gt;TODAY(),1,)</f>
        <v>0</v>
      </c>
    </row>
    <row r="239" spans="1:27" s="52" customFormat="1" x14ac:dyDescent="0.25">
      <c r="B239" s="86"/>
      <c r="C239" s="70" t="e">
        <v>#N/A</v>
      </c>
      <c r="D239" s="70" t="e">
        <v>#N/A</v>
      </c>
      <c r="E239" s="69"/>
      <c r="F239" s="72"/>
      <c r="G239" s="72"/>
      <c r="H239" s="75"/>
      <c r="I239" s="75"/>
      <c r="J239" s="75"/>
      <c r="K239" s="75"/>
      <c r="L239" s="75"/>
      <c r="M239" s="75"/>
      <c r="N239" s="72"/>
      <c r="O239" s="69"/>
      <c r="P239" s="69"/>
      <c r="Q239" s="14" t="e">
        <v>#N/A</v>
      </c>
      <c r="R239" s="14" t="e">
        <v>#N/A</v>
      </c>
      <c r="S239" s="14"/>
      <c r="T239" s="73"/>
      <c r="U239" s="14"/>
      <c r="V239" s="14"/>
      <c r="W239" s="14"/>
      <c r="X239" s="69"/>
      <c r="Y239" s="60">
        <f ca="1">Table24[[#This Row],[End Date]]+2-TODAY()</f>
        <v>-46005</v>
      </c>
      <c r="Z239" s="14">
        <f>IF(ISBLANK(Table24[[#This Row],[Roster Received By]]),1,0)</f>
        <v>1</v>
      </c>
      <c r="AA239" s="14">
        <f ca="1">IF(Table24[[#This Row],[Start Date]]&gt;TODAY(),1,)</f>
        <v>0</v>
      </c>
    </row>
    <row r="240" spans="1:27" s="52" customFormat="1" x14ac:dyDescent="0.25">
      <c r="B240" s="86"/>
      <c r="C240" s="70" t="e">
        <v>#N/A</v>
      </c>
      <c r="D240" s="70" t="e">
        <v>#N/A</v>
      </c>
      <c r="E240" s="69"/>
      <c r="F240" s="72"/>
      <c r="G240" s="72"/>
      <c r="H240" s="75"/>
      <c r="I240" s="75"/>
      <c r="J240" s="72"/>
      <c r="K240" s="72"/>
      <c r="L240" s="72"/>
      <c r="M240" s="72"/>
      <c r="N240" s="72"/>
      <c r="O240" s="69"/>
      <c r="P240" s="69"/>
      <c r="Q240" s="14" t="e">
        <v>#N/A</v>
      </c>
      <c r="R240" s="14" t="e">
        <v>#N/A</v>
      </c>
      <c r="S240" s="14"/>
      <c r="T240" s="73"/>
      <c r="U240" s="14"/>
      <c r="V240" s="14"/>
      <c r="W240" s="14"/>
      <c r="X240" s="69"/>
      <c r="Y240" s="60">
        <f ca="1">Table24[[#This Row],[End Date]]+2-TODAY()</f>
        <v>-46005</v>
      </c>
      <c r="Z240" s="14">
        <f>IF(ISBLANK(Table24[[#This Row],[Roster Received By]]),1,0)</f>
        <v>1</v>
      </c>
      <c r="AA240" s="14">
        <f ca="1">IF(Table24[[#This Row],[Start Date]]&gt;TODAY(),1,)</f>
        <v>0</v>
      </c>
    </row>
    <row r="241" spans="1:27" s="52" customFormat="1" x14ac:dyDescent="0.25">
      <c r="B241" s="86"/>
      <c r="C241" s="70" t="e">
        <v>#N/A</v>
      </c>
      <c r="D241" s="70" t="e">
        <v>#N/A</v>
      </c>
      <c r="E241" s="69"/>
      <c r="F241" s="72"/>
      <c r="G241" s="72"/>
      <c r="H241" s="72"/>
      <c r="I241" s="71"/>
      <c r="J241" s="71"/>
      <c r="K241" s="71"/>
      <c r="L241" s="71"/>
      <c r="M241" s="71"/>
      <c r="N241" s="71"/>
      <c r="O241" s="69"/>
      <c r="P241" s="69"/>
      <c r="Q241" s="14" t="e">
        <v>#N/A</v>
      </c>
      <c r="R241" s="14" t="e">
        <v>#N/A</v>
      </c>
      <c r="S241" s="14"/>
      <c r="T241" s="73"/>
      <c r="U241" s="14"/>
      <c r="V241" s="14"/>
      <c r="W241" s="14"/>
      <c r="X241" s="69"/>
      <c r="Y241" s="60">
        <f ca="1">Table24[[#This Row],[End Date]]+2-TODAY()</f>
        <v>-46005</v>
      </c>
      <c r="Z241" s="14">
        <f>IF(ISBLANK(Table24[[#This Row],[Roster Received By]]),1,0)</f>
        <v>1</v>
      </c>
      <c r="AA241" s="14">
        <f ca="1">IF(Table24[[#This Row],[Start Date]]&gt;TODAY(),1,)</f>
        <v>0</v>
      </c>
    </row>
    <row r="242" spans="1:27" s="52" customFormat="1" x14ac:dyDescent="0.25">
      <c r="B242" s="69"/>
      <c r="C242" s="70" t="e">
        <v>#N/A</v>
      </c>
      <c r="D242" s="70" t="e">
        <v>#N/A</v>
      </c>
      <c r="E242" s="69"/>
      <c r="F242" s="72"/>
      <c r="G242" s="72"/>
      <c r="H242" s="78"/>
      <c r="I242" s="78"/>
      <c r="J242" s="72"/>
      <c r="K242" s="72"/>
      <c r="L242" s="72"/>
      <c r="M242" s="72"/>
      <c r="N242" s="72"/>
      <c r="O242" s="69"/>
      <c r="P242" s="69"/>
      <c r="Q242" s="14" t="e">
        <v>#N/A</v>
      </c>
      <c r="R242" s="14" t="e">
        <v>#N/A</v>
      </c>
      <c r="S242" s="14"/>
      <c r="T242" s="73"/>
      <c r="U242" s="14"/>
      <c r="V242" s="14"/>
      <c r="W242" s="14"/>
      <c r="X242" s="69"/>
      <c r="Y242" s="60">
        <f ca="1">Table24[[#This Row],[End Date]]+2-TODAY()</f>
        <v>-46005</v>
      </c>
      <c r="Z242" s="14">
        <f>IF(ISBLANK(Table24[[#This Row],[Roster Received By]]),1,0)</f>
        <v>1</v>
      </c>
      <c r="AA242" s="14">
        <f ca="1">IF(Table24[[#This Row],[Start Date]]&gt;TODAY(),1,)</f>
        <v>0</v>
      </c>
    </row>
    <row r="243" spans="1:27" s="52" customFormat="1" x14ac:dyDescent="0.25">
      <c r="B243" s="69"/>
      <c r="C243" s="70" t="e">
        <v>#N/A</v>
      </c>
      <c r="D243" s="70" t="e">
        <v>#N/A</v>
      </c>
      <c r="E243" s="69"/>
      <c r="F243" s="72"/>
      <c r="G243" s="72"/>
      <c r="H243" s="72"/>
      <c r="I243" s="71"/>
      <c r="J243" s="71"/>
      <c r="K243" s="71"/>
      <c r="L243" s="71"/>
      <c r="M243" s="71"/>
      <c r="N243" s="71"/>
      <c r="O243" s="69"/>
      <c r="P243" s="69"/>
      <c r="Q243" s="14" t="e">
        <v>#N/A</v>
      </c>
      <c r="R243" s="14" t="e">
        <v>#N/A</v>
      </c>
      <c r="S243" s="14"/>
      <c r="T243" s="73"/>
      <c r="U243" s="14"/>
      <c r="V243" s="14"/>
      <c r="W243" s="14"/>
      <c r="X243" s="69"/>
      <c r="Y243" s="60">
        <f ca="1">Table24[[#This Row],[End Date]]+2-TODAY()</f>
        <v>-46005</v>
      </c>
      <c r="Z243" s="14">
        <f>IF(ISBLANK(Table24[[#This Row],[Roster Received By]]),1,0)</f>
        <v>1</v>
      </c>
      <c r="AA243" s="14">
        <f ca="1">IF(Table24[[#This Row],[Start Date]]&gt;TODAY(),1,)</f>
        <v>0</v>
      </c>
    </row>
    <row r="244" spans="1:27" s="52" customFormat="1" x14ac:dyDescent="0.25">
      <c r="B244" s="96"/>
      <c r="C244" s="70" t="e">
        <v>#N/A</v>
      </c>
      <c r="D244" s="70" t="e">
        <v>#N/A</v>
      </c>
      <c r="E244" s="69"/>
      <c r="F244" s="72"/>
      <c r="G244" s="72"/>
      <c r="H244" s="72"/>
      <c r="I244" s="71"/>
      <c r="J244" s="71"/>
      <c r="K244" s="71"/>
      <c r="L244" s="71"/>
      <c r="M244" s="71"/>
      <c r="N244" s="71"/>
      <c r="O244" s="69"/>
      <c r="P244" s="69"/>
      <c r="Q244" s="14" t="e">
        <v>#N/A</v>
      </c>
      <c r="R244" s="14" t="e">
        <v>#N/A</v>
      </c>
      <c r="S244" s="14"/>
      <c r="T244" s="73"/>
      <c r="U244" s="14"/>
      <c r="V244" s="14"/>
      <c r="W244" s="70"/>
      <c r="X244" s="69"/>
      <c r="Y244" s="60">
        <f ca="1">Table24[[#This Row],[End Date]]+2-TODAY()</f>
        <v>-46005</v>
      </c>
      <c r="Z244" s="14">
        <f>IF(ISBLANK(Table24[[#This Row],[Roster Received By]]),1,0)</f>
        <v>1</v>
      </c>
      <c r="AA244" s="14">
        <f ca="1">IF(Table24[[#This Row],[Start Date]]&gt;TODAY(),1,)</f>
        <v>0</v>
      </c>
    </row>
    <row r="245" spans="1:27" s="52" customFormat="1" x14ac:dyDescent="0.25">
      <c r="B245" s="86"/>
      <c r="C245" s="70" t="e">
        <v>#N/A</v>
      </c>
      <c r="D245" s="70" t="e">
        <v>#N/A</v>
      </c>
      <c r="E245" s="69"/>
      <c r="F245" s="72"/>
      <c r="G245" s="72"/>
      <c r="H245" s="72"/>
      <c r="I245" s="71"/>
      <c r="J245" s="71"/>
      <c r="K245" s="71"/>
      <c r="L245" s="71"/>
      <c r="M245" s="71"/>
      <c r="N245" s="71"/>
      <c r="O245" s="69"/>
      <c r="P245" s="69"/>
      <c r="Q245" s="14" t="e">
        <v>#N/A</v>
      </c>
      <c r="R245" s="14" t="e">
        <v>#N/A</v>
      </c>
      <c r="S245" s="14"/>
      <c r="T245" s="73"/>
      <c r="U245" s="14"/>
      <c r="V245" s="14"/>
      <c r="W245" s="14"/>
      <c r="X245" s="69"/>
      <c r="Y245" s="60">
        <f ca="1">Table24[[#This Row],[End Date]]+2-TODAY()</f>
        <v>-46005</v>
      </c>
      <c r="Z245" s="14">
        <f>IF(ISBLANK(Table24[[#This Row],[Roster Received By]]),1,0)</f>
        <v>1</v>
      </c>
      <c r="AA245" s="14">
        <f ca="1">IF(Table24[[#This Row],[Start Date]]&gt;TODAY(),1,)</f>
        <v>0</v>
      </c>
    </row>
    <row r="246" spans="1:27" s="52" customFormat="1" x14ac:dyDescent="0.25">
      <c r="B246" s="86"/>
      <c r="C246" s="70" t="e">
        <v>#N/A</v>
      </c>
      <c r="D246" s="70" t="e">
        <v>#N/A</v>
      </c>
      <c r="E246" s="69"/>
      <c r="F246" s="72"/>
      <c r="G246" s="72"/>
      <c r="H246" s="75"/>
      <c r="I246" s="75"/>
      <c r="J246" s="75"/>
      <c r="K246" s="75"/>
      <c r="L246" s="75"/>
      <c r="M246" s="75"/>
      <c r="N246" s="72"/>
      <c r="O246" s="69"/>
      <c r="P246" s="69"/>
      <c r="Q246" s="14" t="e">
        <v>#N/A</v>
      </c>
      <c r="R246" s="14" t="e">
        <v>#N/A</v>
      </c>
      <c r="S246" s="14"/>
      <c r="T246" s="73"/>
      <c r="U246" s="14"/>
      <c r="V246" s="14"/>
      <c r="W246" s="14"/>
      <c r="X246" s="69"/>
      <c r="Y246" s="60">
        <f ca="1">Table24[[#This Row],[End Date]]+2-TODAY()</f>
        <v>-46005</v>
      </c>
      <c r="Z246" s="14">
        <f>IF(ISBLANK(Table24[[#This Row],[Roster Received By]]),1,0)</f>
        <v>1</v>
      </c>
      <c r="AA246" s="14">
        <f ca="1">IF(Table24[[#This Row],[Start Date]]&gt;TODAY(),1,)</f>
        <v>0</v>
      </c>
    </row>
    <row r="247" spans="1:27" s="52" customFormat="1" x14ac:dyDescent="0.25">
      <c r="B247" s="86"/>
      <c r="C247" s="70" t="e">
        <v>#N/A</v>
      </c>
      <c r="D247" s="70" t="e">
        <v>#N/A</v>
      </c>
      <c r="E247" s="86"/>
      <c r="F247" s="68"/>
      <c r="G247" s="80"/>
      <c r="H247" s="72"/>
      <c r="I247" s="71"/>
      <c r="J247" s="71"/>
      <c r="K247" s="71"/>
      <c r="L247" s="71"/>
      <c r="M247" s="71"/>
      <c r="N247" s="71"/>
      <c r="O247" s="69"/>
      <c r="P247" s="69"/>
      <c r="Q247" s="14" t="e">
        <v>#N/A</v>
      </c>
      <c r="R247" s="14" t="e">
        <v>#N/A</v>
      </c>
      <c r="S247" s="14"/>
      <c r="T247" s="73"/>
      <c r="U247" s="14"/>
      <c r="V247" s="14"/>
      <c r="W247" s="14"/>
      <c r="X247" s="69"/>
      <c r="Y247" s="60">
        <f ca="1">Table24[[#This Row],[End Date]]+2-TODAY()</f>
        <v>-46005</v>
      </c>
      <c r="Z247" s="14">
        <f>IF(ISBLANK(Table24[[#This Row],[Roster Received By]]),1,0)</f>
        <v>1</v>
      </c>
      <c r="AA247" s="14">
        <f ca="1">IF(Table24[[#This Row],[Start Date]]&gt;TODAY(),1,)</f>
        <v>0</v>
      </c>
    </row>
    <row r="248" spans="1:27" s="52" customFormat="1" x14ac:dyDescent="0.25">
      <c r="B248" s="69"/>
      <c r="C248" s="70" t="e">
        <v>#N/A</v>
      </c>
      <c r="D248" s="70" t="e">
        <v>#N/A</v>
      </c>
      <c r="E248" s="69"/>
      <c r="F248" s="72"/>
      <c r="G248" s="72"/>
      <c r="H248" s="75"/>
      <c r="I248" s="75"/>
      <c r="J248" s="72"/>
      <c r="K248" s="72"/>
      <c r="L248" s="72"/>
      <c r="M248" s="72"/>
      <c r="N248" s="72"/>
      <c r="O248" s="69"/>
      <c r="P248" s="69"/>
      <c r="Q248" s="14" t="e">
        <v>#N/A</v>
      </c>
      <c r="R248" s="14" t="e">
        <v>#N/A</v>
      </c>
      <c r="S248" s="14"/>
      <c r="T248" s="73"/>
      <c r="U248" s="14"/>
      <c r="V248" s="14"/>
      <c r="W248" s="14"/>
      <c r="X248" s="69"/>
      <c r="Y248" s="60">
        <f ca="1">Table24[[#This Row],[End Date]]+2-TODAY()</f>
        <v>-46005</v>
      </c>
      <c r="Z248" s="14">
        <f>IF(ISBLANK(Table24[[#This Row],[Roster Received By]]),1,0)</f>
        <v>1</v>
      </c>
      <c r="AA248" s="14">
        <f ca="1">IF(Table24[[#This Row],[Start Date]]&gt;TODAY(),1,)</f>
        <v>0</v>
      </c>
    </row>
    <row r="249" spans="1:27" s="52" customFormat="1" x14ac:dyDescent="0.25">
      <c r="B249" s="86"/>
      <c r="C249" s="70" t="e">
        <v>#N/A</v>
      </c>
      <c r="D249" s="70" t="e">
        <v>#N/A</v>
      </c>
      <c r="E249" s="55"/>
      <c r="F249" s="68"/>
      <c r="G249" s="80"/>
      <c r="H249" s="75"/>
      <c r="I249" s="75"/>
      <c r="J249" s="72"/>
      <c r="K249" s="72"/>
      <c r="L249" s="72"/>
      <c r="M249" s="72"/>
      <c r="N249" s="72"/>
      <c r="O249" s="69"/>
      <c r="P249" s="69"/>
      <c r="Q249" s="14" t="e">
        <v>#N/A</v>
      </c>
      <c r="R249" s="14" t="e">
        <v>#N/A</v>
      </c>
      <c r="S249" s="14"/>
      <c r="T249" s="73"/>
      <c r="U249" s="14"/>
      <c r="V249" s="14"/>
      <c r="W249" s="70"/>
      <c r="X249" s="69"/>
      <c r="Y249" s="60">
        <f ca="1">Table24[[#This Row],[End Date]]+2-TODAY()</f>
        <v>-46005</v>
      </c>
      <c r="Z249" s="14">
        <f>IF(ISBLANK(Table24[[#This Row],[Roster Received By]]),1,0)</f>
        <v>1</v>
      </c>
      <c r="AA249" s="14">
        <f ca="1">IF(Table24[[#This Row],[Start Date]]&gt;TODAY(),1,)</f>
        <v>0</v>
      </c>
    </row>
    <row r="250" spans="1:27" s="52" customFormat="1" x14ac:dyDescent="0.25">
      <c r="B250" s="55"/>
      <c r="C250" s="70" t="e">
        <v>#N/A</v>
      </c>
      <c r="D250" s="70" t="e">
        <v>#N/A</v>
      </c>
      <c r="E250" s="100"/>
      <c r="F250" s="68"/>
      <c r="G250" s="68"/>
      <c r="H250" s="71"/>
      <c r="I250" s="71"/>
      <c r="J250" s="72"/>
      <c r="K250" s="72"/>
      <c r="L250" s="72"/>
      <c r="M250" s="72"/>
      <c r="N250" s="72"/>
      <c r="O250" s="69"/>
      <c r="P250" s="69"/>
      <c r="Q250" s="14" t="e">
        <v>#N/A</v>
      </c>
      <c r="R250" s="14" t="e">
        <v>#N/A</v>
      </c>
      <c r="S250" s="14"/>
      <c r="T250" s="73"/>
      <c r="U250" s="14"/>
      <c r="V250" s="14"/>
      <c r="W250" s="14"/>
      <c r="X250" s="69"/>
      <c r="Y250" s="60">
        <f ca="1">Table24[[#This Row],[End Date]]+2-TODAY()</f>
        <v>-46005</v>
      </c>
      <c r="Z250" s="14">
        <f>IF(ISBLANK(Table24[[#This Row],[Roster Received By]]),1,0)</f>
        <v>1</v>
      </c>
      <c r="AA250" s="14">
        <f ca="1">IF(Table24[[#This Row],[Start Date]]&gt;TODAY(),1,)</f>
        <v>0</v>
      </c>
    </row>
    <row r="251" spans="1:27" s="52" customFormat="1" x14ac:dyDescent="0.25">
      <c r="B251" s="86"/>
      <c r="C251" s="70" t="e">
        <v>#N/A</v>
      </c>
      <c r="D251" s="70" t="e">
        <v>#N/A</v>
      </c>
      <c r="E251" s="86"/>
      <c r="F251" s="80"/>
      <c r="G251" s="80"/>
      <c r="H251" s="72"/>
      <c r="I251" s="71"/>
      <c r="J251" s="71"/>
      <c r="K251" s="71"/>
      <c r="L251" s="71"/>
      <c r="M251" s="71"/>
      <c r="N251" s="71"/>
      <c r="O251" s="69"/>
      <c r="P251" s="69"/>
      <c r="Q251" s="14" t="e">
        <v>#N/A</v>
      </c>
      <c r="R251" s="14" t="e">
        <v>#N/A</v>
      </c>
      <c r="S251" s="14"/>
      <c r="T251" s="73"/>
      <c r="U251" s="14"/>
      <c r="V251" s="14"/>
      <c r="W251" s="14"/>
      <c r="X251" s="69"/>
      <c r="Y251" s="60">
        <f ca="1">Table24[[#This Row],[End Date]]+2-TODAY()</f>
        <v>-46005</v>
      </c>
      <c r="Z251" s="14">
        <f>IF(ISBLANK(Table24[[#This Row],[Roster Received By]]),1,0)</f>
        <v>1</v>
      </c>
      <c r="AA251" s="14">
        <f ca="1">IF(Table24[[#This Row],[Start Date]]&gt;TODAY(),1,)</f>
        <v>0</v>
      </c>
    </row>
    <row r="252" spans="1:27" s="52" customFormat="1" x14ac:dyDescent="0.25">
      <c r="B252" s="86"/>
      <c r="C252" s="70" t="e">
        <v>#N/A</v>
      </c>
      <c r="D252" s="70" t="e">
        <v>#N/A</v>
      </c>
      <c r="E252" s="86"/>
      <c r="F252" s="80"/>
      <c r="G252" s="80"/>
      <c r="H252" s="72"/>
      <c r="I252" s="71"/>
      <c r="J252" s="71"/>
      <c r="K252" s="71"/>
      <c r="L252" s="71"/>
      <c r="M252" s="71"/>
      <c r="N252" s="71"/>
      <c r="O252" s="69"/>
      <c r="P252" s="69"/>
      <c r="Q252" s="14" t="e">
        <v>#N/A</v>
      </c>
      <c r="R252" s="14" t="e">
        <v>#N/A</v>
      </c>
      <c r="S252" s="14"/>
      <c r="T252" s="73"/>
      <c r="U252" s="14"/>
      <c r="V252" s="14"/>
      <c r="W252" s="70"/>
      <c r="X252" s="69"/>
      <c r="Y252" s="60">
        <f ca="1">Table24[[#This Row],[End Date]]+2-TODAY()</f>
        <v>-46005</v>
      </c>
      <c r="Z252" s="14">
        <f>IF(ISBLANK(Table24[[#This Row],[Roster Received By]]),1,0)</f>
        <v>1</v>
      </c>
      <c r="AA252" s="14">
        <f ca="1">IF(Table24[[#This Row],[Start Date]]&gt;TODAY(),1,)</f>
        <v>0</v>
      </c>
    </row>
    <row r="253" spans="1:27" s="52" customFormat="1" x14ac:dyDescent="0.25">
      <c r="B253" s="86"/>
      <c r="C253" s="70" t="e">
        <v>#N/A</v>
      </c>
      <c r="D253" s="70" t="e">
        <v>#N/A</v>
      </c>
      <c r="E253" s="86"/>
      <c r="F253" s="80"/>
      <c r="G253" s="80"/>
      <c r="H253" s="72"/>
      <c r="I253" s="71"/>
      <c r="J253" s="71"/>
      <c r="K253" s="71"/>
      <c r="L253" s="71"/>
      <c r="M253" s="71"/>
      <c r="N253" s="71"/>
      <c r="O253" s="69"/>
      <c r="P253" s="69"/>
      <c r="Q253" s="14" t="e">
        <v>#N/A</v>
      </c>
      <c r="R253" s="14" t="e">
        <v>#N/A</v>
      </c>
      <c r="S253" s="14"/>
      <c r="T253" s="73"/>
      <c r="U253" s="14"/>
      <c r="V253" s="14"/>
      <c r="W253" s="14"/>
      <c r="X253" s="69"/>
      <c r="Y253" s="60">
        <f ca="1">Table24[[#This Row],[End Date]]+2-TODAY()</f>
        <v>-46005</v>
      </c>
      <c r="Z253" s="14">
        <f>IF(ISBLANK(Table24[[#This Row],[Roster Received By]]),1,0)</f>
        <v>1</v>
      </c>
      <c r="AA253" s="14">
        <f ca="1">IF(Table24[[#This Row],[Start Date]]&gt;TODAY(),1,)</f>
        <v>0</v>
      </c>
    </row>
    <row r="254" spans="1:27" s="52" customFormat="1" x14ac:dyDescent="0.25">
      <c r="A254" s="54"/>
      <c r="B254" s="86"/>
      <c r="C254" s="70" t="e">
        <v>#N/A</v>
      </c>
      <c r="D254" s="70" t="e">
        <v>#N/A</v>
      </c>
      <c r="E254" s="86"/>
      <c r="F254" s="80"/>
      <c r="G254" s="80"/>
      <c r="H254" s="72"/>
      <c r="I254" s="71"/>
      <c r="J254" s="71"/>
      <c r="K254" s="71"/>
      <c r="L254" s="71"/>
      <c r="M254" s="71"/>
      <c r="N254" s="71"/>
      <c r="O254" s="69"/>
      <c r="P254" s="69"/>
      <c r="Q254" s="14" t="e">
        <v>#N/A</v>
      </c>
      <c r="R254" s="14" t="e">
        <v>#N/A</v>
      </c>
      <c r="S254" s="14"/>
      <c r="T254" s="73"/>
      <c r="U254" s="14"/>
      <c r="V254" s="14"/>
      <c r="W254" s="14"/>
      <c r="X254" s="69"/>
      <c r="Y254" s="60">
        <f ca="1">Table24[[#This Row],[End Date]]+2-TODAY()</f>
        <v>-46005</v>
      </c>
      <c r="Z254" s="14">
        <f>IF(ISBLANK(Table24[[#This Row],[Roster Received By]]),1,0)</f>
        <v>1</v>
      </c>
      <c r="AA254" s="14">
        <f ca="1">IF(Table24[[#This Row],[Start Date]]&gt;TODAY(),1,)</f>
        <v>0</v>
      </c>
    </row>
    <row r="255" spans="1:27" s="52" customFormat="1" x14ac:dyDescent="0.25">
      <c r="B255" s="86"/>
      <c r="C255" s="70" t="e">
        <v>#N/A</v>
      </c>
      <c r="D255" s="70" t="e">
        <v>#N/A</v>
      </c>
      <c r="E255" s="86"/>
      <c r="F255" s="80"/>
      <c r="G255" s="80"/>
      <c r="H255" s="78"/>
      <c r="I255" s="78"/>
      <c r="J255" s="72"/>
      <c r="K255" s="72"/>
      <c r="L255" s="72"/>
      <c r="M255" s="72"/>
      <c r="N255" s="72"/>
      <c r="O255" s="69"/>
      <c r="P255" s="69"/>
      <c r="Q255" s="14" t="e">
        <v>#N/A</v>
      </c>
      <c r="R255" s="14" t="e">
        <v>#N/A</v>
      </c>
      <c r="S255" s="14"/>
      <c r="T255" s="73"/>
      <c r="U255" s="14"/>
      <c r="V255" s="14"/>
      <c r="W255" s="14"/>
      <c r="X255" s="69"/>
      <c r="Y255" s="60">
        <f ca="1">Table24[[#This Row],[End Date]]+2-TODAY()</f>
        <v>-46005</v>
      </c>
      <c r="Z255" s="14">
        <f>IF(ISBLANK(Table24[[#This Row],[Roster Received By]]),1,0)</f>
        <v>1</v>
      </c>
      <c r="AA255" s="14">
        <f ca="1">IF(Table24[[#This Row],[Start Date]]&gt;TODAY(),1,)</f>
        <v>0</v>
      </c>
    </row>
    <row r="256" spans="1:27" s="52" customFormat="1" x14ac:dyDescent="0.25">
      <c r="B256" s="86"/>
      <c r="C256" s="70" t="e">
        <v>#N/A</v>
      </c>
      <c r="D256" s="70" t="e">
        <v>#N/A</v>
      </c>
      <c r="E256" s="86"/>
      <c r="F256" s="80"/>
      <c r="G256" s="80"/>
      <c r="H256" s="71"/>
      <c r="I256" s="75"/>
      <c r="J256" s="72"/>
      <c r="K256" s="72"/>
      <c r="L256" s="72"/>
      <c r="M256" s="72"/>
      <c r="N256" s="72"/>
      <c r="O256" s="69"/>
      <c r="P256" s="69"/>
      <c r="Q256" s="14" t="e">
        <v>#N/A</v>
      </c>
      <c r="R256" s="14" t="e">
        <v>#N/A</v>
      </c>
      <c r="S256" s="73"/>
      <c r="T256" s="73"/>
      <c r="U256" s="14"/>
      <c r="V256" s="14"/>
      <c r="W256" s="14"/>
      <c r="X256" s="69"/>
      <c r="Y256" s="60">
        <f ca="1">Table24[[#This Row],[End Date]]+2-TODAY()</f>
        <v>-46005</v>
      </c>
      <c r="Z256" s="14">
        <f>IF(ISBLANK(Table24[[#This Row],[Roster Received By]]),1,0)</f>
        <v>1</v>
      </c>
      <c r="AA256" s="14">
        <f ca="1">IF(Table24[[#This Row],[Start Date]]&gt;TODAY(),1,)</f>
        <v>0</v>
      </c>
    </row>
    <row r="257" spans="1:27" s="52" customFormat="1" x14ac:dyDescent="0.25">
      <c r="B257" s="86"/>
      <c r="C257" s="70" t="e">
        <v>#N/A</v>
      </c>
      <c r="D257" s="70" t="e">
        <v>#N/A</v>
      </c>
      <c r="E257" s="86"/>
      <c r="F257" s="80"/>
      <c r="G257" s="80"/>
      <c r="H257" s="75"/>
      <c r="I257" s="75"/>
      <c r="J257" s="75"/>
      <c r="K257" s="75"/>
      <c r="L257" s="75"/>
      <c r="M257" s="75"/>
      <c r="N257" s="75"/>
      <c r="O257" s="69"/>
      <c r="P257" s="69"/>
      <c r="Q257" s="14" t="e">
        <v>#N/A</v>
      </c>
      <c r="R257" s="14" t="e">
        <v>#N/A</v>
      </c>
      <c r="S257" s="73"/>
      <c r="T257" s="73"/>
      <c r="U257" s="14"/>
      <c r="V257" s="14"/>
      <c r="W257" s="14"/>
      <c r="X257" s="69"/>
      <c r="Y257" s="60">
        <f ca="1">Table24[[#This Row],[End Date]]+2-TODAY()</f>
        <v>-46005</v>
      </c>
      <c r="Z257" s="14">
        <f>IF(ISBLANK(Table24[[#This Row],[Roster Received By]]),1,0)</f>
        <v>1</v>
      </c>
      <c r="AA257" s="14">
        <f ca="1">IF(Table24[[#This Row],[Start Date]]&gt;TODAY(),1,)</f>
        <v>0</v>
      </c>
    </row>
    <row r="258" spans="1:27" s="52" customFormat="1" x14ac:dyDescent="0.25">
      <c r="B258" s="86"/>
      <c r="C258" s="70" t="e">
        <v>#N/A</v>
      </c>
      <c r="D258" s="70" t="e">
        <v>#N/A</v>
      </c>
      <c r="E258" s="100"/>
      <c r="F258" s="68"/>
      <c r="G258" s="68"/>
      <c r="H258" s="71"/>
      <c r="I258" s="71"/>
      <c r="J258" s="72"/>
      <c r="K258" s="72"/>
      <c r="L258" s="72"/>
      <c r="M258" s="72"/>
      <c r="N258" s="72"/>
      <c r="O258" s="69"/>
      <c r="P258" s="69"/>
      <c r="Q258" s="14" t="e">
        <v>#N/A</v>
      </c>
      <c r="R258" s="14" t="e">
        <v>#N/A</v>
      </c>
      <c r="S258" s="14"/>
      <c r="T258" s="73"/>
      <c r="U258" s="14"/>
      <c r="V258" s="14"/>
      <c r="W258" s="73"/>
      <c r="X258" s="69"/>
      <c r="Y258" s="60">
        <f ca="1">Table24[[#This Row],[End Date]]+2-TODAY()</f>
        <v>-46005</v>
      </c>
      <c r="Z258" s="14">
        <f>IF(ISBLANK(Table24[[#This Row],[Roster Received By]]),1,0)</f>
        <v>1</v>
      </c>
      <c r="AA258" s="14">
        <f ca="1">IF(Table24[[#This Row],[Start Date]]&gt;TODAY(),1,)</f>
        <v>0</v>
      </c>
    </row>
    <row r="259" spans="1:27" s="52" customFormat="1" x14ac:dyDescent="0.25">
      <c r="B259" s="86"/>
      <c r="C259" s="70" t="e">
        <v>#N/A</v>
      </c>
      <c r="D259" s="70" t="e">
        <v>#N/A</v>
      </c>
      <c r="E259" s="69"/>
      <c r="F259" s="72"/>
      <c r="G259" s="72"/>
      <c r="H259" s="75"/>
      <c r="I259" s="75"/>
      <c r="J259" s="75"/>
      <c r="K259" s="75"/>
      <c r="L259" s="75"/>
      <c r="M259" s="75"/>
      <c r="N259" s="75"/>
      <c r="O259" s="69"/>
      <c r="P259" s="69"/>
      <c r="Q259" s="14" t="e">
        <v>#N/A</v>
      </c>
      <c r="R259" s="14" t="e">
        <v>#N/A</v>
      </c>
      <c r="S259" s="14"/>
      <c r="T259" s="73"/>
      <c r="U259" s="14"/>
      <c r="V259" s="14"/>
      <c r="W259" s="14"/>
      <c r="X259" s="69"/>
      <c r="Y259" s="60">
        <f ca="1">Table24[[#This Row],[End Date]]+2-TODAY()</f>
        <v>-46005</v>
      </c>
      <c r="Z259" s="14">
        <f>IF(ISBLANK(Table24[[#This Row],[Roster Received By]]),1,0)</f>
        <v>1</v>
      </c>
      <c r="AA259" s="14">
        <f ca="1">IF(Table24[[#This Row],[Start Date]]&gt;TODAY(),1,)</f>
        <v>0</v>
      </c>
    </row>
    <row r="260" spans="1:27" s="52" customFormat="1" x14ac:dyDescent="0.25">
      <c r="B260" s="87"/>
      <c r="C260" s="70" t="e">
        <v>#N/A</v>
      </c>
      <c r="D260" s="70" t="e">
        <v>#N/A</v>
      </c>
      <c r="E260" s="69"/>
      <c r="F260" s="72"/>
      <c r="G260" s="72"/>
      <c r="H260" s="72"/>
      <c r="I260" s="71"/>
      <c r="J260" s="71"/>
      <c r="K260" s="71"/>
      <c r="L260" s="71"/>
      <c r="M260" s="71"/>
      <c r="N260" s="71"/>
      <c r="O260" s="69"/>
      <c r="P260" s="69"/>
      <c r="Q260" s="14" t="e">
        <v>#N/A</v>
      </c>
      <c r="R260" s="14" t="e">
        <v>#N/A</v>
      </c>
      <c r="S260" s="14"/>
      <c r="T260" s="73"/>
      <c r="U260" s="14"/>
      <c r="V260" s="14"/>
      <c r="W260" s="14"/>
      <c r="X260" s="69"/>
      <c r="Y260" s="60">
        <f ca="1">Table24[[#This Row],[End Date]]+2-TODAY()</f>
        <v>-46005</v>
      </c>
      <c r="Z260" s="14">
        <f>IF(ISBLANK(Table24[[#This Row],[Roster Received By]]),1,0)</f>
        <v>1</v>
      </c>
      <c r="AA260" s="14">
        <f ca="1">IF(Table24[[#This Row],[Start Date]]&gt;TODAY(),1,)</f>
        <v>0</v>
      </c>
    </row>
    <row r="261" spans="1:27" s="52" customFormat="1" x14ac:dyDescent="0.25">
      <c r="B261" s="87"/>
      <c r="C261" s="70" t="e">
        <v>#N/A</v>
      </c>
      <c r="D261" s="70" t="e">
        <v>#N/A</v>
      </c>
      <c r="E261" s="69"/>
      <c r="F261" s="72"/>
      <c r="G261" s="72"/>
      <c r="H261" s="72"/>
      <c r="I261" s="71"/>
      <c r="J261" s="71"/>
      <c r="K261" s="71"/>
      <c r="L261" s="71"/>
      <c r="M261" s="71"/>
      <c r="N261" s="71"/>
      <c r="O261" s="69"/>
      <c r="P261" s="69"/>
      <c r="Q261" s="14" t="e">
        <v>#N/A</v>
      </c>
      <c r="R261" s="14" t="e">
        <v>#N/A</v>
      </c>
      <c r="S261" s="14"/>
      <c r="T261" s="73"/>
      <c r="U261" s="14"/>
      <c r="V261" s="14"/>
      <c r="W261" s="14"/>
      <c r="X261" s="69"/>
      <c r="Y261" s="60">
        <f ca="1">Table24[[#This Row],[End Date]]+2-TODAY()</f>
        <v>-46005</v>
      </c>
      <c r="Z261" s="14">
        <f>IF(ISBLANK(Table24[[#This Row],[Roster Received By]]),1,0)</f>
        <v>1</v>
      </c>
      <c r="AA261" s="14">
        <f ca="1">IF(Table24[[#This Row],[Start Date]]&gt;TODAY(),1,)</f>
        <v>0</v>
      </c>
    </row>
    <row r="262" spans="1:27" s="52" customFormat="1" x14ac:dyDescent="0.25">
      <c r="B262" s="86"/>
      <c r="C262" s="70" t="e">
        <v>#N/A</v>
      </c>
      <c r="D262" s="70" t="e">
        <v>#N/A</v>
      </c>
      <c r="E262" s="69"/>
      <c r="F262" s="72"/>
      <c r="G262" s="72"/>
      <c r="H262" s="72"/>
      <c r="I262" s="71"/>
      <c r="J262" s="71"/>
      <c r="K262" s="71"/>
      <c r="L262" s="71"/>
      <c r="M262" s="71"/>
      <c r="N262" s="71"/>
      <c r="O262" s="69"/>
      <c r="P262" s="69"/>
      <c r="Q262" s="14" t="e">
        <v>#N/A</v>
      </c>
      <c r="R262" s="14" t="e">
        <v>#N/A</v>
      </c>
      <c r="S262" s="14"/>
      <c r="T262" s="73"/>
      <c r="U262" s="14"/>
      <c r="V262" s="14"/>
      <c r="W262" s="14"/>
      <c r="X262" s="69"/>
      <c r="Y262" s="60">
        <f ca="1">Table24[[#This Row],[End Date]]+2-TODAY()</f>
        <v>-46005</v>
      </c>
      <c r="Z262" s="14">
        <f>IF(ISBLANK(Table24[[#This Row],[Roster Received By]]),1,0)</f>
        <v>1</v>
      </c>
      <c r="AA262" s="14">
        <f ca="1">IF(Table24[[#This Row],[Start Date]]&gt;TODAY(),1,)</f>
        <v>0</v>
      </c>
    </row>
    <row r="263" spans="1:27" s="52" customFormat="1" x14ac:dyDescent="0.25">
      <c r="B263" s="86"/>
      <c r="C263" s="70" t="e">
        <v>#N/A</v>
      </c>
      <c r="D263" s="70" t="e">
        <v>#N/A</v>
      </c>
      <c r="E263" s="69"/>
      <c r="F263" s="72"/>
      <c r="G263" s="72"/>
      <c r="H263" s="72"/>
      <c r="I263" s="71"/>
      <c r="J263" s="71"/>
      <c r="K263" s="71"/>
      <c r="L263" s="71"/>
      <c r="M263" s="71"/>
      <c r="N263" s="71"/>
      <c r="O263" s="69"/>
      <c r="P263" s="69"/>
      <c r="Q263" s="14" t="e">
        <v>#N/A</v>
      </c>
      <c r="R263" s="14" t="e">
        <v>#N/A</v>
      </c>
      <c r="S263" s="14"/>
      <c r="T263" s="73"/>
      <c r="U263" s="14"/>
      <c r="V263" s="14"/>
      <c r="W263" s="14"/>
      <c r="X263" s="69"/>
      <c r="Y263" s="60">
        <f ca="1">Table24[[#This Row],[End Date]]+2-TODAY()</f>
        <v>-46005</v>
      </c>
      <c r="Z263" s="14">
        <f>IF(ISBLANK(Table24[[#This Row],[Roster Received By]]),1,0)</f>
        <v>1</v>
      </c>
      <c r="AA263" s="14">
        <f ca="1">IF(Table24[[#This Row],[Start Date]]&gt;TODAY(),1,)</f>
        <v>0</v>
      </c>
    </row>
    <row r="264" spans="1:27" s="52" customFormat="1" x14ac:dyDescent="0.25">
      <c r="B264" s="86"/>
      <c r="C264" s="70" t="e">
        <v>#N/A</v>
      </c>
      <c r="D264" s="70" t="e">
        <v>#N/A</v>
      </c>
      <c r="E264" s="69"/>
      <c r="F264" s="72"/>
      <c r="G264" s="72"/>
      <c r="H264" s="72"/>
      <c r="I264" s="71"/>
      <c r="J264" s="71"/>
      <c r="K264" s="71"/>
      <c r="L264" s="71"/>
      <c r="M264" s="71"/>
      <c r="N264" s="71"/>
      <c r="O264" s="69"/>
      <c r="P264" s="69"/>
      <c r="Q264" s="14" t="e">
        <v>#N/A</v>
      </c>
      <c r="R264" s="14" t="e">
        <v>#N/A</v>
      </c>
      <c r="S264" s="14"/>
      <c r="T264" s="73"/>
      <c r="U264" s="14"/>
      <c r="V264" s="14"/>
      <c r="W264" s="14"/>
      <c r="X264" s="69"/>
      <c r="Y264" s="60">
        <f ca="1">Table24[[#This Row],[End Date]]+2-TODAY()</f>
        <v>-46005</v>
      </c>
      <c r="Z264" s="14">
        <f>IF(ISBLANK(Table24[[#This Row],[Roster Received By]]),1,0)</f>
        <v>1</v>
      </c>
      <c r="AA264" s="14">
        <f ca="1">IF(Table24[[#This Row],[Start Date]]&gt;TODAY(),1,)</f>
        <v>0</v>
      </c>
    </row>
    <row r="265" spans="1:27" s="52" customFormat="1" x14ac:dyDescent="0.25">
      <c r="B265" s="86"/>
      <c r="C265" s="70" t="e">
        <v>#N/A</v>
      </c>
      <c r="D265" s="70" t="e">
        <v>#N/A</v>
      </c>
      <c r="E265" s="54"/>
      <c r="F265" s="72"/>
      <c r="G265" s="72"/>
      <c r="H265" s="75"/>
      <c r="I265" s="75"/>
      <c r="J265" s="72"/>
      <c r="K265" s="72"/>
      <c r="L265" s="72"/>
      <c r="M265" s="72"/>
      <c r="N265" s="72"/>
      <c r="O265" s="69"/>
      <c r="P265" s="69"/>
      <c r="Q265" s="14" t="e">
        <v>#N/A</v>
      </c>
      <c r="R265" s="14" t="e">
        <v>#N/A</v>
      </c>
      <c r="S265" s="14"/>
      <c r="T265" s="73"/>
      <c r="U265" s="14"/>
      <c r="V265" s="14"/>
      <c r="W265" s="14"/>
      <c r="X265" s="69"/>
      <c r="Y265" s="60">
        <f ca="1">Table24[[#This Row],[End Date]]+2-TODAY()</f>
        <v>-46005</v>
      </c>
      <c r="Z265" s="14">
        <f>IF(ISBLANK(Table24[[#This Row],[Roster Received By]]),1,0)</f>
        <v>1</v>
      </c>
      <c r="AA265" s="14">
        <f ca="1">IF(Table24[[#This Row],[Start Date]]&gt;TODAY(),1,)</f>
        <v>0</v>
      </c>
    </row>
    <row r="266" spans="1:27" s="52" customFormat="1" x14ac:dyDescent="0.25">
      <c r="B266" s="86"/>
      <c r="C266" s="70" t="e">
        <v>#N/A</v>
      </c>
      <c r="D266" s="70" t="e">
        <v>#N/A</v>
      </c>
      <c r="E266" s="69"/>
      <c r="F266" s="72"/>
      <c r="G266" s="72"/>
      <c r="H266" s="72"/>
      <c r="I266" s="71"/>
      <c r="J266" s="71"/>
      <c r="K266" s="71"/>
      <c r="L266" s="71"/>
      <c r="M266" s="71"/>
      <c r="N266" s="71"/>
      <c r="O266" s="69"/>
      <c r="P266" s="69"/>
      <c r="Q266" s="14" t="e">
        <v>#N/A</v>
      </c>
      <c r="R266" s="14" t="e">
        <v>#N/A</v>
      </c>
      <c r="S266" s="14"/>
      <c r="T266" s="73"/>
      <c r="U266" s="14"/>
      <c r="V266" s="14"/>
      <c r="W266" s="14"/>
      <c r="X266" s="69"/>
      <c r="Y266" s="60">
        <f ca="1">Table24[[#This Row],[End Date]]+2-TODAY()</f>
        <v>-46005</v>
      </c>
      <c r="Z266" s="14">
        <f>IF(ISBLANK(Table24[[#This Row],[Roster Received By]]),1,0)</f>
        <v>1</v>
      </c>
      <c r="AA266" s="14">
        <f ca="1">IF(Table24[[#This Row],[Start Date]]&gt;TODAY(),1,)</f>
        <v>0</v>
      </c>
    </row>
    <row r="267" spans="1:27" s="76" customFormat="1" ht="15.75" customHeight="1" x14ac:dyDescent="0.25">
      <c r="A267" s="52"/>
      <c r="B267" s="86"/>
      <c r="C267" s="70" t="e">
        <v>#N/A</v>
      </c>
      <c r="D267" s="70" t="e">
        <v>#N/A</v>
      </c>
      <c r="E267" s="69"/>
      <c r="F267" s="72"/>
      <c r="G267" s="72"/>
      <c r="H267" s="72"/>
      <c r="I267" s="71"/>
      <c r="J267" s="71"/>
      <c r="K267" s="71"/>
      <c r="L267" s="71"/>
      <c r="M267" s="71"/>
      <c r="N267" s="71"/>
      <c r="O267" s="69"/>
      <c r="P267" s="69"/>
      <c r="Q267" s="14" t="e">
        <v>#N/A</v>
      </c>
      <c r="R267" s="14" t="e">
        <v>#N/A</v>
      </c>
      <c r="S267" s="14"/>
      <c r="T267" s="73"/>
      <c r="U267" s="14"/>
      <c r="V267" s="14"/>
      <c r="W267" s="70"/>
      <c r="X267" s="69"/>
      <c r="Y267" s="60">
        <f ca="1">Table24[[#This Row],[End Date]]+2-TODAY()</f>
        <v>-46005</v>
      </c>
      <c r="Z267" s="14">
        <f>IF(ISBLANK(Table24[[#This Row],[Roster Received By]]),1,0)</f>
        <v>1</v>
      </c>
      <c r="AA267" s="14">
        <f ca="1">IF(Table24[[#This Row],[Start Date]]&gt;TODAY(),1,)</f>
        <v>0</v>
      </c>
    </row>
    <row r="268" spans="1:27" s="76" customFormat="1" ht="14.65" customHeight="1" x14ac:dyDescent="0.25">
      <c r="A268" s="52"/>
      <c r="B268" s="86"/>
      <c r="C268" s="70" t="e">
        <v>#N/A</v>
      </c>
      <c r="D268" s="70" t="e">
        <v>#N/A</v>
      </c>
      <c r="E268" s="54"/>
      <c r="F268" s="72"/>
      <c r="G268" s="72"/>
      <c r="H268" s="78"/>
      <c r="I268" s="78"/>
      <c r="J268" s="72"/>
      <c r="K268" s="72"/>
      <c r="L268" s="72"/>
      <c r="M268" s="72"/>
      <c r="N268" s="72"/>
      <c r="O268" s="69"/>
      <c r="P268" s="69"/>
      <c r="Q268" s="14" t="e">
        <v>#N/A</v>
      </c>
      <c r="R268" s="14" t="e">
        <v>#N/A</v>
      </c>
      <c r="S268" s="14"/>
      <c r="T268" s="73"/>
      <c r="U268" s="14"/>
      <c r="V268" s="14"/>
      <c r="W268" s="14"/>
      <c r="X268" s="69"/>
      <c r="Y268" s="60">
        <f ca="1">Table24[[#This Row],[End Date]]+2-TODAY()</f>
        <v>-46005</v>
      </c>
      <c r="Z268" s="14">
        <f>IF(ISBLANK(Table24[[#This Row],[Roster Received By]]),1,0)</f>
        <v>1</v>
      </c>
      <c r="AA268" s="14">
        <f ca="1">IF(Table24[[#This Row],[Start Date]]&gt;TODAY(),1,)</f>
        <v>0</v>
      </c>
    </row>
    <row r="269" spans="1:27" s="76" customFormat="1" ht="15.75" customHeight="1" x14ac:dyDescent="0.25">
      <c r="A269" s="52"/>
      <c r="B269" s="86"/>
      <c r="C269" s="70" t="e">
        <v>#N/A</v>
      </c>
      <c r="D269" s="70" t="e">
        <v>#N/A</v>
      </c>
      <c r="E269" s="81"/>
      <c r="F269" s="56"/>
      <c r="G269" s="56"/>
      <c r="H269" s="78"/>
      <c r="I269" s="78"/>
      <c r="J269" s="72"/>
      <c r="K269" s="72"/>
      <c r="L269" s="72"/>
      <c r="M269" s="72"/>
      <c r="N269" s="72"/>
      <c r="O269" s="69"/>
      <c r="P269" s="69"/>
      <c r="Q269" s="14" t="e">
        <v>#N/A</v>
      </c>
      <c r="R269" s="14" t="e">
        <v>#N/A</v>
      </c>
      <c r="S269" s="14"/>
      <c r="T269" s="73"/>
      <c r="U269" s="14"/>
      <c r="V269" s="14"/>
      <c r="W269" s="14"/>
      <c r="X269" s="69"/>
      <c r="Y269" s="60">
        <f ca="1">Table24[[#This Row],[End Date]]+2-TODAY()</f>
        <v>-46005</v>
      </c>
      <c r="Z269" s="14">
        <f>IF(ISBLANK(Table24[[#This Row],[Roster Received By]]),1,0)</f>
        <v>1</v>
      </c>
      <c r="AA269" s="14">
        <f ca="1">IF(Table24[[#This Row],[Start Date]]&gt;TODAY(),1,)</f>
        <v>0</v>
      </c>
    </row>
    <row r="270" spans="1:27" s="76" customFormat="1" ht="15.75" customHeight="1" x14ac:dyDescent="0.25">
      <c r="A270" s="52"/>
      <c r="B270" s="86"/>
      <c r="C270" s="70" t="e">
        <v>#N/A</v>
      </c>
      <c r="D270" s="70" t="e">
        <v>#N/A</v>
      </c>
      <c r="E270" s="69"/>
      <c r="F270" s="72"/>
      <c r="G270" s="72"/>
      <c r="H270" s="75"/>
      <c r="I270" s="75"/>
      <c r="J270" s="75"/>
      <c r="K270" s="75"/>
      <c r="L270" s="75"/>
      <c r="M270" s="75"/>
      <c r="N270" s="72"/>
      <c r="O270" s="69"/>
      <c r="P270" s="69"/>
      <c r="Q270" s="14" t="e">
        <v>#N/A</v>
      </c>
      <c r="R270" s="14" t="e">
        <v>#N/A</v>
      </c>
      <c r="S270" s="14"/>
      <c r="T270" s="73"/>
      <c r="U270" s="14"/>
      <c r="V270" s="14"/>
      <c r="W270" s="14"/>
      <c r="X270" s="69"/>
      <c r="Y270" s="60">
        <f ca="1">Table24[[#This Row],[End Date]]+2-TODAY()</f>
        <v>-46005</v>
      </c>
      <c r="Z270" s="14">
        <f>IF(ISBLANK(Table24[[#This Row],[Roster Received By]]),1,0)</f>
        <v>1</v>
      </c>
      <c r="AA270" s="14">
        <f ca="1">IF(Table24[[#This Row],[Start Date]]&gt;TODAY(),1,)</f>
        <v>0</v>
      </c>
    </row>
    <row r="271" spans="1:27" s="76" customFormat="1" ht="15.75" customHeight="1" x14ac:dyDescent="0.25">
      <c r="A271" s="54"/>
      <c r="B271" s="86"/>
      <c r="C271" s="70" t="e">
        <v>#N/A</v>
      </c>
      <c r="D271" s="70" t="e">
        <v>#N/A</v>
      </c>
      <c r="E271" s="69"/>
      <c r="F271" s="72"/>
      <c r="G271" s="72"/>
      <c r="H271" s="78"/>
      <c r="I271" s="78"/>
      <c r="J271" s="72"/>
      <c r="K271" s="72"/>
      <c r="L271" s="72"/>
      <c r="M271" s="72"/>
      <c r="N271" s="72"/>
      <c r="O271" s="69"/>
      <c r="P271" s="69"/>
      <c r="Q271" s="14" t="e">
        <v>#N/A</v>
      </c>
      <c r="R271" s="14" t="e">
        <v>#N/A</v>
      </c>
      <c r="S271" s="14"/>
      <c r="T271" s="73"/>
      <c r="U271" s="14"/>
      <c r="V271" s="14"/>
      <c r="W271" s="14"/>
      <c r="X271" s="69"/>
      <c r="Y271" s="60">
        <f ca="1">Table24[[#This Row],[End Date]]+2-TODAY()</f>
        <v>-46005</v>
      </c>
      <c r="Z271" s="14">
        <f>IF(ISBLANK(Table24[[#This Row],[Roster Received By]]),1,0)</f>
        <v>1</v>
      </c>
      <c r="AA271" s="14">
        <f ca="1">IF(Table24[[#This Row],[Start Date]]&gt;TODAY(),1,)</f>
        <v>0</v>
      </c>
    </row>
    <row r="272" spans="1:27" s="76" customFormat="1" ht="15.75" customHeight="1" x14ac:dyDescent="0.25">
      <c r="A272" s="52"/>
      <c r="B272" s="86"/>
      <c r="C272" s="70" t="e">
        <v>#N/A</v>
      </c>
      <c r="D272" s="70" t="e">
        <v>#N/A</v>
      </c>
      <c r="E272" s="54"/>
      <c r="F272" s="72"/>
      <c r="G272" s="72"/>
      <c r="H272" s="75"/>
      <c r="I272" s="75"/>
      <c r="J272" s="72"/>
      <c r="K272" s="72"/>
      <c r="L272" s="72"/>
      <c r="M272" s="72"/>
      <c r="N272" s="72"/>
      <c r="O272" s="69"/>
      <c r="P272" s="69"/>
      <c r="Q272" s="14" t="e">
        <v>#N/A</v>
      </c>
      <c r="R272" s="14" t="e">
        <v>#N/A</v>
      </c>
      <c r="S272" s="14"/>
      <c r="T272" s="73"/>
      <c r="U272" s="14"/>
      <c r="V272" s="14"/>
      <c r="W272" s="14"/>
      <c r="X272" s="69"/>
      <c r="Y272" s="60">
        <f ca="1">Table24[[#This Row],[End Date]]+2-TODAY()</f>
        <v>-46005</v>
      </c>
      <c r="Z272" s="14">
        <f>IF(ISBLANK(Table24[[#This Row],[Roster Received By]]),1,0)</f>
        <v>1</v>
      </c>
      <c r="AA272" s="14">
        <f ca="1">IF(Table24[[#This Row],[Start Date]]&gt;TODAY(),1,)</f>
        <v>0</v>
      </c>
    </row>
    <row r="273" spans="1:27" s="76" customFormat="1" ht="15.75" customHeight="1" x14ac:dyDescent="0.25">
      <c r="A273" s="69"/>
      <c r="B273" s="86"/>
      <c r="C273" s="70" t="e">
        <v>#N/A</v>
      </c>
      <c r="D273" s="70" t="e">
        <v>#N/A</v>
      </c>
      <c r="E273" s="69"/>
      <c r="F273" s="72"/>
      <c r="G273" s="72"/>
      <c r="H273" s="75"/>
      <c r="I273" s="75"/>
      <c r="J273" s="72"/>
      <c r="K273" s="72"/>
      <c r="L273" s="72"/>
      <c r="M273" s="72"/>
      <c r="N273" s="72"/>
      <c r="O273" s="69"/>
      <c r="P273" s="69"/>
      <c r="Q273" s="14" t="e">
        <v>#N/A</v>
      </c>
      <c r="R273" s="14" t="e">
        <v>#N/A</v>
      </c>
      <c r="S273" s="14"/>
      <c r="T273" s="73"/>
      <c r="U273" s="14"/>
      <c r="V273" s="14"/>
      <c r="W273" s="14"/>
      <c r="X273" s="69"/>
      <c r="Y273" s="60">
        <f ca="1">Table24[[#This Row],[End Date]]+2-TODAY()</f>
        <v>-46005</v>
      </c>
      <c r="Z273" s="14">
        <f>IF(ISBLANK(Table24[[#This Row],[Roster Received By]]),1,0)</f>
        <v>1</v>
      </c>
      <c r="AA273" s="14">
        <f ca="1">IF(Table24[[#This Row],[Start Date]]&gt;TODAY(),1,)</f>
        <v>0</v>
      </c>
    </row>
    <row r="274" spans="1:27" s="76" customFormat="1" ht="15.75" customHeight="1" x14ac:dyDescent="0.25">
      <c r="A274" s="52"/>
      <c r="B274" s="86"/>
      <c r="C274" s="70" t="e">
        <v>#N/A</v>
      </c>
      <c r="D274" s="70" t="e">
        <v>#N/A</v>
      </c>
      <c r="E274" s="54"/>
      <c r="F274" s="72"/>
      <c r="G274" s="72"/>
      <c r="H274" s="75"/>
      <c r="I274" s="71"/>
      <c r="J274" s="71"/>
      <c r="K274" s="71"/>
      <c r="L274" s="71"/>
      <c r="M274" s="71"/>
      <c r="N274" s="71"/>
      <c r="O274" s="69"/>
      <c r="P274" s="69"/>
      <c r="Q274" s="14" t="e">
        <v>#N/A</v>
      </c>
      <c r="R274" s="14" t="e">
        <v>#N/A</v>
      </c>
      <c r="S274" s="14"/>
      <c r="T274" s="73"/>
      <c r="U274" s="14"/>
      <c r="V274" s="14"/>
      <c r="W274" s="14"/>
      <c r="X274" s="69"/>
      <c r="Y274" s="60">
        <f ca="1">Table24[[#This Row],[End Date]]+2-TODAY()</f>
        <v>-46005</v>
      </c>
      <c r="Z274" s="14">
        <f>IF(ISBLANK(Table24[[#This Row],[Roster Received By]]),1,0)</f>
        <v>1</v>
      </c>
      <c r="AA274" s="14">
        <f ca="1">IF(Table24[[#This Row],[Start Date]]&gt;TODAY(),1,)</f>
        <v>0</v>
      </c>
    </row>
    <row r="275" spans="1:27" s="76" customFormat="1" ht="15.75" customHeight="1" x14ac:dyDescent="0.25">
      <c r="A275" s="69"/>
      <c r="B275" s="86"/>
      <c r="C275" s="70" t="e">
        <v>#N/A</v>
      </c>
      <c r="D275" s="70" t="e">
        <v>#N/A</v>
      </c>
      <c r="E275" s="69"/>
      <c r="F275" s="72"/>
      <c r="G275" s="72"/>
      <c r="H275" s="75"/>
      <c r="I275" s="75"/>
      <c r="J275" s="72"/>
      <c r="K275" s="72"/>
      <c r="L275" s="72"/>
      <c r="M275" s="72"/>
      <c r="N275" s="72"/>
      <c r="O275" s="69"/>
      <c r="P275" s="69"/>
      <c r="Q275" s="14" t="e">
        <v>#N/A</v>
      </c>
      <c r="R275" s="14" t="e">
        <v>#N/A</v>
      </c>
      <c r="S275" s="14"/>
      <c r="T275" s="73"/>
      <c r="U275" s="14"/>
      <c r="V275" s="14"/>
      <c r="W275" s="70"/>
      <c r="X275" s="69"/>
      <c r="Y275" s="60">
        <f ca="1">Table24[[#This Row],[End Date]]+2-TODAY()</f>
        <v>-46005</v>
      </c>
      <c r="Z275" s="14">
        <f>IF(ISBLANK(Table24[[#This Row],[Roster Received By]]),1,0)</f>
        <v>1</v>
      </c>
      <c r="AA275" s="14">
        <f ca="1">IF(Table24[[#This Row],[Start Date]]&gt;TODAY(),1,)</f>
        <v>0</v>
      </c>
    </row>
    <row r="276" spans="1:27" s="76" customFormat="1" ht="15.75" customHeight="1" x14ac:dyDescent="0.25">
      <c r="A276" s="52"/>
      <c r="B276" s="86"/>
      <c r="C276" s="70" t="e">
        <v>#N/A</v>
      </c>
      <c r="D276" s="70" t="e">
        <v>#N/A</v>
      </c>
      <c r="E276" s="54"/>
      <c r="F276" s="56"/>
      <c r="G276" s="72"/>
      <c r="H276" s="75"/>
      <c r="I276" s="75"/>
      <c r="J276" s="72"/>
      <c r="K276" s="72"/>
      <c r="L276" s="72"/>
      <c r="M276" s="72"/>
      <c r="N276" s="72"/>
      <c r="O276" s="69"/>
      <c r="P276" s="69"/>
      <c r="Q276" s="14" t="e">
        <v>#N/A</v>
      </c>
      <c r="R276" s="14" t="e">
        <v>#N/A</v>
      </c>
      <c r="S276" s="14"/>
      <c r="T276" s="73"/>
      <c r="U276" s="14"/>
      <c r="V276" s="14"/>
      <c r="W276" s="14"/>
      <c r="X276" s="69"/>
      <c r="Y276" s="60">
        <f ca="1">Table24[[#This Row],[End Date]]+2-TODAY()</f>
        <v>-46005</v>
      </c>
      <c r="Z276" s="14">
        <f>IF(ISBLANK(Table24[[#This Row],[Roster Received By]]),1,0)</f>
        <v>1</v>
      </c>
      <c r="AA276" s="14">
        <f ca="1">IF(Table24[[#This Row],[Start Date]]&gt;TODAY(),1,)</f>
        <v>0</v>
      </c>
    </row>
    <row r="277" spans="1:27" s="76" customFormat="1" ht="15.75" customHeight="1" x14ac:dyDescent="0.25">
      <c r="A277" s="69"/>
      <c r="B277" s="86"/>
      <c r="C277" s="70" t="e">
        <v>#N/A</v>
      </c>
      <c r="D277" s="70" t="e">
        <v>#N/A</v>
      </c>
      <c r="E277" s="69"/>
      <c r="F277" s="72"/>
      <c r="G277" s="72"/>
      <c r="H277" s="72"/>
      <c r="I277" s="71"/>
      <c r="J277" s="71"/>
      <c r="K277" s="71"/>
      <c r="L277" s="71"/>
      <c r="M277" s="71"/>
      <c r="N277" s="71"/>
      <c r="O277" s="69"/>
      <c r="P277" s="69"/>
      <c r="Q277" s="14" t="e">
        <v>#N/A</v>
      </c>
      <c r="R277" s="14" t="e">
        <v>#N/A</v>
      </c>
      <c r="S277" s="14"/>
      <c r="T277" s="73"/>
      <c r="U277" s="14"/>
      <c r="V277" s="14"/>
      <c r="W277" s="14"/>
      <c r="X277" s="69"/>
      <c r="Y277" s="60">
        <f ca="1">Table24[[#This Row],[End Date]]+2-TODAY()</f>
        <v>-46005</v>
      </c>
      <c r="Z277" s="14">
        <f>IF(ISBLANK(Table24[[#This Row],[Roster Received By]]),1,0)</f>
        <v>1</v>
      </c>
      <c r="AA277" s="14">
        <f ca="1">IF(Table24[[#This Row],[Start Date]]&gt;TODAY(),1,)</f>
        <v>0</v>
      </c>
    </row>
    <row r="278" spans="1:27" s="76" customFormat="1" ht="15.75" customHeight="1" x14ac:dyDescent="0.25">
      <c r="A278" s="52"/>
      <c r="B278" s="87"/>
      <c r="C278" s="70" t="e">
        <v>#N/A</v>
      </c>
      <c r="D278" s="70" t="e">
        <v>#N/A</v>
      </c>
      <c r="E278" s="69"/>
      <c r="F278" s="72"/>
      <c r="G278" s="72"/>
      <c r="H278" s="72"/>
      <c r="I278" s="71"/>
      <c r="J278" s="71"/>
      <c r="K278" s="71"/>
      <c r="L278" s="71"/>
      <c r="M278" s="71"/>
      <c r="N278" s="71"/>
      <c r="O278" s="69"/>
      <c r="P278" s="69"/>
      <c r="Q278" s="14" t="e">
        <v>#N/A</v>
      </c>
      <c r="R278" s="14" t="e">
        <v>#N/A</v>
      </c>
      <c r="S278" s="14"/>
      <c r="T278" s="73"/>
      <c r="U278" s="14"/>
      <c r="V278" s="14"/>
      <c r="W278" s="14"/>
      <c r="X278" s="69"/>
      <c r="Y278" s="60">
        <f ca="1">Table24[[#This Row],[End Date]]+2-TODAY()</f>
        <v>-46005</v>
      </c>
      <c r="Z278" s="14">
        <f>IF(ISBLANK(Table24[[#This Row],[Roster Received By]]),1,0)</f>
        <v>1</v>
      </c>
      <c r="AA278" s="14">
        <f ca="1">IF(Table24[[#This Row],[Start Date]]&gt;TODAY(),1,)</f>
        <v>0</v>
      </c>
    </row>
    <row r="279" spans="1:27" s="76" customFormat="1" ht="15.75" customHeight="1" x14ac:dyDescent="0.25">
      <c r="A279" s="52"/>
      <c r="B279" s="87"/>
      <c r="C279" s="70" t="e">
        <v>#N/A</v>
      </c>
      <c r="D279" s="70" t="e">
        <v>#N/A</v>
      </c>
      <c r="E279" s="69"/>
      <c r="F279" s="72"/>
      <c r="G279" s="72"/>
      <c r="H279" s="72"/>
      <c r="I279" s="71"/>
      <c r="J279" s="71"/>
      <c r="K279" s="71"/>
      <c r="L279" s="71"/>
      <c r="M279" s="71"/>
      <c r="N279" s="71"/>
      <c r="O279" s="69"/>
      <c r="P279" s="69"/>
      <c r="Q279" s="14" t="e">
        <v>#N/A</v>
      </c>
      <c r="R279" s="14" t="e">
        <v>#N/A</v>
      </c>
      <c r="S279" s="14"/>
      <c r="T279" s="73"/>
      <c r="U279" s="14"/>
      <c r="V279" s="14"/>
      <c r="W279" s="77"/>
      <c r="X279" s="69"/>
      <c r="Y279" s="60">
        <f ca="1">Table24[[#This Row],[End Date]]+2-TODAY()</f>
        <v>-46005</v>
      </c>
      <c r="Z279" s="14">
        <f>IF(ISBLANK(Table24[[#This Row],[Roster Received By]]),1,0)</f>
        <v>1</v>
      </c>
      <c r="AA279" s="14">
        <f ca="1">IF(Table24[[#This Row],[Start Date]]&gt;TODAY(),1,)</f>
        <v>0</v>
      </c>
    </row>
    <row r="280" spans="1:27" s="76" customFormat="1" ht="15.75" customHeight="1" x14ac:dyDescent="0.25">
      <c r="A280" s="52"/>
      <c r="B280" s="87"/>
      <c r="C280" s="70" t="e">
        <v>#N/A</v>
      </c>
      <c r="D280" s="70" t="e">
        <v>#N/A</v>
      </c>
      <c r="E280" s="69"/>
      <c r="F280" s="72"/>
      <c r="G280" s="72"/>
      <c r="H280" s="75"/>
      <c r="I280" s="75"/>
      <c r="J280" s="75"/>
      <c r="K280" s="75"/>
      <c r="L280" s="75"/>
      <c r="M280" s="75"/>
      <c r="N280" s="72"/>
      <c r="O280" s="69"/>
      <c r="P280" s="69"/>
      <c r="Q280" s="14" t="e">
        <v>#N/A</v>
      </c>
      <c r="R280" s="14" t="e">
        <v>#N/A</v>
      </c>
      <c r="S280" s="14"/>
      <c r="T280" s="73"/>
      <c r="U280" s="14"/>
      <c r="V280" s="14"/>
      <c r="W280" s="14"/>
      <c r="X280" s="69"/>
      <c r="Y280" s="60">
        <f ca="1">Table24[[#This Row],[End Date]]+2-TODAY()</f>
        <v>-46005</v>
      </c>
      <c r="Z280" s="14">
        <f>IF(ISBLANK(Table24[[#This Row],[Roster Received By]]),1,0)</f>
        <v>1</v>
      </c>
      <c r="AA280" s="14">
        <f ca="1">IF(Table24[[#This Row],[Start Date]]&gt;TODAY(),1,)</f>
        <v>0</v>
      </c>
    </row>
    <row r="281" spans="1:27" s="52" customFormat="1" x14ac:dyDescent="0.25">
      <c r="B281" s="86"/>
      <c r="C281" s="70" t="e">
        <v>#N/A</v>
      </c>
      <c r="D281" s="70" t="e">
        <v>#N/A</v>
      </c>
      <c r="E281" s="69"/>
      <c r="F281" s="72"/>
      <c r="G281" s="72"/>
      <c r="H281" s="72"/>
      <c r="I281" s="71"/>
      <c r="J281" s="71"/>
      <c r="K281" s="71"/>
      <c r="L281" s="71"/>
      <c r="M281" s="71"/>
      <c r="N281" s="71"/>
      <c r="O281" s="69"/>
      <c r="P281" s="69"/>
      <c r="Q281" s="14" t="e">
        <v>#N/A</v>
      </c>
      <c r="R281" s="14" t="e">
        <v>#N/A</v>
      </c>
      <c r="S281" s="14"/>
      <c r="T281" s="73"/>
      <c r="U281" s="14"/>
      <c r="V281" s="14"/>
      <c r="W281" s="14"/>
      <c r="X281" s="69"/>
      <c r="Y281" s="60">
        <f ca="1">Table24[[#This Row],[End Date]]+2-TODAY()</f>
        <v>-46005</v>
      </c>
      <c r="Z281" s="14">
        <f>IF(ISBLANK(Table24[[#This Row],[Roster Received By]]),1,0)</f>
        <v>1</v>
      </c>
      <c r="AA281" s="14">
        <f ca="1">IF(Table24[[#This Row],[Start Date]]&gt;TODAY(),1,)</f>
        <v>0</v>
      </c>
    </row>
    <row r="282" spans="1:27" s="52" customFormat="1" x14ac:dyDescent="0.25">
      <c r="B282" s="86"/>
      <c r="C282" s="70" t="e">
        <v>#N/A</v>
      </c>
      <c r="D282" s="70" t="e">
        <v>#N/A</v>
      </c>
      <c r="E282" s="69"/>
      <c r="F282" s="72"/>
      <c r="G282" s="72"/>
      <c r="H282" s="72"/>
      <c r="I282" s="71"/>
      <c r="J282" s="71"/>
      <c r="K282" s="71"/>
      <c r="L282" s="71"/>
      <c r="M282" s="71"/>
      <c r="N282" s="71"/>
      <c r="O282" s="69"/>
      <c r="P282" s="69"/>
      <c r="Q282" s="14" t="e">
        <v>#N/A</v>
      </c>
      <c r="R282" s="14" t="e">
        <v>#N/A</v>
      </c>
      <c r="S282" s="14"/>
      <c r="T282" s="73"/>
      <c r="U282" s="14"/>
      <c r="V282" s="14"/>
      <c r="W282" s="14"/>
      <c r="X282" s="69"/>
      <c r="Y282" s="60">
        <f ca="1">Table24[[#This Row],[End Date]]+2-TODAY()</f>
        <v>-46005</v>
      </c>
      <c r="Z282" s="14">
        <f>IF(ISBLANK(Table24[[#This Row],[Roster Received By]]),1,0)</f>
        <v>1</v>
      </c>
      <c r="AA282" s="14">
        <f ca="1">IF(Table24[[#This Row],[Start Date]]&gt;TODAY(),1,)</f>
        <v>0</v>
      </c>
    </row>
    <row r="283" spans="1:27" s="52" customFormat="1" x14ac:dyDescent="0.25">
      <c r="B283" s="87"/>
      <c r="C283" s="70" t="e">
        <v>#N/A</v>
      </c>
      <c r="D283" s="70" t="e">
        <v>#N/A</v>
      </c>
      <c r="E283" s="69"/>
      <c r="F283" s="72"/>
      <c r="G283" s="72"/>
      <c r="H283" s="72"/>
      <c r="I283" s="71"/>
      <c r="J283" s="71"/>
      <c r="K283" s="71"/>
      <c r="L283" s="71"/>
      <c r="M283" s="71"/>
      <c r="N283" s="71"/>
      <c r="O283" s="69"/>
      <c r="P283" s="69"/>
      <c r="Q283" s="14" t="e">
        <v>#N/A</v>
      </c>
      <c r="R283" s="14" t="e">
        <v>#N/A</v>
      </c>
      <c r="S283" s="14"/>
      <c r="T283" s="73"/>
      <c r="U283" s="14"/>
      <c r="V283" s="14"/>
      <c r="W283" s="14"/>
      <c r="X283" s="69"/>
      <c r="Y283" s="60">
        <f ca="1">Table24[[#This Row],[End Date]]+2-TODAY()</f>
        <v>-46005</v>
      </c>
      <c r="Z283" s="14">
        <f>IF(ISBLANK(Table24[[#This Row],[Roster Received By]]),1,0)</f>
        <v>1</v>
      </c>
      <c r="AA283" s="14">
        <f ca="1">IF(Table24[[#This Row],[Start Date]]&gt;TODAY(),1,)</f>
        <v>0</v>
      </c>
    </row>
    <row r="284" spans="1:27" s="52" customFormat="1" x14ac:dyDescent="0.25">
      <c r="B284" s="87"/>
      <c r="C284" s="70" t="e">
        <v>#N/A</v>
      </c>
      <c r="D284" s="70" t="e">
        <v>#N/A</v>
      </c>
      <c r="E284" s="69"/>
      <c r="F284" s="56"/>
      <c r="G284" s="56"/>
      <c r="H284" s="56"/>
      <c r="I284" s="71"/>
      <c r="J284" s="71"/>
      <c r="K284" s="71"/>
      <c r="L284" s="71"/>
      <c r="M284" s="71"/>
      <c r="N284" s="71"/>
      <c r="O284" s="69"/>
      <c r="P284" s="69"/>
      <c r="Q284" s="14" t="e">
        <v>#N/A</v>
      </c>
      <c r="R284" s="14" t="e">
        <v>#N/A</v>
      </c>
      <c r="S284" s="14"/>
      <c r="T284" s="73"/>
      <c r="U284" s="14"/>
      <c r="V284" s="14"/>
      <c r="W284" s="73"/>
      <c r="X284" s="69"/>
      <c r="Y284" s="60">
        <f ca="1">Table24[[#This Row],[End Date]]+2-TODAY()</f>
        <v>-46005</v>
      </c>
      <c r="Z284" s="14">
        <f>IF(ISBLANK(Table24[[#This Row],[Roster Received By]]),1,0)</f>
        <v>1</v>
      </c>
      <c r="AA284" s="14">
        <f ca="1">IF(Table24[[#This Row],[Start Date]]&gt;TODAY(),1,)</f>
        <v>0</v>
      </c>
    </row>
    <row r="285" spans="1:27" s="52" customFormat="1" x14ac:dyDescent="0.25">
      <c r="B285" s="86"/>
      <c r="C285" s="70" t="e">
        <v>#N/A</v>
      </c>
      <c r="D285" s="70" t="e">
        <v>#N/A</v>
      </c>
      <c r="E285" s="69"/>
      <c r="F285" s="72"/>
      <c r="G285" s="72"/>
      <c r="H285" s="75"/>
      <c r="I285" s="75"/>
      <c r="J285" s="75"/>
      <c r="K285" s="75"/>
      <c r="L285" s="75"/>
      <c r="M285" s="75"/>
      <c r="N285" s="75"/>
      <c r="O285" s="69"/>
      <c r="P285" s="69"/>
      <c r="Q285" s="14" t="e">
        <v>#N/A</v>
      </c>
      <c r="R285" s="14" t="e">
        <v>#N/A</v>
      </c>
      <c r="S285" s="14"/>
      <c r="T285" s="73"/>
      <c r="U285" s="14"/>
      <c r="V285" s="14"/>
      <c r="W285" s="14"/>
      <c r="X285" s="69"/>
      <c r="Y285" s="60">
        <f ca="1">Table24[[#This Row],[End Date]]+2-TODAY()</f>
        <v>-46005</v>
      </c>
      <c r="Z285" s="14">
        <f>IF(ISBLANK(Table24[[#This Row],[Roster Received By]]),1,0)</f>
        <v>1</v>
      </c>
      <c r="AA285" s="14">
        <f ca="1">IF(Table24[[#This Row],[Start Date]]&gt;TODAY(),1,)</f>
        <v>0</v>
      </c>
    </row>
    <row r="286" spans="1:27" s="52" customFormat="1" x14ac:dyDescent="0.25">
      <c r="B286" s="86"/>
      <c r="C286" s="70" t="e">
        <v>#N/A</v>
      </c>
      <c r="D286" s="70" t="e">
        <v>#N/A</v>
      </c>
      <c r="E286" s="69"/>
      <c r="F286" s="56"/>
      <c r="G286" s="72"/>
      <c r="H286" s="72"/>
      <c r="I286" s="71"/>
      <c r="J286" s="71"/>
      <c r="K286" s="71"/>
      <c r="L286" s="71"/>
      <c r="M286" s="71"/>
      <c r="N286" s="71"/>
      <c r="O286" s="69"/>
      <c r="P286" s="69"/>
      <c r="Q286" s="14" t="e">
        <v>#N/A</v>
      </c>
      <c r="R286" s="14" t="e">
        <v>#N/A</v>
      </c>
      <c r="S286" s="14"/>
      <c r="T286" s="73"/>
      <c r="U286" s="14"/>
      <c r="V286" s="14"/>
      <c r="W286" s="14"/>
      <c r="X286" s="69"/>
      <c r="Y286" s="60">
        <f ca="1">Table24[[#This Row],[End Date]]+2-TODAY()</f>
        <v>-46005</v>
      </c>
      <c r="Z286" s="14">
        <f>IF(ISBLANK(Table24[[#This Row],[Roster Received By]]),1,0)</f>
        <v>1</v>
      </c>
      <c r="AA286" s="14">
        <f ca="1">IF(Table24[[#This Row],[Start Date]]&gt;TODAY(),1,)</f>
        <v>0</v>
      </c>
    </row>
    <row r="287" spans="1:27" s="52" customFormat="1" x14ac:dyDescent="0.25">
      <c r="B287" s="87"/>
      <c r="C287" s="70" t="e">
        <v>#N/A</v>
      </c>
      <c r="D287" s="70" t="e">
        <v>#N/A</v>
      </c>
      <c r="E287" s="69"/>
      <c r="F287" s="72"/>
      <c r="G287" s="72"/>
      <c r="H287" s="75"/>
      <c r="I287" s="75"/>
      <c r="J287" s="72"/>
      <c r="K287" s="72"/>
      <c r="L287" s="72"/>
      <c r="M287" s="72"/>
      <c r="N287" s="72"/>
      <c r="O287" s="69"/>
      <c r="P287" s="69"/>
      <c r="Q287" s="14" t="e">
        <v>#N/A</v>
      </c>
      <c r="R287" s="14" t="e">
        <v>#N/A</v>
      </c>
      <c r="S287" s="14"/>
      <c r="T287" s="73"/>
      <c r="U287" s="14"/>
      <c r="V287" s="14"/>
      <c r="W287" s="14"/>
      <c r="X287" s="69"/>
      <c r="Y287" s="60">
        <f ca="1">Table24[[#This Row],[End Date]]+2-TODAY()</f>
        <v>-46005</v>
      </c>
      <c r="Z287" s="14">
        <f>IF(ISBLANK(Table24[[#This Row],[Roster Received By]]),1,0)</f>
        <v>1</v>
      </c>
      <c r="AA287" s="14">
        <f ca="1">IF(Table24[[#This Row],[Start Date]]&gt;TODAY(),1,)</f>
        <v>0</v>
      </c>
    </row>
    <row r="288" spans="1:27" s="52" customFormat="1" x14ac:dyDescent="0.25">
      <c r="A288" s="54"/>
      <c r="B288" s="87"/>
      <c r="C288" s="70" t="e">
        <v>#N/A</v>
      </c>
      <c r="D288" s="70" t="e">
        <v>#N/A</v>
      </c>
      <c r="E288" s="54"/>
      <c r="F288" s="72"/>
      <c r="G288" s="72"/>
      <c r="H288" s="75"/>
      <c r="I288" s="75"/>
      <c r="J288" s="72"/>
      <c r="K288" s="72"/>
      <c r="L288" s="72"/>
      <c r="M288" s="72"/>
      <c r="N288" s="72"/>
      <c r="O288" s="69"/>
      <c r="P288" s="69"/>
      <c r="Q288" s="14" t="e">
        <v>#N/A</v>
      </c>
      <c r="R288" s="14" t="e">
        <v>#N/A</v>
      </c>
      <c r="S288" s="14"/>
      <c r="T288" s="73"/>
      <c r="U288" s="14"/>
      <c r="V288" s="14"/>
      <c r="W288" s="14"/>
      <c r="X288" s="69"/>
      <c r="Y288" s="60">
        <f ca="1">Table24[[#This Row],[End Date]]+2-TODAY()</f>
        <v>-46005</v>
      </c>
      <c r="Z288" s="14">
        <f>IF(ISBLANK(Table24[[#This Row],[Roster Received By]]),1,0)</f>
        <v>1</v>
      </c>
      <c r="AA288" s="14">
        <f ca="1">IF(Table24[[#This Row],[Start Date]]&gt;TODAY(),1,)</f>
        <v>0</v>
      </c>
    </row>
    <row r="289" spans="2:27" s="52" customFormat="1" x14ac:dyDescent="0.25">
      <c r="B289" s="86"/>
      <c r="C289" s="70" t="e">
        <v>#N/A</v>
      </c>
      <c r="D289" s="70" t="e">
        <v>#N/A</v>
      </c>
      <c r="E289" s="69"/>
      <c r="F289" s="72"/>
      <c r="G289" s="72"/>
      <c r="H289" s="75"/>
      <c r="I289" s="75"/>
      <c r="J289" s="75"/>
      <c r="K289" s="75"/>
      <c r="L289" s="75"/>
      <c r="M289" s="75"/>
      <c r="N289" s="72"/>
      <c r="O289" s="69"/>
      <c r="P289" s="69"/>
      <c r="Q289" s="14" t="e">
        <v>#N/A</v>
      </c>
      <c r="R289" s="14" t="e">
        <v>#N/A</v>
      </c>
      <c r="S289" s="14"/>
      <c r="T289" s="73"/>
      <c r="U289" s="14"/>
      <c r="V289" s="14"/>
      <c r="W289" s="14"/>
      <c r="X289" s="69"/>
      <c r="Y289" s="60">
        <f ca="1">Table24[[#This Row],[End Date]]+2-TODAY()</f>
        <v>-46005</v>
      </c>
      <c r="Z289" s="14">
        <f>IF(ISBLANK(Table24[[#This Row],[Roster Received By]]),1,0)</f>
        <v>1</v>
      </c>
      <c r="AA289" s="14">
        <f ca="1">IF(Table24[[#This Row],[Start Date]]&gt;TODAY(),1,)</f>
        <v>0</v>
      </c>
    </row>
    <row r="290" spans="2:27" s="52" customFormat="1" x14ac:dyDescent="0.25">
      <c r="B290" s="86"/>
      <c r="C290" s="70" t="e">
        <v>#N/A</v>
      </c>
      <c r="D290" s="70" t="e">
        <v>#N/A</v>
      </c>
      <c r="E290" s="69"/>
      <c r="F290" s="72"/>
      <c r="G290" s="72"/>
      <c r="H290" s="75"/>
      <c r="I290" s="75"/>
      <c r="J290" s="75"/>
      <c r="K290" s="75"/>
      <c r="L290" s="75"/>
      <c r="M290" s="75"/>
      <c r="N290" s="72"/>
      <c r="O290" s="69"/>
      <c r="P290" s="69"/>
      <c r="Q290" s="14" t="e">
        <v>#N/A</v>
      </c>
      <c r="R290" s="14" t="e">
        <v>#N/A</v>
      </c>
      <c r="S290" s="14"/>
      <c r="T290" s="73"/>
      <c r="U290" s="14"/>
      <c r="V290" s="14"/>
      <c r="W290" s="70"/>
      <c r="X290" s="69"/>
      <c r="Y290" s="60">
        <f ca="1">Table24[[#This Row],[End Date]]+2-TODAY()</f>
        <v>-46005</v>
      </c>
      <c r="Z290" s="14">
        <f>IF(ISBLANK(Table24[[#This Row],[Roster Received By]]),1,0)</f>
        <v>1</v>
      </c>
      <c r="AA290" s="14">
        <f ca="1">IF(Table24[[#This Row],[Start Date]]&gt;TODAY(),1,)</f>
        <v>0</v>
      </c>
    </row>
    <row r="291" spans="2:27" s="52" customFormat="1" x14ac:dyDescent="0.25">
      <c r="B291" s="86"/>
      <c r="C291" s="70" t="e">
        <v>#N/A</v>
      </c>
      <c r="D291" s="70" t="e">
        <v>#N/A</v>
      </c>
      <c r="E291" s="69"/>
      <c r="F291" s="72"/>
      <c r="G291" s="72"/>
      <c r="H291" s="72"/>
      <c r="I291" s="71"/>
      <c r="J291" s="71"/>
      <c r="K291" s="71"/>
      <c r="L291" s="71"/>
      <c r="M291" s="71"/>
      <c r="N291" s="71"/>
      <c r="O291" s="69"/>
      <c r="P291" s="69"/>
      <c r="Q291" s="14" t="e">
        <v>#N/A</v>
      </c>
      <c r="R291" s="14" t="e">
        <v>#N/A</v>
      </c>
      <c r="S291" s="14"/>
      <c r="T291" s="73"/>
      <c r="U291" s="14"/>
      <c r="V291" s="14"/>
      <c r="W291" s="14"/>
      <c r="X291" s="69"/>
      <c r="Y291" s="60">
        <f ca="1">Table24[[#This Row],[End Date]]+2-TODAY()</f>
        <v>-46005</v>
      </c>
      <c r="Z291" s="14">
        <f>IF(ISBLANK(Table24[[#This Row],[Roster Received By]]),1,0)</f>
        <v>1</v>
      </c>
      <c r="AA291" s="14">
        <f ca="1">IF(Table24[[#This Row],[Start Date]]&gt;TODAY(),1,)</f>
        <v>0</v>
      </c>
    </row>
    <row r="292" spans="2:27" s="52" customFormat="1" x14ac:dyDescent="0.25">
      <c r="B292" s="86"/>
      <c r="C292" s="70" t="e">
        <v>#N/A</v>
      </c>
      <c r="D292" s="70" t="e">
        <v>#N/A</v>
      </c>
      <c r="E292" s="69"/>
      <c r="F292" s="72"/>
      <c r="G292" s="72"/>
      <c r="H292" s="72"/>
      <c r="I292" s="71"/>
      <c r="J292" s="71"/>
      <c r="K292" s="71"/>
      <c r="L292" s="71"/>
      <c r="M292" s="71"/>
      <c r="N292" s="71"/>
      <c r="O292" s="69"/>
      <c r="P292" s="69"/>
      <c r="Q292" s="14" t="e">
        <v>#N/A</v>
      </c>
      <c r="R292" s="14" t="e">
        <v>#N/A</v>
      </c>
      <c r="S292" s="14"/>
      <c r="T292" s="73"/>
      <c r="U292" s="14"/>
      <c r="V292" s="14"/>
      <c r="W292" s="14"/>
      <c r="X292" s="69"/>
      <c r="Y292" s="60">
        <f ca="1">Table24[[#This Row],[End Date]]+2-TODAY()</f>
        <v>-46005</v>
      </c>
      <c r="Z292" s="14">
        <f>IF(ISBLANK(Table24[[#This Row],[Roster Received By]]),1,0)</f>
        <v>1</v>
      </c>
      <c r="AA292" s="14">
        <f ca="1">IF(Table24[[#This Row],[Start Date]]&gt;TODAY(),1,)</f>
        <v>0</v>
      </c>
    </row>
    <row r="293" spans="2:27" s="52" customFormat="1" x14ac:dyDescent="0.25">
      <c r="B293" s="86"/>
      <c r="C293" s="70" t="e">
        <v>#N/A</v>
      </c>
      <c r="D293" s="70" t="e">
        <v>#N/A</v>
      </c>
      <c r="E293" s="69"/>
      <c r="F293" s="72"/>
      <c r="G293" s="72"/>
      <c r="H293" s="72"/>
      <c r="I293" s="71"/>
      <c r="J293" s="71"/>
      <c r="K293" s="71"/>
      <c r="L293" s="71"/>
      <c r="M293" s="71"/>
      <c r="N293" s="71"/>
      <c r="O293" s="69"/>
      <c r="P293" s="69"/>
      <c r="Q293" s="14" t="e">
        <v>#N/A</v>
      </c>
      <c r="R293" s="14" t="e">
        <v>#N/A</v>
      </c>
      <c r="S293" s="14"/>
      <c r="T293" s="73"/>
      <c r="U293" s="14"/>
      <c r="V293" s="14"/>
      <c r="W293" s="14"/>
      <c r="X293" s="69"/>
      <c r="Y293" s="60">
        <f ca="1">Table24[[#This Row],[End Date]]+2-TODAY()</f>
        <v>-46005</v>
      </c>
      <c r="Z293" s="14">
        <f>IF(ISBLANK(Table24[[#This Row],[Roster Received By]]),1,0)</f>
        <v>1</v>
      </c>
      <c r="AA293" s="14">
        <f ca="1">IF(Table24[[#This Row],[Start Date]]&gt;TODAY(),1,)</f>
        <v>0</v>
      </c>
    </row>
    <row r="294" spans="2:27" s="52" customFormat="1" x14ac:dyDescent="0.25">
      <c r="B294" s="86"/>
      <c r="C294" s="70" t="e">
        <v>#N/A</v>
      </c>
      <c r="D294" s="70" t="e">
        <v>#N/A</v>
      </c>
      <c r="E294" s="69"/>
      <c r="F294" s="72"/>
      <c r="G294" s="72"/>
      <c r="H294" s="72"/>
      <c r="I294" s="71"/>
      <c r="J294" s="71"/>
      <c r="K294" s="71"/>
      <c r="L294" s="71"/>
      <c r="M294" s="71"/>
      <c r="N294" s="71"/>
      <c r="O294" s="69"/>
      <c r="P294" s="69"/>
      <c r="Q294" s="14" t="e">
        <v>#N/A</v>
      </c>
      <c r="R294" s="14" t="e">
        <v>#N/A</v>
      </c>
      <c r="S294" s="14"/>
      <c r="T294" s="73"/>
      <c r="U294" s="14"/>
      <c r="V294" s="14"/>
      <c r="W294" s="14"/>
      <c r="X294" s="69"/>
      <c r="Y294" s="60">
        <f ca="1">Table24[[#This Row],[End Date]]+2-TODAY()</f>
        <v>-46005</v>
      </c>
      <c r="Z294" s="14">
        <f>IF(ISBLANK(Table24[[#This Row],[Roster Received By]]),1,0)</f>
        <v>1</v>
      </c>
      <c r="AA294" s="14">
        <f ca="1">IF(Table24[[#This Row],[Start Date]]&gt;TODAY(),1,)</f>
        <v>0</v>
      </c>
    </row>
    <row r="295" spans="2:27" s="52" customFormat="1" x14ac:dyDescent="0.25">
      <c r="B295" s="87"/>
      <c r="C295" s="70" t="e">
        <v>#N/A</v>
      </c>
      <c r="D295" s="70" t="e">
        <v>#N/A</v>
      </c>
      <c r="E295" s="69"/>
      <c r="F295" s="72"/>
      <c r="G295" s="72"/>
      <c r="H295" s="72"/>
      <c r="I295" s="71"/>
      <c r="J295" s="71"/>
      <c r="K295" s="71"/>
      <c r="L295" s="71"/>
      <c r="M295" s="71"/>
      <c r="N295" s="71"/>
      <c r="O295" s="69"/>
      <c r="P295" s="69"/>
      <c r="Q295" s="14" t="e">
        <v>#N/A</v>
      </c>
      <c r="R295" s="14" t="e">
        <v>#N/A</v>
      </c>
      <c r="S295" s="14"/>
      <c r="T295" s="73"/>
      <c r="U295" s="14"/>
      <c r="V295" s="14"/>
      <c r="W295" s="14"/>
      <c r="X295" s="69"/>
      <c r="Y295" s="60">
        <f ca="1">Table24[[#This Row],[End Date]]+2-TODAY()</f>
        <v>-46005</v>
      </c>
      <c r="Z295" s="14">
        <f>IF(ISBLANK(Table24[[#This Row],[Roster Received By]]),1,0)</f>
        <v>1</v>
      </c>
      <c r="AA295" s="14">
        <f ca="1">IF(Table24[[#This Row],[Start Date]]&gt;TODAY(),1,)</f>
        <v>0</v>
      </c>
    </row>
    <row r="296" spans="2:27" s="52" customFormat="1" x14ac:dyDescent="0.25">
      <c r="B296" s="87"/>
      <c r="C296" s="70" t="e">
        <v>#N/A</v>
      </c>
      <c r="D296" s="70" t="e">
        <v>#N/A</v>
      </c>
      <c r="E296" s="69"/>
      <c r="F296" s="72"/>
      <c r="G296" s="72"/>
      <c r="H296" s="78"/>
      <c r="I296" s="78"/>
      <c r="J296" s="72"/>
      <c r="K296" s="72"/>
      <c r="L296" s="72"/>
      <c r="M296" s="72"/>
      <c r="N296" s="72"/>
      <c r="O296" s="69"/>
      <c r="P296" s="69"/>
      <c r="Q296" s="14" t="e">
        <v>#N/A</v>
      </c>
      <c r="R296" s="14" t="e">
        <v>#N/A</v>
      </c>
      <c r="S296" s="14"/>
      <c r="T296" s="73"/>
      <c r="U296" s="14"/>
      <c r="V296" s="14"/>
      <c r="W296" s="14"/>
      <c r="X296" s="69"/>
      <c r="Y296" s="60">
        <f ca="1">Table24[[#This Row],[End Date]]+2-TODAY()</f>
        <v>-46005</v>
      </c>
      <c r="Z296" s="14">
        <f>IF(ISBLANK(Table24[[#This Row],[Roster Received By]]),1,0)</f>
        <v>1</v>
      </c>
      <c r="AA296" s="14">
        <f ca="1">IF(Table24[[#This Row],[Start Date]]&gt;TODAY(),1,)</f>
        <v>0</v>
      </c>
    </row>
    <row r="297" spans="2:27" s="52" customFormat="1" x14ac:dyDescent="0.25">
      <c r="B297" s="87"/>
      <c r="C297" s="70" t="e">
        <v>#N/A</v>
      </c>
      <c r="D297" s="70" t="e">
        <v>#N/A</v>
      </c>
      <c r="E297" s="69"/>
      <c r="F297" s="72"/>
      <c r="G297" s="72"/>
      <c r="H297" s="72"/>
      <c r="I297" s="71"/>
      <c r="J297" s="71"/>
      <c r="K297" s="71"/>
      <c r="L297" s="71"/>
      <c r="M297" s="71"/>
      <c r="N297" s="71"/>
      <c r="O297" s="69"/>
      <c r="P297" s="69"/>
      <c r="Q297" s="14" t="e">
        <v>#N/A</v>
      </c>
      <c r="R297" s="14" t="e">
        <v>#N/A</v>
      </c>
      <c r="S297" s="14"/>
      <c r="T297" s="73"/>
      <c r="U297" s="14"/>
      <c r="V297" s="14"/>
      <c r="W297" s="14"/>
      <c r="X297" s="69"/>
      <c r="Y297" s="60">
        <f ca="1">Table24[[#This Row],[End Date]]+2-TODAY()</f>
        <v>-46005</v>
      </c>
      <c r="Z297" s="14">
        <f>IF(ISBLANK(Table24[[#This Row],[Roster Received By]]),1,0)</f>
        <v>1</v>
      </c>
      <c r="AA297" s="14">
        <f ca="1">IF(Table24[[#This Row],[Start Date]]&gt;TODAY(),1,)</f>
        <v>0</v>
      </c>
    </row>
    <row r="298" spans="2:27" s="52" customFormat="1" x14ac:dyDescent="0.25">
      <c r="B298" s="87"/>
      <c r="C298" s="70" t="e">
        <v>#N/A</v>
      </c>
      <c r="D298" s="70" t="e">
        <v>#N/A</v>
      </c>
      <c r="E298" s="69"/>
      <c r="F298" s="72"/>
      <c r="G298" s="72"/>
      <c r="H298" s="72"/>
      <c r="I298" s="71"/>
      <c r="J298" s="71"/>
      <c r="K298" s="71"/>
      <c r="L298" s="71"/>
      <c r="M298" s="71"/>
      <c r="N298" s="71"/>
      <c r="O298" s="69"/>
      <c r="P298" s="69"/>
      <c r="Q298" s="14" t="e">
        <v>#N/A</v>
      </c>
      <c r="R298" s="14" t="e">
        <v>#N/A</v>
      </c>
      <c r="S298" s="14"/>
      <c r="T298" s="73"/>
      <c r="U298" s="14"/>
      <c r="V298" s="14"/>
      <c r="W298" s="73"/>
      <c r="X298" s="69"/>
      <c r="Y298" s="60">
        <f ca="1">Table24[[#This Row],[End Date]]+2-TODAY()</f>
        <v>-46005</v>
      </c>
      <c r="Z298" s="14">
        <f>IF(ISBLANK(Table24[[#This Row],[Roster Received By]]),1,0)</f>
        <v>1</v>
      </c>
      <c r="AA298" s="14">
        <f ca="1">IF(Table24[[#This Row],[Start Date]]&gt;TODAY(),1,)</f>
        <v>0</v>
      </c>
    </row>
    <row r="299" spans="2:27" s="52" customFormat="1" x14ac:dyDescent="0.25">
      <c r="B299" s="87"/>
      <c r="C299" s="70" t="e">
        <v>#N/A</v>
      </c>
      <c r="D299" s="70" t="e">
        <v>#N/A</v>
      </c>
      <c r="E299" s="69"/>
      <c r="F299" s="72"/>
      <c r="G299" s="72"/>
      <c r="H299" s="75"/>
      <c r="I299" s="75"/>
      <c r="J299" s="72"/>
      <c r="K299" s="72"/>
      <c r="L299" s="72"/>
      <c r="M299" s="72"/>
      <c r="N299" s="72"/>
      <c r="O299" s="69"/>
      <c r="P299" s="69"/>
      <c r="Q299" s="14" t="e">
        <v>#N/A</v>
      </c>
      <c r="R299" s="14" t="e">
        <v>#N/A</v>
      </c>
      <c r="S299" s="73"/>
      <c r="T299" s="73"/>
      <c r="U299" s="14"/>
      <c r="V299" s="14"/>
      <c r="W299" s="70"/>
      <c r="X299" s="69"/>
      <c r="Y299" s="79">
        <f ca="1">Table24[[#This Row],[End Date]]+2-TODAY()</f>
        <v>-46005</v>
      </c>
      <c r="Z299" s="14">
        <f>IF(ISBLANK(Table24[[#This Row],[Roster Received By]]),1,0)</f>
        <v>1</v>
      </c>
      <c r="AA299" s="70">
        <f ca="1">IF(Table24[[#This Row],[Start Date]]&gt;TODAY(),1,)</f>
        <v>0</v>
      </c>
    </row>
    <row r="300" spans="2:27" s="52" customFormat="1" x14ac:dyDescent="0.25">
      <c r="B300" s="87"/>
      <c r="C300" s="70" t="e">
        <v>#N/A</v>
      </c>
      <c r="D300" s="70" t="e">
        <v>#N/A</v>
      </c>
      <c r="E300" s="69"/>
      <c r="F300" s="72"/>
      <c r="G300" s="72"/>
      <c r="H300" s="75"/>
      <c r="I300" s="75"/>
      <c r="J300" s="72"/>
      <c r="K300" s="72"/>
      <c r="L300" s="72"/>
      <c r="M300" s="72"/>
      <c r="N300" s="72"/>
      <c r="O300" s="69"/>
      <c r="P300" s="69"/>
      <c r="Q300" s="14" t="e">
        <v>#N/A</v>
      </c>
      <c r="R300" s="14" t="e">
        <v>#N/A</v>
      </c>
      <c r="S300" s="14"/>
      <c r="T300" s="73"/>
      <c r="U300" s="14"/>
      <c r="V300" s="14"/>
      <c r="W300" s="14"/>
      <c r="X300" s="69"/>
      <c r="Y300" s="60">
        <f ca="1">Table24[[#This Row],[End Date]]+2-TODAY()</f>
        <v>-46005</v>
      </c>
      <c r="Z300" s="14">
        <f>IF(ISBLANK(Table24[[#This Row],[Roster Received By]]),1,0)</f>
        <v>1</v>
      </c>
      <c r="AA300" s="14">
        <f ca="1">IF(Table24[[#This Row],[Start Date]]&gt;TODAY(),1,)</f>
        <v>0</v>
      </c>
    </row>
    <row r="301" spans="2:27" s="52" customFormat="1" x14ac:dyDescent="0.25">
      <c r="B301" s="87"/>
      <c r="C301" s="70" t="e">
        <v>#N/A</v>
      </c>
      <c r="D301" s="70" t="e">
        <v>#N/A</v>
      </c>
      <c r="E301" s="69"/>
      <c r="F301" s="72"/>
      <c r="G301" s="72"/>
      <c r="H301" s="75"/>
      <c r="I301" s="75"/>
      <c r="J301" s="75"/>
      <c r="K301" s="75"/>
      <c r="L301" s="75"/>
      <c r="M301" s="75"/>
      <c r="N301" s="75"/>
      <c r="O301" s="69"/>
      <c r="P301" s="69"/>
      <c r="Q301" s="14" t="e">
        <v>#N/A</v>
      </c>
      <c r="R301" s="14" t="e">
        <v>#N/A</v>
      </c>
      <c r="S301" s="14"/>
      <c r="T301" s="73"/>
      <c r="U301" s="14"/>
      <c r="V301" s="14"/>
      <c r="W301" s="14"/>
      <c r="X301" s="69"/>
      <c r="Y301" s="60">
        <f ca="1">Table24[[#This Row],[End Date]]+2-TODAY()</f>
        <v>-46005</v>
      </c>
      <c r="Z301" s="14">
        <f>IF(ISBLANK(Table24[[#This Row],[Roster Received By]]),1,0)</f>
        <v>1</v>
      </c>
      <c r="AA301" s="14">
        <f ca="1">IF(Table24[[#This Row],[Start Date]]&gt;TODAY(),1,)</f>
        <v>0</v>
      </c>
    </row>
    <row r="302" spans="2:27" s="52" customFormat="1" x14ac:dyDescent="0.25">
      <c r="B302" s="87"/>
      <c r="C302" s="70" t="e">
        <v>#N/A</v>
      </c>
      <c r="D302" s="70" t="e">
        <v>#N/A</v>
      </c>
      <c r="E302" s="69"/>
      <c r="F302" s="56"/>
      <c r="G302" s="72"/>
      <c r="H302" s="72"/>
      <c r="I302" s="71"/>
      <c r="J302" s="71"/>
      <c r="K302" s="71"/>
      <c r="L302" s="71"/>
      <c r="M302" s="71"/>
      <c r="N302" s="71"/>
      <c r="O302" s="69"/>
      <c r="P302" s="69"/>
      <c r="Q302" s="14" t="e">
        <v>#N/A</v>
      </c>
      <c r="R302" s="14" t="e">
        <v>#N/A</v>
      </c>
      <c r="S302" s="14"/>
      <c r="T302" s="73"/>
      <c r="U302" s="14"/>
      <c r="V302" s="14"/>
      <c r="W302" s="14"/>
      <c r="X302" s="69"/>
      <c r="Y302" s="60">
        <f ca="1">Table24[[#This Row],[End Date]]+2-TODAY()</f>
        <v>-46005</v>
      </c>
      <c r="Z302" s="14">
        <f>IF(ISBLANK(Table24[[#This Row],[Roster Received By]]),1,0)</f>
        <v>1</v>
      </c>
      <c r="AA302" s="14">
        <f ca="1">IF(Table24[[#This Row],[Start Date]]&gt;TODAY(),1,)</f>
        <v>0</v>
      </c>
    </row>
    <row r="303" spans="2:27" s="52" customFormat="1" x14ac:dyDescent="0.25">
      <c r="B303" s="87"/>
      <c r="C303" s="70" t="e">
        <v>#N/A</v>
      </c>
      <c r="D303" s="70" t="e">
        <v>#N/A</v>
      </c>
      <c r="E303" s="69"/>
      <c r="F303" s="72"/>
      <c r="G303" s="72"/>
      <c r="H303" s="72"/>
      <c r="I303" s="71"/>
      <c r="J303" s="71"/>
      <c r="K303" s="71"/>
      <c r="L303" s="71"/>
      <c r="M303" s="71"/>
      <c r="N303" s="71"/>
      <c r="O303" s="69"/>
      <c r="P303" s="69"/>
      <c r="Q303" s="14" t="e">
        <v>#N/A</v>
      </c>
      <c r="R303" s="14" t="e">
        <v>#N/A</v>
      </c>
      <c r="S303" s="14"/>
      <c r="T303" s="73"/>
      <c r="U303" s="14"/>
      <c r="V303" s="14"/>
      <c r="W303" s="14"/>
      <c r="X303" s="69"/>
      <c r="Y303" s="60">
        <f ca="1">Table24[[#This Row],[End Date]]+2-TODAY()</f>
        <v>-46005</v>
      </c>
      <c r="Z303" s="14">
        <f>IF(ISBLANK(Table24[[#This Row],[Roster Received By]]),1,0)</f>
        <v>1</v>
      </c>
      <c r="AA303" s="14">
        <f ca="1">IF(Table24[[#This Row],[Start Date]]&gt;TODAY(),1,)</f>
        <v>0</v>
      </c>
    </row>
    <row r="304" spans="2:27" s="52" customFormat="1" x14ac:dyDescent="0.25">
      <c r="B304" s="87"/>
      <c r="C304" s="70" t="e">
        <v>#N/A</v>
      </c>
      <c r="D304" s="70" t="e">
        <v>#N/A</v>
      </c>
      <c r="E304" s="69"/>
      <c r="F304" s="80"/>
      <c r="G304" s="80"/>
      <c r="H304" s="72"/>
      <c r="I304" s="71"/>
      <c r="J304" s="71"/>
      <c r="K304" s="71"/>
      <c r="L304" s="71"/>
      <c r="M304" s="71"/>
      <c r="N304" s="71"/>
      <c r="O304" s="69"/>
      <c r="P304" s="69"/>
      <c r="Q304" s="14" t="e">
        <v>#N/A</v>
      </c>
      <c r="R304" s="14" t="e">
        <v>#N/A</v>
      </c>
      <c r="S304" s="14"/>
      <c r="T304" s="73"/>
      <c r="U304" s="14"/>
      <c r="V304" s="14"/>
      <c r="W304" s="14"/>
      <c r="X304" s="69"/>
      <c r="Y304" s="60">
        <f ca="1">Table24[[#This Row],[End Date]]+2-TODAY()</f>
        <v>-46005</v>
      </c>
      <c r="Z304" s="14">
        <f>IF(ISBLANK(Table24[[#This Row],[Roster Received By]]),1,0)</f>
        <v>1</v>
      </c>
      <c r="AA304" s="14">
        <f ca="1">IF(Table24[[#This Row],[Start Date]]&gt;TODAY(),1,)</f>
        <v>0</v>
      </c>
    </row>
    <row r="305" spans="1:27" s="52" customFormat="1" x14ac:dyDescent="0.25">
      <c r="B305" s="87"/>
      <c r="C305" s="70" t="e">
        <v>#N/A</v>
      </c>
      <c r="D305" s="70" t="e">
        <v>#N/A</v>
      </c>
      <c r="E305" s="69"/>
      <c r="F305" s="80"/>
      <c r="G305" s="80"/>
      <c r="H305" s="72"/>
      <c r="I305" s="71"/>
      <c r="J305" s="71"/>
      <c r="K305" s="71"/>
      <c r="L305" s="71"/>
      <c r="M305" s="71"/>
      <c r="N305" s="71"/>
      <c r="O305" s="69"/>
      <c r="P305" s="69"/>
      <c r="Q305" s="14" t="e">
        <v>#N/A</v>
      </c>
      <c r="R305" s="14" t="e">
        <v>#N/A</v>
      </c>
      <c r="S305" s="14"/>
      <c r="T305" s="73"/>
      <c r="U305" s="14"/>
      <c r="V305" s="14"/>
      <c r="W305" s="14"/>
      <c r="X305" s="69"/>
      <c r="Y305" s="60">
        <f ca="1">Table24[[#This Row],[End Date]]+2-TODAY()</f>
        <v>-46005</v>
      </c>
      <c r="Z305" s="14">
        <f>IF(ISBLANK(Table24[[#This Row],[Roster Received By]]),1,0)</f>
        <v>1</v>
      </c>
      <c r="AA305" s="14">
        <f ca="1">IF(Table24[[#This Row],[Start Date]]&gt;TODAY(),1,)</f>
        <v>0</v>
      </c>
    </row>
    <row r="306" spans="1:27" s="52" customFormat="1" x14ac:dyDescent="0.25">
      <c r="B306" s="87"/>
      <c r="C306" s="70" t="e">
        <v>#N/A</v>
      </c>
      <c r="D306" s="70" t="e">
        <v>#N/A</v>
      </c>
      <c r="E306" s="69"/>
      <c r="F306" s="80"/>
      <c r="G306" s="80"/>
      <c r="H306" s="72"/>
      <c r="I306" s="71"/>
      <c r="J306" s="71"/>
      <c r="K306" s="71"/>
      <c r="L306" s="71"/>
      <c r="M306" s="71"/>
      <c r="N306" s="71"/>
      <c r="O306" s="69"/>
      <c r="P306" s="69"/>
      <c r="Q306" s="14" t="e">
        <v>#N/A</v>
      </c>
      <c r="R306" s="14" t="e">
        <v>#N/A</v>
      </c>
      <c r="S306" s="14"/>
      <c r="T306" s="73"/>
      <c r="U306" s="14"/>
      <c r="V306" s="14"/>
      <c r="W306" s="14"/>
      <c r="X306" s="69"/>
      <c r="Y306" s="60">
        <f ca="1">Table24[[#This Row],[End Date]]+2-TODAY()</f>
        <v>-46005</v>
      </c>
      <c r="Z306" s="14">
        <f>IF(ISBLANK(Table24[[#This Row],[Roster Received By]]),1,0)</f>
        <v>1</v>
      </c>
      <c r="AA306" s="14">
        <f ca="1">IF(Table24[[#This Row],[Start Date]]&gt;TODAY(),1,)</f>
        <v>0</v>
      </c>
    </row>
    <row r="307" spans="1:27" s="52" customFormat="1" x14ac:dyDescent="0.25">
      <c r="B307" s="87"/>
      <c r="C307" s="70" t="e">
        <v>#N/A</v>
      </c>
      <c r="D307" s="70" t="e">
        <v>#N/A</v>
      </c>
      <c r="E307" s="69"/>
      <c r="F307" s="80"/>
      <c r="G307" s="80"/>
      <c r="H307" s="78"/>
      <c r="I307" s="78"/>
      <c r="J307" s="72"/>
      <c r="K307" s="72"/>
      <c r="L307" s="72"/>
      <c r="M307" s="72"/>
      <c r="N307" s="72"/>
      <c r="O307" s="69"/>
      <c r="P307" s="69"/>
      <c r="Q307" s="14" t="e">
        <v>#N/A</v>
      </c>
      <c r="R307" s="14" t="e">
        <v>#N/A</v>
      </c>
      <c r="S307" s="14"/>
      <c r="T307" s="73"/>
      <c r="U307" s="14"/>
      <c r="V307" s="14"/>
      <c r="W307" s="14"/>
      <c r="X307" s="69"/>
      <c r="Y307" s="60">
        <f ca="1">Table24[[#This Row],[End Date]]+2-TODAY()</f>
        <v>-46005</v>
      </c>
      <c r="Z307" s="14">
        <f>IF(ISBLANK(Table24[[#This Row],[Roster Received By]]),1,0)</f>
        <v>1</v>
      </c>
      <c r="AA307" s="14">
        <f ca="1">IF(Table24[[#This Row],[Start Date]]&gt;TODAY(),1,)</f>
        <v>0</v>
      </c>
    </row>
    <row r="308" spans="1:27" s="52" customFormat="1" x14ac:dyDescent="0.25">
      <c r="B308" s="87"/>
      <c r="C308" s="70" t="e">
        <v>#N/A</v>
      </c>
      <c r="D308" s="70" t="e">
        <v>#N/A</v>
      </c>
      <c r="E308" s="69"/>
      <c r="F308" s="80"/>
      <c r="G308" s="80"/>
      <c r="H308" s="75"/>
      <c r="I308" s="75"/>
      <c r="J308" s="75"/>
      <c r="K308" s="75"/>
      <c r="L308" s="75"/>
      <c r="M308" s="75"/>
      <c r="N308" s="72"/>
      <c r="O308" s="69"/>
      <c r="P308" s="69"/>
      <c r="Q308" s="14" t="e">
        <v>#N/A</v>
      </c>
      <c r="R308" s="14" t="e">
        <v>#N/A</v>
      </c>
      <c r="S308" s="14"/>
      <c r="T308" s="73"/>
      <c r="U308" s="14"/>
      <c r="V308" s="14"/>
      <c r="W308" s="70"/>
      <c r="X308" s="69"/>
      <c r="Y308" s="60">
        <f ca="1">Table24[[#This Row],[End Date]]+2-TODAY()</f>
        <v>-46005</v>
      </c>
      <c r="Z308" s="14">
        <f>IF(ISBLANK(Table24[[#This Row],[Roster Received By]]),1,0)</f>
        <v>1</v>
      </c>
      <c r="AA308" s="14">
        <f ca="1">IF(Table24[[#This Row],[Start Date]]&gt;TODAY(),1,)</f>
        <v>0</v>
      </c>
    </row>
    <row r="309" spans="1:27" s="52" customFormat="1" x14ac:dyDescent="0.25">
      <c r="B309" s="87"/>
      <c r="C309" s="70" t="e">
        <v>#N/A</v>
      </c>
      <c r="D309" s="70" t="e">
        <v>#N/A</v>
      </c>
      <c r="E309" s="54"/>
      <c r="F309" s="80"/>
      <c r="G309" s="80"/>
      <c r="H309" s="75"/>
      <c r="I309" s="75"/>
      <c r="J309" s="72"/>
      <c r="K309" s="72"/>
      <c r="L309" s="72"/>
      <c r="M309" s="72"/>
      <c r="N309" s="72"/>
      <c r="O309" s="69"/>
      <c r="P309" s="69"/>
      <c r="Q309" s="14" t="e">
        <v>#N/A</v>
      </c>
      <c r="R309" s="14" t="e">
        <v>#N/A</v>
      </c>
      <c r="S309" s="14"/>
      <c r="T309" s="73"/>
      <c r="U309" s="14"/>
      <c r="V309" s="14"/>
      <c r="W309" s="14"/>
      <c r="X309" s="69"/>
      <c r="Y309" s="60">
        <f ca="1">Table24[[#This Row],[End Date]]+2-TODAY()</f>
        <v>-46005</v>
      </c>
      <c r="Z309" s="14">
        <f>IF(ISBLANK(Table24[[#This Row],[Roster Received By]]),1,0)</f>
        <v>1</v>
      </c>
      <c r="AA309" s="14">
        <f ca="1">IF(Table24[[#This Row],[Start Date]]&gt;TODAY(),1,)</f>
        <v>0</v>
      </c>
    </row>
    <row r="310" spans="1:27" s="52" customFormat="1" x14ac:dyDescent="0.25">
      <c r="B310" s="87"/>
      <c r="C310" s="70" t="e">
        <v>#N/A</v>
      </c>
      <c r="D310" s="70" t="e">
        <v>#N/A</v>
      </c>
      <c r="E310" s="54"/>
      <c r="F310" s="80"/>
      <c r="G310" s="80"/>
      <c r="H310" s="75"/>
      <c r="I310" s="75"/>
      <c r="J310" s="72"/>
      <c r="K310" s="72"/>
      <c r="L310" s="72"/>
      <c r="M310" s="72"/>
      <c r="N310" s="72"/>
      <c r="O310" s="69"/>
      <c r="P310" s="69"/>
      <c r="Q310" s="14" t="e">
        <v>#N/A</v>
      </c>
      <c r="R310" s="14" t="e">
        <v>#N/A</v>
      </c>
      <c r="S310" s="14"/>
      <c r="T310" s="73"/>
      <c r="U310" s="14"/>
      <c r="V310" s="14"/>
      <c r="W310" s="14"/>
      <c r="X310" s="69"/>
      <c r="Y310" s="60">
        <f ca="1">Table24[[#This Row],[End Date]]+2-TODAY()</f>
        <v>-46005</v>
      </c>
      <c r="Z310" s="14">
        <f>IF(ISBLANK(Table24[[#This Row],[Roster Received By]]),1,0)</f>
        <v>1</v>
      </c>
      <c r="AA310" s="14">
        <f ca="1">IF(Table24[[#This Row],[Start Date]]&gt;TODAY(),1,)</f>
        <v>0</v>
      </c>
    </row>
    <row r="311" spans="1:27" s="52" customFormat="1" x14ac:dyDescent="0.25">
      <c r="B311" s="87"/>
      <c r="C311" s="70" t="e">
        <v>#N/A</v>
      </c>
      <c r="D311" s="70" t="e">
        <v>#N/A</v>
      </c>
      <c r="E311" s="69"/>
      <c r="F311" s="80"/>
      <c r="G311" s="80"/>
      <c r="H311" s="78"/>
      <c r="I311" s="78"/>
      <c r="J311" s="72"/>
      <c r="K311" s="72"/>
      <c r="L311" s="72"/>
      <c r="M311" s="72"/>
      <c r="N311" s="72"/>
      <c r="O311" s="69"/>
      <c r="P311" s="69"/>
      <c r="Q311" s="14" t="e">
        <v>#N/A</v>
      </c>
      <c r="R311" s="14" t="e">
        <v>#N/A</v>
      </c>
      <c r="S311" s="73"/>
      <c r="T311" s="73"/>
      <c r="U311" s="14"/>
      <c r="V311" s="14"/>
      <c r="W311" s="14"/>
      <c r="X311" s="69"/>
      <c r="Y311" s="60">
        <f ca="1">Table24[[#This Row],[End Date]]+2-TODAY()</f>
        <v>-46005</v>
      </c>
      <c r="Z311" s="14">
        <f>IF(ISBLANK(Table24[[#This Row],[Roster Received By]]),1,0)</f>
        <v>1</v>
      </c>
      <c r="AA311" s="14">
        <f ca="1">IF(Table24[[#This Row],[Start Date]]&gt;TODAY(),1,)</f>
        <v>0</v>
      </c>
    </row>
    <row r="312" spans="1:27" s="52" customFormat="1" x14ac:dyDescent="0.25">
      <c r="B312" s="69"/>
      <c r="C312" s="70" t="e">
        <v>#N/A</v>
      </c>
      <c r="D312" s="70" t="e">
        <v>#N/A</v>
      </c>
      <c r="E312" s="69"/>
      <c r="F312" s="80"/>
      <c r="G312" s="80"/>
      <c r="H312" s="75"/>
      <c r="I312" s="75"/>
      <c r="J312" s="72"/>
      <c r="K312" s="72"/>
      <c r="L312" s="72"/>
      <c r="M312" s="72"/>
      <c r="N312" s="72"/>
      <c r="O312" s="69"/>
      <c r="P312" s="69"/>
      <c r="Q312" s="14" t="e">
        <v>#N/A</v>
      </c>
      <c r="R312" s="14" t="e">
        <v>#N/A</v>
      </c>
      <c r="S312" s="73"/>
      <c r="T312" s="73"/>
      <c r="U312" s="14"/>
      <c r="V312" s="14"/>
      <c r="W312" s="70"/>
      <c r="X312" s="69"/>
      <c r="Y312" s="79">
        <f ca="1">Table24[[#This Row],[End Date]]+2-TODAY()</f>
        <v>-46005</v>
      </c>
      <c r="Z312" s="14">
        <f>IF(ISBLANK(Table24[[#This Row],[Roster Received By]]),1,0)</f>
        <v>1</v>
      </c>
      <c r="AA312" s="70">
        <f ca="1">IF(Table24[[#This Row],[Start Date]]&gt;TODAY(),1,)</f>
        <v>0</v>
      </c>
    </row>
    <row r="313" spans="1:27" s="52" customFormat="1" x14ac:dyDescent="0.25">
      <c r="B313" s="88"/>
      <c r="C313" s="70" t="e">
        <v>#N/A</v>
      </c>
      <c r="D313" s="70" t="e">
        <v>#N/A</v>
      </c>
      <c r="E313" s="69"/>
      <c r="F313" s="80"/>
      <c r="G313" s="80"/>
      <c r="H313" s="78"/>
      <c r="I313" s="78"/>
      <c r="J313" s="72"/>
      <c r="K313" s="72"/>
      <c r="L313" s="72"/>
      <c r="M313" s="72"/>
      <c r="N313" s="72"/>
      <c r="O313" s="69"/>
      <c r="P313" s="69"/>
      <c r="Q313" s="14" t="e">
        <v>#N/A</v>
      </c>
      <c r="R313" s="14" t="e">
        <v>#N/A</v>
      </c>
      <c r="S313" s="14"/>
      <c r="T313" s="73"/>
      <c r="U313" s="14"/>
      <c r="V313" s="14"/>
      <c r="W313" s="14"/>
      <c r="X313" s="69"/>
      <c r="Y313" s="60">
        <f ca="1">Table24[[#This Row],[End Date]]+2-TODAY()</f>
        <v>-46005</v>
      </c>
      <c r="Z313" s="14">
        <f>IF(ISBLANK(Table24[[#This Row],[Roster Received By]]),1,0)</f>
        <v>1</v>
      </c>
      <c r="AA313" s="14">
        <f ca="1">IF(Table24[[#This Row],[Start Date]]&gt;TODAY(),1,)</f>
        <v>0</v>
      </c>
    </row>
    <row r="314" spans="1:27" s="52" customFormat="1" x14ac:dyDescent="0.25">
      <c r="B314" s="87"/>
      <c r="C314" s="70" t="e">
        <v>#N/A</v>
      </c>
      <c r="D314" s="70" t="e">
        <v>#N/A</v>
      </c>
      <c r="E314" s="69"/>
      <c r="F314" s="80"/>
      <c r="G314" s="80"/>
      <c r="H314" s="72"/>
      <c r="I314" s="71"/>
      <c r="J314" s="71"/>
      <c r="K314" s="71"/>
      <c r="L314" s="71"/>
      <c r="M314" s="71"/>
      <c r="N314" s="71"/>
      <c r="O314" s="69"/>
      <c r="P314" s="69"/>
      <c r="Q314" s="14" t="e">
        <v>#N/A</v>
      </c>
      <c r="R314" s="14" t="e">
        <v>#N/A</v>
      </c>
      <c r="S314" s="14"/>
      <c r="T314" s="73"/>
      <c r="U314" s="14"/>
      <c r="V314" s="14"/>
      <c r="W314" s="14"/>
      <c r="X314" s="69"/>
      <c r="Y314" s="60">
        <f ca="1">Table24[[#This Row],[End Date]]+2-TODAY()</f>
        <v>-46005</v>
      </c>
      <c r="Z314" s="14">
        <f>IF(ISBLANK(Table24[[#This Row],[Roster Received By]]),1,0)</f>
        <v>1</v>
      </c>
      <c r="AA314" s="14">
        <f ca="1">IF(Table24[[#This Row],[Start Date]]&gt;TODAY(),1,)</f>
        <v>0</v>
      </c>
    </row>
    <row r="315" spans="1:27" s="52" customFormat="1" x14ac:dyDescent="0.25">
      <c r="B315" s="88"/>
      <c r="C315" s="70" t="e">
        <v>#N/A</v>
      </c>
      <c r="D315" s="70" t="e">
        <v>#N/A</v>
      </c>
      <c r="E315" s="69"/>
      <c r="F315" s="80"/>
      <c r="G315" s="80"/>
      <c r="H315" s="75"/>
      <c r="I315" s="75"/>
      <c r="J315" s="72"/>
      <c r="K315" s="72"/>
      <c r="L315" s="72"/>
      <c r="M315" s="72"/>
      <c r="N315" s="72"/>
      <c r="O315" s="69"/>
      <c r="P315" s="69"/>
      <c r="Q315" s="14" t="e">
        <v>#N/A</v>
      </c>
      <c r="R315" s="14" t="e">
        <v>#N/A</v>
      </c>
      <c r="S315" s="14"/>
      <c r="T315" s="73"/>
      <c r="U315" s="14"/>
      <c r="V315" s="14"/>
      <c r="W315" s="14"/>
      <c r="X315" s="69"/>
      <c r="Y315" s="60">
        <f ca="1">Table24[[#This Row],[End Date]]+2-TODAY()</f>
        <v>-46005</v>
      </c>
      <c r="Z315" s="14">
        <f>IF(ISBLANK(Table24[[#This Row],[Roster Received By]]),1,0)</f>
        <v>1</v>
      </c>
      <c r="AA315" s="14">
        <f ca="1">IF(Table24[[#This Row],[Start Date]]&gt;TODAY(),1,)</f>
        <v>0</v>
      </c>
    </row>
    <row r="316" spans="1:27" s="52" customFormat="1" x14ac:dyDescent="0.25">
      <c r="B316" s="88"/>
      <c r="C316" s="70" t="e">
        <v>#N/A</v>
      </c>
      <c r="D316" s="70" t="e">
        <v>#N/A</v>
      </c>
      <c r="E316" s="69"/>
      <c r="F316" s="80"/>
      <c r="G316" s="80"/>
      <c r="H316" s="75"/>
      <c r="I316" s="75"/>
      <c r="J316" s="72"/>
      <c r="K316" s="72"/>
      <c r="L316" s="72"/>
      <c r="M316" s="72"/>
      <c r="N316" s="72"/>
      <c r="O316" s="69"/>
      <c r="P316" s="69"/>
      <c r="Q316" s="14" t="e">
        <v>#N/A</v>
      </c>
      <c r="R316" s="14" t="e">
        <v>#N/A</v>
      </c>
      <c r="S316" s="14"/>
      <c r="T316" s="73"/>
      <c r="U316" s="14"/>
      <c r="V316" s="14"/>
      <c r="W316" s="14"/>
      <c r="X316" s="69"/>
      <c r="Y316" s="60">
        <f ca="1">Table24[[#This Row],[End Date]]+2-TODAY()</f>
        <v>-46005</v>
      </c>
      <c r="Z316" s="14">
        <f>IF(ISBLANK(Table24[[#This Row],[Roster Received By]]),1,0)</f>
        <v>1</v>
      </c>
      <c r="AA316" s="14">
        <f ca="1">IF(Table24[[#This Row],[Start Date]]&gt;TODAY(),1,)</f>
        <v>0</v>
      </c>
    </row>
    <row r="317" spans="1:27" s="52" customFormat="1" x14ac:dyDescent="0.25">
      <c r="A317" s="112"/>
      <c r="B317" s="88"/>
      <c r="C317" s="70" t="e">
        <v>#N/A</v>
      </c>
      <c r="D317" s="70" t="e">
        <v>#N/A</v>
      </c>
      <c r="E317" s="69"/>
      <c r="F317" s="102"/>
      <c r="G317" s="102"/>
      <c r="H317" s="75"/>
      <c r="I317" s="75"/>
      <c r="J317" s="72"/>
      <c r="K317" s="72"/>
      <c r="L317" s="72"/>
      <c r="M317" s="72"/>
      <c r="N317" s="72"/>
      <c r="O317" s="69"/>
      <c r="P317" s="69"/>
      <c r="Q317" s="14" t="e">
        <v>#N/A</v>
      </c>
      <c r="R317" s="14" t="e">
        <v>#N/A</v>
      </c>
      <c r="S317" s="73"/>
      <c r="T317" s="73"/>
      <c r="U317" s="14"/>
      <c r="V317" s="14"/>
      <c r="W317" s="14"/>
      <c r="X317" s="69"/>
      <c r="Y317" s="60">
        <f ca="1">Table24[[#This Row],[End Date]]+2-TODAY()</f>
        <v>-46005</v>
      </c>
      <c r="Z317" s="14">
        <f>IF(ISBLANK(Table24[[#This Row],[Roster Received By]]),1,0)</f>
        <v>1</v>
      </c>
      <c r="AA317" s="14">
        <f ca="1">IF(Table24[[#This Row],[Start Date]]&gt;TODAY(),1,)</f>
        <v>0</v>
      </c>
    </row>
    <row r="318" spans="1:27" s="52" customFormat="1" x14ac:dyDescent="0.25">
      <c r="A318" s="69"/>
      <c r="B318" s="88"/>
      <c r="C318" s="70" t="e">
        <v>#N/A</v>
      </c>
      <c r="D318" s="70" t="e">
        <v>#N/A</v>
      </c>
      <c r="E318" s="88"/>
      <c r="F318" s="103"/>
      <c r="G318" s="103"/>
      <c r="H318" s="56"/>
      <c r="I318" s="71"/>
      <c r="J318" s="71"/>
      <c r="K318" s="71"/>
      <c r="L318" s="71"/>
      <c r="M318" s="71"/>
      <c r="N318" s="71"/>
      <c r="O318" s="69"/>
      <c r="P318" s="69"/>
      <c r="Q318" s="14" t="e">
        <v>#N/A</v>
      </c>
      <c r="R318" s="14" t="e">
        <v>#N/A</v>
      </c>
      <c r="S318" s="14"/>
      <c r="T318" s="73"/>
      <c r="U318" s="14"/>
      <c r="V318" s="14"/>
      <c r="W318" s="14"/>
      <c r="X318" s="69"/>
      <c r="Y318" s="60">
        <f ca="1">Table24[[#This Row],[End Date]]+2-TODAY()</f>
        <v>-46005</v>
      </c>
      <c r="Z318" s="14">
        <f>IF(ISBLANK(Table24[[#This Row],[Roster Received By]]),1,0)</f>
        <v>1</v>
      </c>
      <c r="AA318" s="14">
        <f ca="1">IF(Table24[[#This Row],[Start Date]]&gt;TODAY(),1,)</f>
        <v>0</v>
      </c>
    </row>
    <row r="319" spans="1:27" s="52" customFormat="1" x14ac:dyDescent="0.25">
      <c r="B319" s="88"/>
      <c r="C319" s="70" t="e">
        <v>#N/A</v>
      </c>
      <c r="D319" s="70" t="e">
        <v>#N/A</v>
      </c>
      <c r="E319" s="88"/>
      <c r="F319" s="102"/>
      <c r="G319" s="102"/>
      <c r="H319" s="72"/>
      <c r="I319" s="71"/>
      <c r="J319" s="71"/>
      <c r="K319" s="71"/>
      <c r="L319" s="71"/>
      <c r="M319" s="71"/>
      <c r="N319" s="71"/>
      <c r="O319" s="69"/>
      <c r="P319" s="69"/>
      <c r="Q319" s="14" t="e">
        <v>#N/A</v>
      </c>
      <c r="R319" s="14" t="e">
        <v>#N/A</v>
      </c>
      <c r="S319" s="14"/>
      <c r="T319" s="73"/>
      <c r="U319" s="14"/>
      <c r="V319" s="14"/>
      <c r="W319" s="14"/>
      <c r="X319" s="69"/>
      <c r="Y319" s="60">
        <f ca="1">Table24[[#This Row],[End Date]]+2-TODAY()</f>
        <v>-46005</v>
      </c>
      <c r="Z319" s="14">
        <f>IF(ISBLANK(Table24[[#This Row],[Roster Received By]]),1,0)</f>
        <v>1</v>
      </c>
      <c r="AA319" s="14">
        <f ca="1">IF(Table24[[#This Row],[Start Date]]&gt;TODAY(),1,)</f>
        <v>0</v>
      </c>
    </row>
    <row r="320" spans="1:27" s="52" customFormat="1" x14ac:dyDescent="0.25">
      <c r="B320" s="88"/>
      <c r="C320" s="70" t="e">
        <v>#N/A</v>
      </c>
      <c r="D320" s="70" t="e">
        <v>#N/A</v>
      </c>
      <c r="E320" s="69"/>
      <c r="F320" s="72"/>
      <c r="G320" s="72"/>
      <c r="H320" s="75"/>
      <c r="I320" s="75"/>
      <c r="J320" s="75"/>
      <c r="K320" s="75"/>
      <c r="L320" s="75"/>
      <c r="M320" s="75"/>
      <c r="N320" s="72"/>
      <c r="O320" s="69"/>
      <c r="P320" s="69"/>
      <c r="Q320" s="14" t="e">
        <v>#N/A</v>
      </c>
      <c r="R320" s="14" t="e">
        <v>#N/A</v>
      </c>
      <c r="S320" s="14"/>
      <c r="T320" s="73"/>
      <c r="U320" s="14"/>
      <c r="V320" s="14"/>
      <c r="W320" s="14"/>
      <c r="X320" s="69"/>
      <c r="Y320" s="60">
        <f ca="1">Table24[[#This Row],[End Date]]+2-TODAY()</f>
        <v>-46005</v>
      </c>
      <c r="Z320" s="14">
        <f>IF(ISBLANK(Table24[[#This Row],[Roster Received By]]),1,0)</f>
        <v>1</v>
      </c>
      <c r="AA320" s="14">
        <f ca="1">IF(Table24[[#This Row],[Start Date]]&gt;TODAY(),1,)</f>
        <v>0</v>
      </c>
    </row>
    <row r="321" spans="1:27" s="52" customFormat="1" x14ac:dyDescent="0.25">
      <c r="B321" s="88"/>
      <c r="C321" s="70" t="e">
        <v>#N/A</v>
      </c>
      <c r="D321" s="70" t="e">
        <v>#N/A</v>
      </c>
      <c r="E321" s="55"/>
      <c r="F321" s="80"/>
      <c r="G321" s="80"/>
      <c r="H321" s="75"/>
      <c r="I321" s="75"/>
      <c r="J321" s="72"/>
      <c r="K321" s="72"/>
      <c r="L321" s="72"/>
      <c r="M321" s="72"/>
      <c r="N321" s="72"/>
      <c r="O321" s="69"/>
      <c r="P321" s="69"/>
      <c r="Q321" s="14" t="e">
        <v>#N/A</v>
      </c>
      <c r="R321" s="14" t="e">
        <v>#N/A</v>
      </c>
      <c r="S321" s="14"/>
      <c r="T321" s="73"/>
      <c r="U321" s="14"/>
      <c r="V321" s="14"/>
      <c r="W321" s="14"/>
      <c r="X321" s="69"/>
      <c r="Y321" s="60">
        <f ca="1">Table24[[#This Row],[End Date]]+2-TODAY()</f>
        <v>-46005</v>
      </c>
      <c r="Z321" s="14">
        <f>IF(ISBLANK(Table24[[#This Row],[Roster Received By]]),1,0)</f>
        <v>1</v>
      </c>
      <c r="AA321" s="14">
        <f ca="1">IF(Table24[[#This Row],[Start Date]]&gt;TODAY(),1,)</f>
        <v>0</v>
      </c>
    </row>
    <row r="322" spans="1:27" s="52" customFormat="1" x14ac:dyDescent="0.25">
      <c r="B322" s="88"/>
      <c r="C322" s="70" t="e">
        <v>#N/A</v>
      </c>
      <c r="D322" s="70" t="e">
        <v>#N/A</v>
      </c>
      <c r="E322" s="86"/>
      <c r="F322" s="80"/>
      <c r="G322" s="80"/>
      <c r="H322" s="78"/>
      <c r="I322" s="78"/>
      <c r="J322" s="72"/>
      <c r="K322" s="72"/>
      <c r="L322" s="72"/>
      <c r="M322" s="72"/>
      <c r="N322" s="72"/>
      <c r="O322" s="69"/>
      <c r="P322" s="69"/>
      <c r="Q322" s="14" t="e">
        <v>#N/A</v>
      </c>
      <c r="R322" s="14" t="e">
        <v>#N/A</v>
      </c>
      <c r="S322" s="14"/>
      <c r="T322" s="73"/>
      <c r="U322" s="14"/>
      <c r="V322" s="14"/>
      <c r="W322" s="14"/>
      <c r="X322" s="69"/>
      <c r="Y322" s="60">
        <f ca="1">Table24[[#This Row],[End Date]]+2-TODAY()</f>
        <v>-46005</v>
      </c>
      <c r="Z322" s="14">
        <f>IF(ISBLANK(Table24[[#This Row],[Roster Received By]]),1,0)</f>
        <v>1</v>
      </c>
      <c r="AA322" s="14">
        <f ca="1">IF(Table24[[#This Row],[Start Date]]&gt;TODAY(),1,)</f>
        <v>0</v>
      </c>
    </row>
    <row r="323" spans="1:27" s="52" customFormat="1" x14ac:dyDescent="0.25">
      <c r="B323" s="88"/>
      <c r="C323" s="70" t="e">
        <v>#N/A</v>
      </c>
      <c r="D323" s="70" t="e">
        <v>#N/A</v>
      </c>
      <c r="E323" s="86"/>
      <c r="F323" s="80"/>
      <c r="G323" s="80"/>
      <c r="H323" s="72"/>
      <c r="I323" s="71"/>
      <c r="J323" s="71"/>
      <c r="K323" s="71"/>
      <c r="L323" s="71"/>
      <c r="M323" s="71"/>
      <c r="N323" s="71"/>
      <c r="O323" s="69"/>
      <c r="P323" s="69"/>
      <c r="Q323" s="14" t="e">
        <v>#N/A</v>
      </c>
      <c r="R323" s="14" t="e">
        <v>#N/A</v>
      </c>
      <c r="S323" s="14"/>
      <c r="T323" s="73"/>
      <c r="U323" s="14"/>
      <c r="V323" s="14"/>
      <c r="W323" s="14"/>
      <c r="X323" s="69"/>
      <c r="Y323" s="60">
        <f ca="1">Table24[[#This Row],[End Date]]+2-TODAY()</f>
        <v>-46005</v>
      </c>
      <c r="Z323" s="14">
        <f>IF(ISBLANK(Table24[[#This Row],[Roster Received By]]),1,0)</f>
        <v>1</v>
      </c>
      <c r="AA323" s="14">
        <f ca="1">IF(Table24[[#This Row],[Start Date]]&gt;TODAY(),1,)</f>
        <v>0</v>
      </c>
    </row>
    <row r="324" spans="1:27" s="52" customFormat="1" x14ac:dyDescent="0.25">
      <c r="A324" s="69"/>
      <c r="B324" s="88"/>
      <c r="C324" s="70" t="e">
        <v>#N/A</v>
      </c>
      <c r="D324" s="70" t="e">
        <v>#N/A</v>
      </c>
      <c r="E324" s="86"/>
      <c r="F324" s="80"/>
      <c r="G324" s="80"/>
      <c r="H324" s="75"/>
      <c r="I324" s="75"/>
      <c r="J324" s="72"/>
      <c r="K324" s="72"/>
      <c r="L324" s="72"/>
      <c r="M324" s="72"/>
      <c r="N324" s="72"/>
      <c r="O324" s="69"/>
      <c r="P324" s="69"/>
      <c r="Q324" s="14" t="e">
        <v>#N/A</v>
      </c>
      <c r="R324" s="14" t="e">
        <v>#N/A</v>
      </c>
      <c r="S324" s="14"/>
      <c r="T324" s="73"/>
      <c r="U324" s="14"/>
      <c r="V324" s="14"/>
      <c r="W324" s="73"/>
      <c r="X324" s="69"/>
      <c r="Y324" s="60">
        <f ca="1">Table24[[#This Row],[End Date]]+2-TODAY()</f>
        <v>-46005</v>
      </c>
      <c r="Z324" s="14">
        <f>IF(ISBLANK(Table24[[#This Row],[Roster Received By]]),1,0)</f>
        <v>1</v>
      </c>
      <c r="AA324" s="14">
        <f ca="1">IF(Table24[[#This Row],[Start Date]]&gt;TODAY(),1,)</f>
        <v>0</v>
      </c>
    </row>
    <row r="325" spans="1:27" s="52" customFormat="1" x14ac:dyDescent="0.25">
      <c r="B325" s="88"/>
      <c r="C325" s="70" t="e">
        <v>#N/A</v>
      </c>
      <c r="D325" s="70" t="e">
        <v>#N/A</v>
      </c>
      <c r="E325" s="86"/>
      <c r="F325" s="80"/>
      <c r="G325" s="80"/>
      <c r="H325" s="75"/>
      <c r="I325" s="75"/>
      <c r="J325" s="72"/>
      <c r="K325" s="72"/>
      <c r="L325" s="72"/>
      <c r="M325" s="72"/>
      <c r="N325" s="72"/>
      <c r="O325" s="69"/>
      <c r="P325" s="69"/>
      <c r="Q325" s="14" t="e">
        <v>#N/A</v>
      </c>
      <c r="R325" s="14" t="e">
        <v>#N/A</v>
      </c>
      <c r="S325" s="14"/>
      <c r="T325" s="73"/>
      <c r="U325" s="14"/>
      <c r="V325" s="14"/>
      <c r="W325" s="14"/>
      <c r="X325" s="69"/>
      <c r="Y325" s="60">
        <f ca="1">Table24[[#This Row],[End Date]]+2-TODAY()</f>
        <v>-46005</v>
      </c>
      <c r="Z325" s="14">
        <f>IF(ISBLANK(Table24[[#This Row],[Roster Received By]]),1,0)</f>
        <v>1</v>
      </c>
      <c r="AA325" s="14">
        <f ca="1">IF(Table24[[#This Row],[Start Date]]&gt;TODAY(),1,)</f>
        <v>0</v>
      </c>
    </row>
    <row r="326" spans="1:27" s="52" customFormat="1" x14ac:dyDescent="0.25">
      <c r="B326" s="88"/>
      <c r="C326" s="70" t="e">
        <v>#N/A</v>
      </c>
      <c r="D326" s="70" t="e">
        <v>#N/A</v>
      </c>
      <c r="E326" s="86"/>
      <c r="F326" s="80"/>
      <c r="G326" s="80"/>
      <c r="H326" s="72"/>
      <c r="I326" s="71"/>
      <c r="J326" s="71"/>
      <c r="K326" s="71"/>
      <c r="L326" s="71"/>
      <c r="M326" s="71"/>
      <c r="N326" s="71"/>
      <c r="O326" s="69"/>
      <c r="P326" s="69"/>
      <c r="Q326" s="14" t="e">
        <v>#N/A</v>
      </c>
      <c r="R326" s="14" t="e">
        <v>#N/A</v>
      </c>
      <c r="S326" s="14"/>
      <c r="T326" s="73"/>
      <c r="U326" s="14"/>
      <c r="V326" s="14"/>
      <c r="W326" s="70"/>
      <c r="X326" s="69"/>
      <c r="Y326" s="60">
        <f ca="1">Table24[[#This Row],[End Date]]+2-TODAY()</f>
        <v>-46005</v>
      </c>
      <c r="Z326" s="14">
        <f>IF(ISBLANK(Table24[[#This Row],[Roster Received By]]),1,0)</f>
        <v>1</v>
      </c>
      <c r="AA326" s="14">
        <f ca="1">IF(Table24[[#This Row],[Start Date]]&gt;TODAY(),1,)</f>
        <v>0</v>
      </c>
    </row>
    <row r="327" spans="1:27" s="52" customFormat="1" x14ac:dyDescent="0.25">
      <c r="B327" s="88"/>
      <c r="C327" s="70" t="e">
        <v>#N/A</v>
      </c>
      <c r="D327" s="70" t="e">
        <v>#N/A</v>
      </c>
      <c r="E327" s="69"/>
      <c r="F327" s="80"/>
      <c r="G327" s="80"/>
      <c r="H327" s="72"/>
      <c r="I327" s="71"/>
      <c r="J327" s="71"/>
      <c r="K327" s="71"/>
      <c r="L327" s="71"/>
      <c r="M327" s="71"/>
      <c r="N327" s="71"/>
      <c r="O327" s="69"/>
      <c r="P327" s="69"/>
      <c r="Q327" s="14" t="e">
        <v>#N/A</v>
      </c>
      <c r="R327" s="14" t="e">
        <v>#N/A</v>
      </c>
      <c r="S327" s="14"/>
      <c r="T327" s="73"/>
      <c r="U327" s="14"/>
      <c r="V327" s="14"/>
      <c r="W327" s="14"/>
      <c r="X327" s="69"/>
      <c r="Y327" s="60">
        <f ca="1">Table24[[#This Row],[End Date]]+2-TODAY()</f>
        <v>-46005</v>
      </c>
      <c r="Z327" s="14">
        <f>IF(ISBLANK(Table24[[#This Row],[Roster Received By]]),1,0)</f>
        <v>1</v>
      </c>
      <c r="AA327" s="14">
        <f ca="1">IF(Table24[[#This Row],[Start Date]]&gt;TODAY(),1,)</f>
        <v>0</v>
      </c>
    </row>
    <row r="328" spans="1:27" s="52" customFormat="1" x14ac:dyDescent="0.25">
      <c r="B328" s="89"/>
      <c r="C328" s="70" t="e">
        <v>#N/A</v>
      </c>
      <c r="D328" s="70" t="e">
        <v>#N/A</v>
      </c>
      <c r="E328" s="86"/>
      <c r="F328" s="68"/>
      <c r="G328" s="68"/>
      <c r="H328" s="56"/>
      <c r="I328" s="71"/>
      <c r="J328" s="71"/>
      <c r="K328" s="71"/>
      <c r="L328" s="71"/>
      <c r="M328" s="71"/>
      <c r="N328" s="71"/>
      <c r="O328" s="69"/>
      <c r="P328" s="69"/>
      <c r="Q328" s="14" t="e">
        <v>#N/A</v>
      </c>
      <c r="R328" s="14" t="e">
        <v>#N/A</v>
      </c>
      <c r="S328" s="14"/>
      <c r="T328" s="73"/>
      <c r="U328" s="14"/>
      <c r="V328" s="14"/>
      <c r="W328" s="14"/>
      <c r="X328" s="69"/>
      <c r="Y328" s="60">
        <f ca="1">Table24[[#This Row],[End Date]]+2-TODAY()</f>
        <v>-46005</v>
      </c>
      <c r="Z328" s="14">
        <f>IF(ISBLANK(Table24[[#This Row],[Roster Received By]]),1,0)</f>
        <v>1</v>
      </c>
      <c r="AA328" s="14">
        <f ca="1">IF(Table24[[#This Row],[Start Date]]&gt;TODAY(),1,)</f>
        <v>0</v>
      </c>
    </row>
    <row r="329" spans="1:27" s="52" customFormat="1" x14ac:dyDescent="0.25">
      <c r="A329" s="69"/>
      <c r="B329" s="88"/>
      <c r="C329" s="70" t="e">
        <v>#N/A</v>
      </c>
      <c r="D329" s="70" t="e">
        <v>#N/A</v>
      </c>
      <c r="E329" s="86"/>
      <c r="F329" s="80"/>
      <c r="G329" s="80"/>
      <c r="H329" s="72"/>
      <c r="I329" s="71"/>
      <c r="J329" s="71"/>
      <c r="K329" s="71"/>
      <c r="L329" s="71"/>
      <c r="M329" s="71"/>
      <c r="N329" s="71"/>
      <c r="O329" s="69"/>
      <c r="P329" s="69"/>
      <c r="Q329" s="14" t="e">
        <v>#N/A</v>
      </c>
      <c r="R329" s="14" t="e">
        <v>#N/A</v>
      </c>
      <c r="S329" s="14"/>
      <c r="T329" s="73"/>
      <c r="U329" s="14"/>
      <c r="V329" s="14"/>
      <c r="W329" s="14"/>
      <c r="X329" s="69"/>
      <c r="Y329" s="60">
        <f ca="1">Table24[[#This Row],[End Date]]+2-TODAY()</f>
        <v>-46005</v>
      </c>
      <c r="Z329" s="14">
        <f>IF(ISBLANK(Table24[[#This Row],[Roster Received By]]),1,0)</f>
        <v>1</v>
      </c>
      <c r="AA329" s="14">
        <f ca="1">IF(Table24[[#This Row],[Start Date]]&gt;TODAY(),1,)</f>
        <v>0</v>
      </c>
    </row>
    <row r="330" spans="1:27" s="52" customFormat="1" x14ac:dyDescent="0.25">
      <c r="B330" s="88"/>
      <c r="C330" s="70" t="e">
        <v>#N/A</v>
      </c>
      <c r="D330" s="70" t="e">
        <v>#N/A</v>
      </c>
      <c r="E330" s="88"/>
      <c r="F330" s="80"/>
      <c r="G330" s="80"/>
      <c r="H330" s="72"/>
      <c r="I330" s="71"/>
      <c r="J330" s="71"/>
      <c r="K330" s="71"/>
      <c r="L330" s="71"/>
      <c r="M330" s="71"/>
      <c r="N330" s="71"/>
      <c r="O330" s="69"/>
      <c r="P330" s="69"/>
      <c r="Q330" s="14" t="e">
        <v>#N/A</v>
      </c>
      <c r="R330" s="14" t="e">
        <v>#N/A</v>
      </c>
      <c r="S330" s="14"/>
      <c r="T330" s="73"/>
      <c r="U330" s="14"/>
      <c r="V330" s="14"/>
      <c r="W330" s="14"/>
      <c r="X330" s="69"/>
      <c r="Y330" s="60">
        <f ca="1">Table24[[#This Row],[End Date]]+2-TODAY()</f>
        <v>-46005</v>
      </c>
      <c r="Z330" s="14">
        <f>IF(ISBLANK(Table24[[#This Row],[Roster Received By]]),1,0)</f>
        <v>1</v>
      </c>
      <c r="AA330" s="14">
        <f ca="1">IF(Table24[[#This Row],[Start Date]]&gt;TODAY(),1,)</f>
        <v>0</v>
      </c>
    </row>
    <row r="331" spans="1:27" s="52" customFormat="1" x14ac:dyDescent="0.25">
      <c r="B331" s="88"/>
      <c r="C331" s="70" t="e">
        <v>#N/A</v>
      </c>
      <c r="D331" s="70" t="e">
        <v>#N/A</v>
      </c>
      <c r="E331" s="88"/>
      <c r="F331" s="80"/>
      <c r="G331" s="80"/>
      <c r="H331" s="72"/>
      <c r="I331" s="71"/>
      <c r="J331" s="71"/>
      <c r="K331" s="71"/>
      <c r="L331" s="71"/>
      <c r="M331" s="71"/>
      <c r="N331" s="71"/>
      <c r="O331" s="69"/>
      <c r="P331" s="69"/>
      <c r="Q331" s="14" t="e">
        <v>#N/A</v>
      </c>
      <c r="R331" s="14" t="e">
        <v>#N/A</v>
      </c>
      <c r="S331" s="14"/>
      <c r="T331" s="73"/>
      <c r="U331" s="14"/>
      <c r="V331" s="14"/>
      <c r="W331" s="14"/>
      <c r="X331" s="69"/>
      <c r="Y331" s="60">
        <f ca="1">Table24[[#This Row],[End Date]]+2-TODAY()</f>
        <v>-46005</v>
      </c>
      <c r="Z331" s="14">
        <f>IF(ISBLANK(Table24[[#This Row],[Roster Received By]]),1,0)</f>
        <v>1</v>
      </c>
      <c r="AA331" s="14">
        <f ca="1">IF(Table24[[#This Row],[Start Date]]&gt;TODAY(),1,)</f>
        <v>0</v>
      </c>
    </row>
    <row r="332" spans="1:27" s="52" customFormat="1" x14ac:dyDescent="0.25">
      <c r="B332" s="88"/>
      <c r="C332" s="70" t="e">
        <v>#N/A</v>
      </c>
      <c r="D332" s="70" t="e">
        <v>#N/A</v>
      </c>
      <c r="E332" s="88"/>
      <c r="F332" s="80"/>
      <c r="G332" s="80"/>
      <c r="H332" s="72"/>
      <c r="I332" s="71"/>
      <c r="J332" s="71"/>
      <c r="K332" s="71"/>
      <c r="L332" s="71"/>
      <c r="M332" s="71"/>
      <c r="N332" s="71"/>
      <c r="O332" s="69"/>
      <c r="P332" s="69"/>
      <c r="Q332" s="14" t="e">
        <v>#N/A</v>
      </c>
      <c r="R332" s="14" t="e">
        <v>#N/A</v>
      </c>
      <c r="S332" s="14"/>
      <c r="T332" s="73"/>
      <c r="U332" s="14"/>
      <c r="V332" s="14"/>
      <c r="W332" s="14"/>
      <c r="X332" s="69"/>
      <c r="Y332" s="60">
        <f ca="1">Table24[[#This Row],[End Date]]+2-TODAY()</f>
        <v>-46005</v>
      </c>
      <c r="Z332" s="14">
        <f>IF(ISBLANK(Table24[[#This Row],[Roster Received By]]),1,0)</f>
        <v>1</v>
      </c>
      <c r="AA332" s="14">
        <f ca="1">IF(Table24[[#This Row],[Start Date]]&gt;TODAY(),1,)</f>
        <v>0</v>
      </c>
    </row>
    <row r="333" spans="1:27" s="76" customFormat="1" ht="15.75" customHeight="1" x14ac:dyDescent="0.25">
      <c r="A333" s="52"/>
      <c r="B333" s="88"/>
      <c r="C333" s="70" t="e">
        <v>#N/A</v>
      </c>
      <c r="D333" s="70" t="e">
        <v>#N/A</v>
      </c>
      <c r="E333" s="99"/>
      <c r="F333" s="80"/>
      <c r="G333" s="80"/>
      <c r="H333" s="75"/>
      <c r="I333" s="75"/>
      <c r="J333" s="75"/>
      <c r="K333" s="75"/>
      <c r="L333" s="75"/>
      <c r="M333" s="75"/>
      <c r="N333" s="72"/>
      <c r="O333" s="69"/>
      <c r="P333" s="69"/>
      <c r="Q333" s="14" t="e">
        <v>#N/A</v>
      </c>
      <c r="R333" s="14" t="e">
        <v>#N/A</v>
      </c>
      <c r="S333" s="14"/>
      <c r="T333" s="73"/>
      <c r="U333" s="14"/>
      <c r="V333" s="14"/>
      <c r="W333" s="14"/>
      <c r="X333" s="69"/>
      <c r="Y333" s="60">
        <f ca="1">Table24[[#This Row],[End Date]]+2-TODAY()</f>
        <v>-46005</v>
      </c>
      <c r="Z333" s="14">
        <f>IF(ISBLANK(Table24[[#This Row],[Roster Received By]]),1,0)</f>
        <v>1</v>
      </c>
      <c r="AA333" s="14">
        <f ca="1">IF(Table24[[#This Row],[Start Date]]&gt;TODAY(),1,)</f>
        <v>0</v>
      </c>
    </row>
    <row r="334" spans="1:27" s="76" customFormat="1" ht="15.75" customHeight="1" x14ac:dyDescent="0.25">
      <c r="A334" s="69"/>
      <c r="B334" s="88"/>
      <c r="C334" s="70" t="e">
        <v>#N/A</v>
      </c>
      <c r="D334" s="70" t="e">
        <v>#N/A</v>
      </c>
      <c r="E334" s="99"/>
      <c r="F334" s="80"/>
      <c r="G334" s="80"/>
      <c r="H334" s="75"/>
      <c r="I334" s="75"/>
      <c r="J334" s="72"/>
      <c r="K334" s="72"/>
      <c r="L334" s="72"/>
      <c r="M334" s="72"/>
      <c r="N334" s="72"/>
      <c r="O334" s="69"/>
      <c r="P334" s="69"/>
      <c r="Q334" s="14" t="e">
        <v>#N/A</v>
      </c>
      <c r="R334" s="14" t="e">
        <v>#N/A</v>
      </c>
      <c r="S334" s="14"/>
      <c r="T334" s="73"/>
      <c r="U334" s="14"/>
      <c r="V334" s="14"/>
      <c r="W334" s="14"/>
      <c r="X334" s="69"/>
      <c r="Y334" s="60">
        <f ca="1">Table24[[#This Row],[End Date]]+2-TODAY()</f>
        <v>-46005</v>
      </c>
      <c r="Z334" s="14">
        <f>IF(ISBLANK(Table24[[#This Row],[Roster Received By]]),1,0)</f>
        <v>1</v>
      </c>
      <c r="AA334" s="14">
        <f ca="1">IF(Table24[[#This Row],[Start Date]]&gt;TODAY(),1,)</f>
        <v>0</v>
      </c>
    </row>
    <row r="335" spans="1:27" s="76" customFormat="1" ht="15.75" customHeight="1" x14ac:dyDescent="0.25">
      <c r="A335" s="52"/>
      <c r="B335" s="88"/>
      <c r="C335" s="70" t="e">
        <v>#N/A</v>
      </c>
      <c r="D335" s="70" t="e">
        <v>#N/A</v>
      </c>
      <c r="E335" s="88"/>
      <c r="F335" s="80"/>
      <c r="G335" s="80"/>
      <c r="H335" s="72"/>
      <c r="I335" s="71"/>
      <c r="J335" s="71"/>
      <c r="K335" s="71"/>
      <c r="L335" s="71"/>
      <c r="M335" s="71"/>
      <c r="N335" s="71"/>
      <c r="O335" s="69"/>
      <c r="P335" s="69"/>
      <c r="Q335" s="14" t="e">
        <v>#N/A</v>
      </c>
      <c r="R335" s="14" t="e">
        <v>#N/A</v>
      </c>
      <c r="S335" s="14"/>
      <c r="T335" s="73"/>
      <c r="U335" s="14"/>
      <c r="V335" s="14"/>
      <c r="W335" s="77"/>
      <c r="X335" s="69"/>
      <c r="Y335" s="60">
        <f ca="1">Table24[[#This Row],[End Date]]+2-TODAY()</f>
        <v>-46005</v>
      </c>
      <c r="Z335" s="14">
        <f>IF(ISBLANK(Table24[[#This Row],[Roster Received By]]),1,0)</f>
        <v>1</v>
      </c>
      <c r="AA335" s="14">
        <f ca="1">IF(Table24[[#This Row],[Start Date]]&gt;TODAY(),1,)</f>
        <v>0</v>
      </c>
    </row>
    <row r="336" spans="1:27" s="76" customFormat="1" ht="15.75" customHeight="1" x14ac:dyDescent="0.25">
      <c r="A336" s="52"/>
      <c r="B336" s="88"/>
      <c r="C336" s="70" t="e">
        <v>#N/A</v>
      </c>
      <c r="D336" s="70" t="e">
        <v>#N/A</v>
      </c>
      <c r="E336" s="88"/>
      <c r="F336" s="80"/>
      <c r="G336" s="80"/>
      <c r="H336" s="75"/>
      <c r="I336" s="75"/>
      <c r="J336" s="75"/>
      <c r="K336" s="75"/>
      <c r="L336" s="75"/>
      <c r="M336" s="75"/>
      <c r="N336" s="72"/>
      <c r="O336" s="69"/>
      <c r="P336" s="69"/>
      <c r="Q336" s="14" t="e">
        <v>#N/A</v>
      </c>
      <c r="R336" s="14" t="e">
        <v>#N/A</v>
      </c>
      <c r="S336" s="14"/>
      <c r="T336" s="73"/>
      <c r="U336" s="14"/>
      <c r="V336" s="14"/>
      <c r="W336" s="14"/>
      <c r="X336" s="69"/>
      <c r="Y336" s="60">
        <f ca="1">Table24[[#This Row],[End Date]]+2-TODAY()</f>
        <v>-46005</v>
      </c>
      <c r="Z336" s="14">
        <f>IF(ISBLANK(Table24[[#This Row],[Roster Received By]]),1,0)</f>
        <v>1</v>
      </c>
      <c r="AA336" s="14">
        <f ca="1">IF(Table24[[#This Row],[Start Date]]&gt;TODAY(),1,)</f>
        <v>0</v>
      </c>
    </row>
    <row r="337" spans="1:27" s="76" customFormat="1" ht="15.75" customHeight="1" x14ac:dyDescent="0.25">
      <c r="A337" s="52"/>
      <c r="B337" s="86"/>
      <c r="C337" s="70" t="e">
        <v>#N/A</v>
      </c>
      <c r="D337" s="70" t="e">
        <v>#N/A</v>
      </c>
      <c r="E337" s="86"/>
      <c r="F337" s="80"/>
      <c r="G337" s="80"/>
      <c r="H337" s="78"/>
      <c r="I337" s="78"/>
      <c r="J337" s="72"/>
      <c r="K337" s="72"/>
      <c r="L337" s="72"/>
      <c r="M337" s="72"/>
      <c r="N337" s="72"/>
      <c r="O337" s="69"/>
      <c r="P337" s="69"/>
      <c r="Q337" s="14" t="e">
        <v>#N/A</v>
      </c>
      <c r="R337" s="14" t="e">
        <v>#N/A</v>
      </c>
      <c r="S337" s="14"/>
      <c r="T337" s="73"/>
      <c r="U337" s="14"/>
      <c r="V337" s="14"/>
      <c r="W337" s="70"/>
      <c r="X337" s="69"/>
      <c r="Y337" s="60">
        <f ca="1">Table24[[#This Row],[End Date]]+2-TODAY()</f>
        <v>-46005</v>
      </c>
      <c r="Z337" s="14">
        <f>IF(ISBLANK(Table24[[#This Row],[Roster Received By]]),1,0)</f>
        <v>1</v>
      </c>
      <c r="AA337" s="14">
        <f ca="1">IF(Table24[[#This Row],[Start Date]]&gt;TODAY(),1,)</f>
        <v>0</v>
      </c>
    </row>
    <row r="338" spans="1:27" s="76" customFormat="1" ht="15.75" customHeight="1" x14ac:dyDescent="0.25">
      <c r="A338" s="52"/>
      <c r="B338" s="86"/>
      <c r="C338" s="70" t="e">
        <v>#N/A</v>
      </c>
      <c r="D338" s="70" t="e">
        <v>#N/A</v>
      </c>
      <c r="E338" s="69"/>
      <c r="F338" s="80"/>
      <c r="G338" s="80"/>
      <c r="H338" s="78"/>
      <c r="I338" s="78"/>
      <c r="J338" s="72"/>
      <c r="K338" s="72"/>
      <c r="L338" s="72"/>
      <c r="M338" s="72"/>
      <c r="N338" s="72"/>
      <c r="O338" s="69"/>
      <c r="P338" s="69"/>
      <c r="Q338" s="14" t="e">
        <v>#N/A</v>
      </c>
      <c r="R338" s="14" t="e">
        <v>#N/A</v>
      </c>
      <c r="S338" s="14"/>
      <c r="T338" s="73"/>
      <c r="U338" s="14"/>
      <c r="V338" s="14"/>
      <c r="W338" s="14"/>
      <c r="X338" s="69"/>
      <c r="Y338" s="60">
        <f ca="1">Table24[[#This Row],[End Date]]+2-TODAY()</f>
        <v>-46005</v>
      </c>
      <c r="Z338" s="14">
        <f>IF(ISBLANK(Table24[[#This Row],[Roster Received By]]),1,0)</f>
        <v>1</v>
      </c>
      <c r="AA338" s="14">
        <f ca="1">IF(Table24[[#This Row],[Start Date]]&gt;TODAY(),1,)</f>
        <v>0</v>
      </c>
    </row>
    <row r="339" spans="1:27" s="76" customFormat="1" ht="15.75" customHeight="1" x14ac:dyDescent="0.25">
      <c r="A339" s="52"/>
      <c r="B339" s="88"/>
      <c r="C339" s="70" t="e">
        <v>#N/A</v>
      </c>
      <c r="D339" s="70" t="e">
        <v>#N/A</v>
      </c>
      <c r="E339" s="86"/>
      <c r="F339" s="80"/>
      <c r="G339" s="80"/>
      <c r="H339" s="72"/>
      <c r="I339" s="71"/>
      <c r="J339" s="71"/>
      <c r="K339" s="71"/>
      <c r="L339" s="71"/>
      <c r="M339" s="71"/>
      <c r="N339" s="71"/>
      <c r="O339" s="69"/>
      <c r="P339" s="69"/>
      <c r="Q339" s="14" t="e">
        <v>#N/A</v>
      </c>
      <c r="R339" s="14" t="e">
        <v>#N/A</v>
      </c>
      <c r="S339" s="14"/>
      <c r="T339" s="73"/>
      <c r="U339" s="14"/>
      <c r="V339" s="14"/>
      <c r="W339" s="14"/>
      <c r="X339" s="69"/>
      <c r="Y339" s="60">
        <f ca="1">Table24[[#This Row],[End Date]]+2-TODAY()</f>
        <v>-46005</v>
      </c>
      <c r="Z339" s="14">
        <f>IF(ISBLANK(Table24[[#This Row],[Roster Received By]]),1,0)</f>
        <v>1</v>
      </c>
      <c r="AA339" s="14">
        <f ca="1">IF(Table24[[#This Row],[Start Date]]&gt;TODAY(),1,)</f>
        <v>0</v>
      </c>
    </row>
    <row r="340" spans="1:27" s="76" customFormat="1" ht="15.75" customHeight="1" x14ac:dyDescent="0.25">
      <c r="A340" s="52"/>
      <c r="B340" s="86"/>
      <c r="C340" s="70" t="e">
        <v>#N/A</v>
      </c>
      <c r="D340" s="70" t="e">
        <v>#N/A</v>
      </c>
      <c r="E340" s="86"/>
      <c r="F340" s="90"/>
      <c r="G340" s="91"/>
      <c r="H340" s="78"/>
      <c r="I340" s="78"/>
      <c r="J340" s="72"/>
      <c r="K340" s="72"/>
      <c r="L340" s="72"/>
      <c r="M340" s="72"/>
      <c r="N340" s="72"/>
      <c r="O340" s="69"/>
      <c r="P340" s="69"/>
      <c r="Q340" s="14" t="e">
        <v>#N/A</v>
      </c>
      <c r="R340" s="14" t="e">
        <v>#N/A</v>
      </c>
      <c r="S340" s="14"/>
      <c r="T340" s="73"/>
      <c r="U340" s="14"/>
      <c r="V340" s="14"/>
      <c r="W340" s="14"/>
      <c r="X340" s="69"/>
      <c r="Y340" s="60">
        <f ca="1">Table24[[#This Row],[End Date]]+2-TODAY()</f>
        <v>-46005</v>
      </c>
      <c r="Z340" s="14">
        <f>IF(ISBLANK(Table24[[#This Row],[Roster Received By]]),1,0)</f>
        <v>1</v>
      </c>
      <c r="AA340" s="14">
        <f ca="1">IF(Table24[[#This Row],[Start Date]]&gt;TODAY(),1,)</f>
        <v>0</v>
      </c>
    </row>
    <row r="341" spans="1:27" s="76" customFormat="1" ht="15.75" customHeight="1" x14ac:dyDescent="0.25">
      <c r="A341" s="69"/>
      <c r="B341" s="86"/>
      <c r="C341" s="70" t="e">
        <v>#N/A</v>
      </c>
      <c r="D341" s="70" t="e">
        <v>#N/A</v>
      </c>
      <c r="E341" s="86"/>
      <c r="F341" s="102"/>
      <c r="G341" s="102"/>
      <c r="H341" s="78"/>
      <c r="I341" s="78"/>
      <c r="J341" s="72"/>
      <c r="K341" s="72"/>
      <c r="L341" s="72"/>
      <c r="M341" s="72"/>
      <c r="N341" s="72"/>
      <c r="O341" s="69"/>
      <c r="P341" s="69"/>
      <c r="Q341" s="14" t="e">
        <v>#N/A</v>
      </c>
      <c r="R341" s="14" t="e">
        <v>#N/A</v>
      </c>
      <c r="S341" s="14"/>
      <c r="T341" s="73"/>
      <c r="U341" s="14"/>
      <c r="V341" s="14"/>
      <c r="W341" s="14"/>
      <c r="X341" s="69"/>
      <c r="Y341" s="60">
        <f ca="1">Table24[[#This Row],[End Date]]+2-TODAY()</f>
        <v>-46005</v>
      </c>
      <c r="Z341" s="14">
        <f>IF(ISBLANK(Table24[[#This Row],[Roster Received By]]),1,0)</f>
        <v>1</v>
      </c>
      <c r="AA341" s="14">
        <f ca="1">IF(Table24[[#This Row],[Start Date]]&gt;TODAY(),1,)</f>
        <v>0</v>
      </c>
    </row>
    <row r="342" spans="1:27" s="76" customFormat="1" ht="15.75" customHeight="1" x14ac:dyDescent="0.25">
      <c r="A342" s="52"/>
      <c r="B342" s="86"/>
      <c r="C342" s="70" t="e">
        <v>#N/A</v>
      </c>
      <c r="D342" s="70" t="e">
        <v>#N/A</v>
      </c>
      <c r="E342" s="55"/>
      <c r="F342" s="103"/>
      <c r="G342" s="103"/>
      <c r="H342" s="71"/>
      <c r="I342" s="71"/>
      <c r="J342" s="72"/>
      <c r="K342" s="72"/>
      <c r="L342" s="72"/>
      <c r="M342" s="72"/>
      <c r="N342" s="72"/>
      <c r="O342" s="69"/>
      <c r="P342" s="69"/>
      <c r="Q342" s="14" t="e">
        <v>#N/A</v>
      </c>
      <c r="R342" s="14" t="e">
        <v>#N/A</v>
      </c>
      <c r="S342" s="14"/>
      <c r="T342" s="73"/>
      <c r="U342" s="14"/>
      <c r="V342" s="14"/>
      <c r="W342" s="14"/>
      <c r="X342" s="69"/>
      <c r="Y342" s="60">
        <f ca="1">Table24[[#This Row],[End Date]]+2-TODAY()</f>
        <v>-46005</v>
      </c>
      <c r="Z342" s="14">
        <f>IF(ISBLANK(Table24[[#This Row],[Roster Received By]]),1,0)</f>
        <v>1</v>
      </c>
      <c r="AA342" s="14">
        <f ca="1">IF(Table24[[#This Row],[Start Date]]&gt;TODAY(),1,)</f>
        <v>0</v>
      </c>
    </row>
    <row r="343" spans="1:27" s="76" customFormat="1" ht="15.75" customHeight="1" x14ac:dyDescent="0.25">
      <c r="A343" s="69"/>
      <c r="B343" s="88"/>
      <c r="C343" s="70" t="e">
        <v>#N/A</v>
      </c>
      <c r="D343" s="70" t="e">
        <v>#N/A</v>
      </c>
      <c r="E343" s="86"/>
      <c r="F343" s="102"/>
      <c r="G343" s="102"/>
      <c r="H343" s="72"/>
      <c r="I343" s="71"/>
      <c r="J343" s="71"/>
      <c r="K343" s="71"/>
      <c r="L343" s="71"/>
      <c r="M343" s="71"/>
      <c r="N343" s="71"/>
      <c r="O343" s="69"/>
      <c r="P343" s="69"/>
      <c r="Q343" s="14" t="e">
        <v>#N/A</v>
      </c>
      <c r="R343" s="14" t="e">
        <v>#N/A</v>
      </c>
      <c r="S343" s="14"/>
      <c r="T343" s="73"/>
      <c r="U343" s="14"/>
      <c r="V343" s="14"/>
      <c r="W343" s="14"/>
      <c r="X343" s="69"/>
      <c r="Y343" s="60">
        <f ca="1">Table24[[#This Row],[End Date]]+2-TODAY()</f>
        <v>-46005</v>
      </c>
      <c r="Z343" s="14">
        <f>IF(ISBLANK(Table24[[#This Row],[Roster Received By]]),1,0)</f>
        <v>1</v>
      </c>
      <c r="AA343" s="14">
        <f ca="1">IF(Table24[[#This Row],[Start Date]]&gt;TODAY(),1,)</f>
        <v>0</v>
      </c>
    </row>
    <row r="344" spans="1:27" s="76" customFormat="1" ht="15.75" customHeight="1" x14ac:dyDescent="0.25">
      <c r="A344" s="69"/>
      <c r="B344" s="86"/>
      <c r="C344" s="70" t="e">
        <v>#N/A</v>
      </c>
      <c r="D344" s="70" t="e">
        <v>#N/A</v>
      </c>
      <c r="E344" s="86"/>
      <c r="F344" s="102"/>
      <c r="G344" s="102"/>
      <c r="H344" s="75"/>
      <c r="I344" s="75"/>
      <c r="J344" s="72"/>
      <c r="K344" s="72"/>
      <c r="L344" s="72"/>
      <c r="M344" s="72"/>
      <c r="N344" s="72"/>
      <c r="O344" s="69"/>
      <c r="P344" s="69"/>
      <c r="Q344" s="14" t="e">
        <v>#N/A</v>
      </c>
      <c r="R344" s="14" t="e">
        <v>#N/A</v>
      </c>
      <c r="S344" s="14"/>
      <c r="T344" s="73"/>
      <c r="U344" s="14"/>
      <c r="V344" s="14"/>
      <c r="W344" s="14"/>
      <c r="X344" s="69"/>
      <c r="Y344" s="60">
        <f ca="1">Table24[[#This Row],[End Date]]+2-TODAY()</f>
        <v>-46005</v>
      </c>
      <c r="Z344" s="14">
        <f>IF(ISBLANK(Table24[[#This Row],[Roster Received By]]),1,0)</f>
        <v>1</v>
      </c>
      <c r="AA344" s="14">
        <f ca="1">IF(Table24[[#This Row],[Start Date]]&gt;TODAY(),1,)</f>
        <v>0</v>
      </c>
    </row>
    <row r="345" spans="1:27" s="76" customFormat="1" ht="15.75" customHeight="1" x14ac:dyDescent="0.25">
      <c r="A345" s="52"/>
      <c r="B345" s="86"/>
      <c r="C345" s="70" t="e">
        <v>#N/A</v>
      </c>
      <c r="D345" s="70" t="e">
        <v>#N/A</v>
      </c>
      <c r="E345" s="55"/>
      <c r="F345" s="102"/>
      <c r="G345" s="102"/>
      <c r="H345" s="75"/>
      <c r="I345" s="75"/>
      <c r="J345" s="72"/>
      <c r="K345" s="72"/>
      <c r="L345" s="72"/>
      <c r="M345" s="72"/>
      <c r="N345" s="72"/>
      <c r="O345" s="69"/>
      <c r="P345" s="69"/>
      <c r="Q345" s="14" t="e">
        <v>#N/A</v>
      </c>
      <c r="R345" s="14" t="e">
        <v>#N/A</v>
      </c>
      <c r="S345" s="14"/>
      <c r="T345" s="73"/>
      <c r="U345" s="14"/>
      <c r="V345" s="14"/>
      <c r="W345" s="14"/>
      <c r="X345" s="69"/>
      <c r="Y345" s="60">
        <f ca="1">Table24[[#This Row],[End Date]]+2-TODAY()</f>
        <v>-46005</v>
      </c>
      <c r="Z345" s="14">
        <f>IF(ISBLANK(Table24[[#This Row],[Roster Received By]]),1,0)</f>
        <v>1</v>
      </c>
      <c r="AA345" s="14">
        <f ca="1">IF(Table24[[#This Row],[Start Date]]&gt;TODAY(),1,)</f>
        <v>0</v>
      </c>
    </row>
    <row r="346" spans="1:27" s="76" customFormat="1" ht="15.75" customHeight="1" x14ac:dyDescent="0.25">
      <c r="A346" s="52"/>
      <c r="B346" s="86"/>
      <c r="C346" s="70" t="e">
        <v>#N/A</v>
      </c>
      <c r="D346" s="70" t="e">
        <v>#N/A</v>
      </c>
      <c r="E346" s="55"/>
      <c r="F346" s="68"/>
      <c r="G346" s="68"/>
      <c r="H346" s="71"/>
      <c r="I346" s="71"/>
      <c r="J346" s="72"/>
      <c r="K346" s="72"/>
      <c r="L346" s="72"/>
      <c r="M346" s="72"/>
      <c r="N346" s="72"/>
      <c r="O346" s="69"/>
      <c r="P346" s="69"/>
      <c r="Q346" s="14" t="e">
        <v>#N/A</v>
      </c>
      <c r="R346" s="14" t="e">
        <v>#N/A</v>
      </c>
      <c r="S346" s="14"/>
      <c r="T346" s="73"/>
      <c r="U346" s="14"/>
      <c r="V346" s="14"/>
      <c r="W346" s="14"/>
      <c r="X346" s="69"/>
      <c r="Y346" s="60">
        <f ca="1">Table24[[#This Row],[End Date]]+2-TODAY()</f>
        <v>-46005</v>
      </c>
      <c r="Z346" s="14">
        <f>IF(ISBLANK(Table24[[#This Row],[Roster Received By]]),1,0)</f>
        <v>1</v>
      </c>
      <c r="AA346" s="14">
        <f ca="1">IF(Table24[[#This Row],[Start Date]]&gt;TODAY(),1,)</f>
        <v>0</v>
      </c>
    </row>
    <row r="347" spans="1:27" s="76" customFormat="1" ht="15.75" customHeight="1" x14ac:dyDescent="0.25">
      <c r="A347" s="52"/>
      <c r="B347" s="86"/>
      <c r="C347" s="70" t="e">
        <v>#N/A</v>
      </c>
      <c r="D347" s="70" t="e">
        <v>#N/A</v>
      </c>
      <c r="E347" s="86"/>
      <c r="F347" s="80"/>
      <c r="G347" s="80"/>
      <c r="H347" s="72"/>
      <c r="I347" s="71"/>
      <c r="J347" s="71"/>
      <c r="K347" s="71"/>
      <c r="L347" s="71"/>
      <c r="M347" s="71"/>
      <c r="N347" s="71"/>
      <c r="O347" s="69"/>
      <c r="P347" s="69"/>
      <c r="Q347" s="14" t="e">
        <v>#N/A</v>
      </c>
      <c r="R347" s="14" t="e">
        <v>#N/A</v>
      </c>
      <c r="S347" s="14"/>
      <c r="T347" s="73"/>
      <c r="U347" s="14"/>
      <c r="V347" s="14"/>
      <c r="W347" s="14"/>
      <c r="X347" s="69"/>
      <c r="Y347" s="60">
        <f ca="1">Table24[[#This Row],[End Date]]+2-TODAY()</f>
        <v>-46005</v>
      </c>
      <c r="Z347" s="14">
        <f>IF(ISBLANK(Table24[[#This Row],[Roster Received By]]),1,0)</f>
        <v>1</v>
      </c>
      <c r="AA347" s="14">
        <f ca="1">IF(Table24[[#This Row],[Start Date]]&gt;TODAY(),1,)</f>
        <v>0</v>
      </c>
    </row>
    <row r="348" spans="1:27" s="70" customFormat="1" x14ac:dyDescent="0.25">
      <c r="A348" s="52"/>
      <c r="B348" s="88"/>
      <c r="C348" s="70" t="e">
        <v>#N/A</v>
      </c>
      <c r="D348" s="70" t="e">
        <v>#N/A</v>
      </c>
      <c r="E348" s="86"/>
      <c r="F348" s="80"/>
      <c r="G348" s="80"/>
      <c r="H348" s="72"/>
      <c r="I348" s="71"/>
      <c r="J348" s="71"/>
      <c r="K348" s="71"/>
      <c r="L348" s="71"/>
      <c r="M348" s="71"/>
      <c r="N348" s="71"/>
      <c r="O348" s="69"/>
      <c r="P348" s="69"/>
      <c r="Q348" s="14" t="e">
        <v>#N/A</v>
      </c>
      <c r="R348" s="14" t="e">
        <v>#N/A</v>
      </c>
      <c r="S348" s="14"/>
      <c r="T348" s="73"/>
      <c r="U348" s="14"/>
      <c r="V348" s="14"/>
      <c r="W348" s="14"/>
      <c r="X348" s="69"/>
      <c r="Y348" s="60">
        <f ca="1">Table24[[#This Row],[End Date]]+2-TODAY()</f>
        <v>-46005</v>
      </c>
      <c r="Z348" s="14">
        <f>IF(ISBLANK(Table24[[#This Row],[Roster Received By]]),1,0)</f>
        <v>1</v>
      </c>
      <c r="AA348" s="14">
        <f ca="1">IF(Table24[[#This Row],[Start Date]]&gt;TODAY(),1,)</f>
        <v>0</v>
      </c>
    </row>
    <row r="349" spans="1:27" s="52" customFormat="1" x14ac:dyDescent="0.25">
      <c r="B349" s="88"/>
      <c r="C349" s="70" t="e">
        <v>#N/A</v>
      </c>
      <c r="D349" s="70" t="e">
        <v>#N/A</v>
      </c>
      <c r="E349" s="55"/>
      <c r="F349" s="68"/>
      <c r="G349" s="68"/>
      <c r="H349" s="71"/>
      <c r="I349" s="71"/>
      <c r="J349" s="72"/>
      <c r="K349" s="72"/>
      <c r="L349" s="72"/>
      <c r="M349" s="72"/>
      <c r="N349" s="72"/>
      <c r="O349" s="69"/>
      <c r="P349" s="69"/>
      <c r="Q349" s="14" t="e">
        <v>#N/A</v>
      </c>
      <c r="R349" s="14" t="e">
        <v>#N/A</v>
      </c>
      <c r="S349" s="14"/>
      <c r="T349" s="73"/>
      <c r="U349" s="14"/>
      <c r="V349" s="14"/>
      <c r="W349" s="70"/>
      <c r="X349" s="69"/>
      <c r="Y349" s="79">
        <f ca="1">Table24[[#This Row],[End Date]]+2-TODAY()</f>
        <v>-46005</v>
      </c>
      <c r="Z349" s="14">
        <f>IF(ISBLANK(Table24[[#This Row],[Roster Received By]]),1,0)</f>
        <v>1</v>
      </c>
      <c r="AA349" s="70">
        <f ca="1">IF(Table24[[#This Row],[Start Date]]&gt;TODAY(),1,)</f>
        <v>0</v>
      </c>
    </row>
    <row r="350" spans="1:27" s="52" customFormat="1" x14ac:dyDescent="0.25">
      <c r="B350" s="86"/>
      <c r="C350" s="70" t="e">
        <v>#N/A</v>
      </c>
      <c r="D350" s="70" t="e">
        <v>#N/A</v>
      </c>
      <c r="E350" s="98"/>
      <c r="F350" s="101"/>
      <c r="G350" s="101"/>
      <c r="H350" s="138"/>
      <c r="I350" s="71"/>
      <c r="J350" s="71"/>
      <c r="K350" s="71"/>
      <c r="L350" s="71"/>
      <c r="M350" s="71"/>
      <c r="N350" s="71"/>
      <c r="O350" s="69"/>
      <c r="P350" s="69"/>
      <c r="Q350" s="14" t="e">
        <v>#N/A</v>
      </c>
      <c r="R350" s="14" t="e">
        <v>#N/A</v>
      </c>
      <c r="S350" s="14"/>
      <c r="T350" s="73"/>
      <c r="U350" s="14"/>
      <c r="V350" s="14"/>
      <c r="W350" s="70"/>
      <c r="X350" s="69"/>
      <c r="Y350" s="79">
        <f ca="1">Table24[[#This Row],[End Date]]+2-TODAY()</f>
        <v>-46005</v>
      </c>
      <c r="Z350" s="14">
        <f>IF(ISBLANK(Table24[[#This Row],[Roster Received By]]),1,0)</f>
        <v>1</v>
      </c>
      <c r="AA350" s="70">
        <f ca="1">IF(Table24[[#This Row],[Start Date]]&gt;TODAY(),1,)</f>
        <v>0</v>
      </c>
    </row>
    <row r="351" spans="1:27" s="52" customFormat="1" x14ac:dyDescent="0.25">
      <c r="B351" s="86"/>
      <c r="C351" s="70" t="e">
        <v>#N/A</v>
      </c>
      <c r="D351" s="70" t="e">
        <v>#N/A</v>
      </c>
      <c r="E351" s="86"/>
      <c r="F351" s="80"/>
      <c r="G351" s="80"/>
      <c r="H351" s="72"/>
      <c r="I351" s="71"/>
      <c r="J351" s="71"/>
      <c r="K351" s="71"/>
      <c r="L351" s="71"/>
      <c r="M351" s="71"/>
      <c r="N351" s="71"/>
      <c r="O351" s="69"/>
      <c r="P351" s="69"/>
      <c r="Q351" s="14" t="e">
        <v>#N/A</v>
      </c>
      <c r="R351" s="14" t="e">
        <v>#N/A</v>
      </c>
      <c r="S351" s="14"/>
      <c r="T351" s="73"/>
      <c r="U351" s="14"/>
      <c r="V351" s="14"/>
      <c r="W351" s="70"/>
      <c r="X351" s="69"/>
      <c r="Y351" s="79">
        <f ca="1">Table24[[#This Row],[End Date]]+2-TODAY()</f>
        <v>-46005</v>
      </c>
      <c r="Z351" s="14">
        <f>IF(ISBLANK(Table24[[#This Row],[Roster Received By]]),1,0)</f>
        <v>1</v>
      </c>
      <c r="AA351" s="70">
        <f ca="1">IF(Table24[[#This Row],[Start Date]]&gt;TODAY(),1,)</f>
        <v>0</v>
      </c>
    </row>
    <row r="352" spans="1:27" s="52" customFormat="1" x14ac:dyDescent="0.25">
      <c r="B352" s="86"/>
      <c r="C352" s="70" t="e">
        <v>#N/A</v>
      </c>
      <c r="D352" s="70" t="e">
        <v>#N/A</v>
      </c>
      <c r="E352" s="86"/>
      <c r="F352" s="80"/>
      <c r="G352" s="80"/>
      <c r="H352" s="72"/>
      <c r="I352" s="71"/>
      <c r="J352" s="71"/>
      <c r="K352" s="71"/>
      <c r="L352" s="71"/>
      <c r="M352" s="71"/>
      <c r="N352" s="71"/>
      <c r="O352" s="69"/>
      <c r="P352" s="69"/>
      <c r="Q352" s="14" t="e">
        <v>#N/A</v>
      </c>
      <c r="R352" s="14" t="e">
        <v>#N/A</v>
      </c>
      <c r="S352" s="14"/>
      <c r="T352" s="73"/>
      <c r="U352" s="14"/>
      <c r="V352" s="14"/>
      <c r="W352" s="70"/>
      <c r="X352" s="69"/>
      <c r="Y352" s="79">
        <f ca="1">Table24[[#This Row],[End Date]]+2-TODAY()</f>
        <v>-46005</v>
      </c>
      <c r="Z352" s="14">
        <f>IF(ISBLANK(Table24[[#This Row],[Roster Received By]]),1,0)</f>
        <v>1</v>
      </c>
      <c r="AA352" s="70">
        <f ca="1">IF(Table24[[#This Row],[Start Date]]&gt;TODAY(),1,)</f>
        <v>0</v>
      </c>
    </row>
    <row r="353" spans="1:27" s="52" customFormat="1" x14ac:dyDescent="0.25">
      <c r="B353" s="86"/>
      <c r="C353" s="70" t="e">
        <v>#N/A</v>
      </c>
      <c r="D353" s="70" t="e">
        <v>#N/A</v>
      </c>
      <c r="E353" s="86"/>
      <c r="F353" s="80"/>
      <c r="G353" s="80"/>
      <c r="H353" s="75"/>
      <c r="I353" s="75"/>
      <c r="J353" s="75"/>
      <c r="K353" s="75"/>
      <c r="L353" s="75"/>
      <c r="M353" s="75"/>
      <c r="N353" s="72"/>
      <c r="O353" s="69"/>
      <c r="P353" s="69"/>
      <c r="Q353" s="14" t="e">
        <v>#N/A</v>
      </c>
      <c r="R353" s="14" t="e">
        <v>#N/A</v>
      </c>
      <c r="S353" s="14"/>
      <c r="T353" s="73"/>
      <c r="U353" s="14"/>
      <c r="V353" s="14"/>
      <c r="W353" s="70"/>
      <c r="X353" s="69"/>
      <c r="Y353" s="79">
        <f ca="1">Table24[[#This Row],[End Date]]+2-TODAY()</f>
        <v>-46005</v>
      </c>
      <c r="Z353" s="14">
        <f>IF(ISBLANK(Table24[[#This Row],[Roster Received By]]),1,0)</f>
        <v>1</v>
      </c>
      <c r="AA353" s="70">
        <f ca="1">IF(Table24[[#This Row],[Start Date]]&gt;TODAY(),1,)</f>
        <v>0</v>
      </c>
    </row>
    <row r="354" spans="1:27" s="52" customFormat="1" x14ac:dyDescent="0.25">
      <c r="A354" s="69"/>
      <c r="B354" s="88"/>
      <c r="C354" s="70" t="e">
        <v>#N/A</v>
      </c>
      <c r="D354" s="70" t="e">
        <v>#N/A</v>
      </c>
      <c r="E354" s="86"/>
      <c r="F354" s="80"/>
      <c r="G354" s="80"/>
      <c r="H354" s="75"/>
      <c r="I354" s="75"/>
      <c r="J354" s="72"/>
      <c r="K354" s="72"/>
      <c r="L354" s="72"/>
      <c r="M354" s="72"/>
      <c r="N354" s="72"/>
      <c r="O354" s="69"/>
      <c r="P354" s="69"/>
      <c r="Q354" s="14" t="e">
        <v>#N/A</v>
      </c>
      <c r="R354" s="14" t="e">
        <v>#N/A</v>
      </c>
      <c r="S354" s="14"/>
      <c r="T354" s="73"/>
      <c r="U354" s="14"/>
      <c r="V354" s="14"/>
      <c r="W354" s="70"/>
      <c r="X354" s="69"/>
      <c r="Y354" s="79">
        <f ca="1">Table24[[#This Row],[End Date]]+2-TODAY()</f>
        <v>-46005</v>
      </c>
      <c r="Z354" s="14">
        <f>IF(ISBLANK(Table24[[#This Row],[Roster Received By]]),1,0)</f>
        <v>1</v>
      </c>
      <c r="AA354" s="70">
        <f ca="1">IF(Table24[[#This Row],[Start Date]]&gt;TODAY(),1,)</f>
        <v>0</v>
      </c>
    </row>
    <row r="355" spans="1:27" s="52" customFormat="1" x14ac:dyDescent="0.25">
      <c r="B355" s="86"/>
      <c r="C355" s="70" t="e">
        <v>#N/A</v>
      </c>
      <c r="D355" s="70" t="e">
        <v>#N/A</v>
      </c>
      <c r="E355" s="86"/>
      <c r="F355" s="80"/>
      <c r="G355" s="80"/>
      <c r="H355" s="75"/>
      <c r="I355" s="75"/>
      <c r="J355" s="72"/>
      <c r="K355" s="72"/>
      <c r="L355" s="72"/>
      <c r="M355" s="72"/>
      <c r="N355" s="72"/>
      <c r="O355" s="69"/>
      <c r="P355" s="69"/>
      <c r="Q355" s="14" t="e">
        <v>#N/A</v>
      </c>
      <c r="R355" s="14" t="e">
        <v>#N/A</v>
      </c>
      <c r="S355" s="73"/>
      <c r="T355" s="73"/>
      <c r="U355" s="14"/>
      <c r="V355" s="14"/>
      <c r="W355" s="70"/>
      <c r="X355" s="69"/>
      <c r="Y355" s="79">
        <f ca="1">Table24[[#This Row],[End Date]]+2-TODAY()</f>
        <v>-46005</v>
      </c>
      <c r="Z355" s="14">
        <f>IF(ISBLANK(Table24[[#This Row],[Roster Received By]]),1,0)</f>
        <v>1</v>
      </c>
      <c r="AA355" s="70">
        <f ca="1">IF(Table24[[#This Row],[Start Date]]&gt;TODAY(),1,)</f>
        <v>0</v>
      </c>
    </row>
    <row r="356" spans="1:27" s="52" customFormat="1" x14ac:dyDescent="0.25">
      <c r="B356" s="86"/>
      <c r="C356" s="70" t="e">
        <v>#N/A</v>
      </c>
      <c r="D356" s="70" t="e">
        <v>#N/A</v>
      </c>
      <c r="E356" s="55"/>
      <c r="F356" s="80"/>
      <c r="G356" s="80"/>
      <c r="H356" s="75"/>
      <c r="I356" s="75"/>
      <c r="J356" s="72"/>
      <c r="K356" s="72"/>
      <c r="L356" s="72"/>
      <c r="M356" s="72"/>
      <c r="N356" s="72"/>
      <c r="O356" s="69"/>
      <c r="P356" s="69"/>
      <c r="Q356" s="14" t="e">
        <v>#N/A</v>
      </c>
      <c r="R356" s="14" t="e">
        <v>#N/A</v>
      </c>
      <c r="S356" s="14"/>
      <c r="T356" s="73"/>
      <c r="U356" s="14"/>
      <c r="V356" s="14"/>
      <c r="W356" s="70"/>
      <c r="X356" s="69"/>
      <c r="Y356" s="79">
        <f ca="1">Table24[[#This Row],[End Date]]+2-TODAY()</f>
        <v>-46005</v>
      </c>
      <c r="Z356" s="14">
        <f>IF(ISBLANK(Table24[[#This Row],[Roster Received By]]),1,0)</f>
        <v>1</v>
      </c>
      <c r="AA356" s="70">
        <f ca="1">IF(Table24[[#This Row],[Start Date]]&gt;TODAY(),1,)</f>
        <v>0</v>
      </c>
    </row>
    <row r="357" spans="1:27" s="52" customFormat="1" x14ac:dyDescent="0.25">
      <c r="A357" s="69"/>
      <c r="B357" s="88"/>
      <c r="C357" s="70" t="e">
        <v>#N/A</v>
      </c>
      <c r="D357" s="70" t="e">
        <v>#N/A</v>
      </c>
      <c r="E357" s="86"/>
      <c r="F357" s="72"/>
      <c r="G357" s="72"/>
      <c r="H357" s="75"/>
      <c r="I357" s="75"/>
      <c r="J357" s="72"/>
      <c r="K357" s="72"/>
      <c r="L357" s="72"/>
      <c r="M357" s="72"/>
      <c r="N357" s="72"/>
      <c r="O357" s="69"/>
      <c r="P357" s="69"/>
      <c r="Q357" s="14" t="e">
        <v>#N/A</v>
      </c>
      <c r="R357" s="14" t="e">
        <v>#N/A</v>
      </c>
      <c r="S357" s="14"/>
      <c r="T357" s="73"/>
      <c r="U357" s="14"/>
      <c r="V357" s="14"/>
      <c r="W357" s="70"/>
      <c r="X357" s="69"/>
      <c r="Y357" s="79">
        <f ca="1">Table24[[#This Row],[End Date]]+2-TODAY()</f>
        <v>-46005</v>
      </c>
      <c r="Z357" s="14">
        <f>IF(ISBLANK(Table24[[#This Row],[Roster Received By]]),1,0)</f>
        <v>1</v>
      </c>
      <c r="AA357" s="70">
        <f ca="1">IF(Table24[[#This Row],[Start Date]]&gt;TODAY(),1,)</f>
        <v>0</v>
      </c>
    </row>
    <row r="358" spans="1:27" s="52" customFormat="1" x14ac:dyDescent="0.25">
      <c r="B358" s="97"/>
      <c r="C358" s="70" t="e">
        <v>#N/A</v>
      </c>
      <c r="D358" s="70" t="e">
        <v>#N/A</v>
      </c>
      <c r="E358" s="86"/>
      <c r="F358" s="72"/>
      <c r="G358" s="72"/>
      <c r="H358" s="72"/>
      <c r="I358" s="71"/>
      <c r="J358" s="71"/>
      <c r="K358" s="71"/>
      <c r="L358" s="71"/>
      <c r="M358" s="71"/>
      <c r="N358" s="71"/>
      <c r="O358" s="69"/>
      <c r="P358" s="69"/>
      <c r="Q358" s="14" t="e">
        <v>#N/A</v>
      </c>
      <c r="R358" s="14" t="e">
        <v>#N/A</v>
      </c>
      <c r="S358" s="14"/>
      <c r="T358" s="73"/>
      <c r="U358" s="14"/>
      <c r="V358" s="14"/>
      <c r="W358" s="70"/>
      <c r="X358" s="69"/>
      <c r="Y358" s="79">
        <f ca="1">Table24[[#This Row],[End Date]]+2-TODAY()</f>
        <v>-46005</v>
      </c>
      <c r="Z358" s="14">
        <f>IF(ISBLANK(Table24[[#This Row],[Roster Received By]]),1,0)</f>
        <v>1</v>
      </c>
      <c r="AA358" s="70">
        <f ca="1">IF(Table24[[#This Row],[Start Date]]&gt;TODAY(),1,)</f>
        <v>0</v>
      </c>
    </row>
    <row r="359" spans="1:27" s="52" customFormat="1" x14ac:dyDescent="0.25">
      <c r="B359" s="88"/>
      <c r="C359" s="70" t="e">
        <v>#N/A</v>
      </c>
      <c r="D359" s="70" t="e">
        <v>#N/A</v>
      </c>
      <c r="E359" s="86"/>
      <c r="F359" s="72"/>
      <c r="G359" s="72"/>
      <c r="H359" s="75"/>
      <c r="I359" s="75"/>
      <c r="J359" s="72"/>
      <c r="K359" s="72"/>
      <c r="L359" s="72"/>
      <c r="M359" s="72"/>
      <c r="N359" s="72"/>
      <c r="O359" s="69"/>
      <c r="P359" s="69"/>
      <c r="Q359" s="14" t="e">
        <v>#N/A</v>
      </c>
      <c r="R359" s="14" t="e">
        <v>#N/A</v>
      </c>
      <c r="S359" s="14"/>
      <c r="T359" s="73"/>
      <c r="U359" s="14"/>
      <c r="V359" s="14"/>
      <c r="W359" s="70"/>
      <c r="X359" s="69"/>
      <c r="Y359" s="79">
        <f ca="1">Table24[[#This Row],[End Date]]+2-TODAY()</f>
        <v>-46005</v>
      </c>
      <c r="Z359" s="14">
        <f>IF(ISBLANK(Table24[[#This Row],[Roster Received By]]),1,0)</f>
        <v>1</v>
      </c>
      <c r="AA359" s="70">
        <f ca="1">IF(Table24[[#This Row],[Start Date]]&gt;TODAY(),1,)</f>
        <v>0</v>
      </c>
    </row>
    <row r="360" spans="1:27" s="52" customFormat="1" x14ac:dyDescent="0.25">
      <c r="B360" s="86"/>
      <c r="C360" s="70" t="e">
        <v>#N/A</v>
      </c>
      <c r="D360" s="70" t="e">
        <v>#N/A</v>
      </c>
      <c r="E360" s="69"/>
      <c r="F360" s="72"/>
      <c r="G360" s="72"/>
      <c r="H360" s="75"/>
      <c r="I360" s="82"/>
      <c r="J360" s="82"/>
      <c r="K360" s="82"/>
      <c r="L360" s="82"/>
      <c r="M360" s="82"/>
      <c r="N360" s="82"/>
      <c r="O360" s="69"/>
      <c r="P360" s="69"/>
      <c r="Q360" s="14" t="e">
        <v>#N/A</v>
      </c>
      <c r="R360" s="14" t="e">
        <v>#N/A</v>
      </c>
      <c r="S360" s="73"/>
      <c r="T360" s="83"/>
      <c r="U360" s="83"/>
      <c r="V360" s="83"/>
      <c r="W360" s="83"/>
      <c r="X360" s="69"/>
      <c r="Y360" s="83"/>
    </row>
    <row r="361" spans="1:27" s="52" customFormat="1" x14ac:dyDescent="0.25">
      <c r="A361" s="54"/>
      <c r="B361" s="86"/>
      <c r="C361" s="70" t="e">
        <v>#N/A</v>
      </c>
      <c r="D361" s="70" t="e">
        <v>#N/A</v>
      </c>
      <c r="E361" s="86"/>
      <c r="F361" s="72"/>
      <c r="G361" s="72"/>
      <c r="H361" s="72"/>
      <c r="I361" s="71"/>
      <c r="J361" s="71"/>
      <c r="K361" s="71"/>
      <c r="L361" s="71"/>
      <c r="M361" s="71"/>
      <c r="N361" s="71"/>
      <c r="O361" s="69"/>
      <c r="P361" s="69"/>
      <c r="Q361" s="14" t="e">
        <v>#N/A</v>
      </c>
      <c r="R361" s="14" t="e">
        <v>#N/A</v>
      </c>
      <c r="S361" s="14"/>
      <c r="T361" s="73"/>
      <c r="U361" s="14"/>
      <c r="V361" s="14"/>
      <c r="W361" s="70"/>
      <c r="X361" s="69"/>
      <c r="Y361" s="79">
        <f ca="1">Table24[[#This Row],[End Date]]+2-TODAY()</f>
        <v>-46005</v>
      </c>
      <c r="Z361" s="14">
        <f>IF(ISBLANK(Table24[[#This Row],[Roster Received By]]),1,0)</f>
        <v>1</v>
      </c>
      <c r="AA361" s="70">
        <f ca="1">IF(Table24[[#This Row],[Start Date]]&gt;TODAY(),1,)</f>
        <v>0</v>
      </c>
    </row>
    <row r="362" spans="1:27" s="52" customFormat="1" x14ac:dyDescent="0.25">
      <c r="B362" s="86"/>
      <c r="C362" s="70" t="e">
        <v>#N/A</v>
      </c>
      <c r="D362" s="70" t="e">
        <v>#N/A</v>
      </c>
      <c r="E362" s="86"/>
      <c r="F362" s="72"/>
      <c r="G362" s="72"/>
      <c r="H362" s="75"/>
      <c r="I362" s="75"/>
      <c r="J362" s="72"/>
      <c r="K362" s="72"/>
      <c r="L362" s="72"/>
      <c r="M362" s="72"/>
      <c r="N362" s="72"/>
      <c r="O362" s="69"/>
      <c r="P362" s="69"/>
      <c r="Q362" s="14" t="e">
        <v>#N/A</v>
      </c>
      <c r="R362" s="14" t="e">
        <v>#N/A</v>
      </c>
      <c r="S362" s="14"/>
      <c r="T362" s="73"/>
      <c r="U362" s="14"/>
      <c r="V362" s="14"/>
      <c r="W362" s="70"/>
      <c r="X362" s="69"/>
      <c r="Y362" s="79">
        <f ca="1">Table24[[#This Row],[End Date]]+2-TODAY()</f>
        <v>-46005</v>
      </c>
      <c r="Z362" s="14">
        <f>IF(ISBLANK(Table24[[#This Row],[Roster Received By]]),1,0)</f>
        <v>1</v>
      </c>
      <c r="AA362" s="70">
        <f ca="1">IF(Table24[[#This Row],[Start Date]]&gt;TODAY(),1,)</f>
        <v>0</v>
      </c>
    </row>
    <row r="363" spans="1:27" s="52" customFormat="1" x14ac:dyDescent="0.25">
      <c r="A363" s="69"/>
      <c r="B363" s="88"/>
      <c r="C363" s="70" t="e">
        <v>#N/A</v>
      </c>
      <c r="D363" s="70" t="e">
        <v>#N/A</v>
      </c>
      <c r="E363" s="86"/>
      <c r="F363" s="72"/>
      <c r="G363" s="72"/>
      <c r="H363" s="75"/>
      <c r="I363" s="75"/>
      <c r="J363" s="72"/>
      <c r="K363" s="72"/>
      <c r="L363" s="72"/>
      <c r="M363" s="72"/>
      <c r="N363" s="72"/>
      <c r="O363" s="69"/>
      <c r="P363" s="69"/>
      <c r="Q363" s="14" t="e">
        <v>#N/A</v>
      </c>
      <c r="R363" s="14" t="e">
        <v>#N/A</v>
      </c>
      <c r="S363" s="14"/>
      <c r="T363" s="73"/>
      <c r="U363" s="14"/>
      <c r="V363" s="14"/>
      <c r="W363" s="70"/>
      <c r="X363" s="69"/>
      <c r="Y363" s="79">
        <f ca="1">Table24[[#This Row],[End Date]]+2-TODAY()</f>
        <v>-46005</v>
      </c>
      <c r="Z363" s="14">
        <f>IF(ISBLANK(Table24[[#This Row],[Roster Received By]]),1,0)</f>
        <v>1</v>
      </c>
      <c r="AA363" s="70">
        <f ca="1">IF(Table24[[#This Row],[Start Date]]&gt;TODAY(),1,)</f>
        <v>0</v>
      </c>
    </row>
    <row r="364" spans="1:27" s="52" customFormat="1" x14ac:dyDescent="0.25">
      <c r="B364" s="86"/>
      <c r="C364" s="70" t="e">
        <v>#N/A</v>
      </c>
      <c r="D364" s="70" t="e">
        <v>#N/A</v>
      </c>
      <c r="E364" s="86"/>
      <c r="F364" s="72"/>
      <c r="G364" s="72"/>
      <c r="H364" s="72"/>
      <c r="I364" s="71"/>
      <c r="J364" s="71"/>
      <c r="K364" s="71"/>
      <c r="L364" s="71"/>
      <c r="M364" s="71"/>
      <c r="N364" s="71"/>
      <c r="O364" s="69"/>
      <c r="P364" s="69"/>
      <c r="Q364" s="14" t="e">
        <v>#N/A</v>
      </c>
      <c r="R364" s="14" t="e">
        <v>#N/A</v>
      </c>
      <c r="S364" s="14"/>
      <c r="T364" s="73"/>
      <c r="U364" s="14"/>
      <c r="V364" s="14"/>
      <c r="W364" s="70"/>
      <c r="X364" s="69"/>
      <c r="Y364" s="79">
        <f ca="1">Table24[[#This Row],[End Date]]+2-TODAY()</f>
        <v>-46005</v>
      </c>
      <c r="Z364" s="14">
        <f>IF(ISBLANK(Table24[[#This Row],[Roster Received By]]),1,0)</f>
        <v>1</v>
      </c>
      <c r="AA364" s="70">
        <f ca="1">IF(Table24[[#This Row],[Start Date]]&gt;TODAY(),1,)</f>
        <v>0</v>
      </c>
    </row>
    <row r="365" spans="1:27" s="52" customFormat="1" x14ac:dyDescent="0.25">
      <c r="B365" s="86"/>
      <c r="C365" s="70" t="e">
        <v>#N/A</v>
      </c>
      <c r="D365" s="70" t="e">
        <v>#N/A</v>
      </c>
      <c r="E365" s="86"/>
      <c r="F365" s="72"/>
      <c r="G365" s="72"/>
      <c r="H365" s="72"/>
      <c r="I365" s="71"/>
      <c r="J365" s="71"/>
      <c r="K365" s="71"/>
      <c r="L365" s="71"/>
      <c r="M365" s="71"/>
      <c r="N365" s="71"/>
      <c r="O365" s="69"/>
      <c r="P365" s="69"/>
      <c r="Q365" s="14" t="e">
        <v>#N/A</v>
      </c>
      <c r="R365" s="14" t="e">
        <v>#N/A</v>
      </c>
      <c r="S365" s="14"/>
      <c r="T365" s="73"/>
      <c r="U365" s="14"/>
      <c r="V365" s="14"/>
      <c r="W365" s="70"/>
      <c r="X365" s="69"/>
      <c r="Y365" s="79">
        <f ca="1">Table24[[#This Row],[End Date]]+2-TODAY()</f>
        <v>-46005</v>
      </c>
      <c r="Z365" s="14">
        <f>IF(ISBLANK(Table24[[#This Row],[Roster Received By]]),1,0)</f>
        <v>1</v>
      </c>
      <c r="AA365" s="70">
        <f ca="1">IF(Table24[[#This Row],[Start Date]]&gt;TODAY(),1,)</f>
        <v>0</v>
      </c>
    </row>
    <row r="366" spans="1:27" s="52" customFormat="1" x14ac:dyDescent="0.25">
      <c r="B366" s="86"/>
      <c r="C366" s="70" t="e">
        <v>#N/A</v>
      </c>
      <c r="D366" s="70" t="e">
        <v>#N/A</v>
      </c>
      <c r="E366" s="86"/>
      <c r="F366" s="72"/>
      <c r="G366" s="72"/>
      <c r="H366" s="72"/>
      <c r="I366" s="71"/>
      <c r="J366" s="71"/>
      <c r="K366" s="71"/>
      <c r="L366" s="71"/>
      <c r="M366" s="71"/>
      <c r="N366" s="71"/>
      <c r="O366" s="69"/>
      <c r="P366" s="69"/>
      <c r="Q366" s="14" t="e">
        <v>#N/A</v>
      </c>
      <c r="R366" s="14" t="e">
        <v>#N/A</v>
      </c>
      <c r="S366" s="14"/>
      <c r="T366" s="73"/>
      <c r="U366" s="14"/>
      <c r="V366" s="14"/>
      <c r="W366" s="70"/>
      <c r="X366" s="69"/>
      <c r="Y366" s="79">
        <f ca="1">Table24[[#This Row],[End Date]]+2-TODAY()</f>
        <v>-46005</v>
      </c>
      <c r="Z366" s="14">
        <f>IF(ISBLANK(Table24[[#This Row],[Roster Received By]]),1,0)</f>
        <v>1</v>
      </c>
      <c r="AA366" s="70">
        <f ca="1">IF(Table24[[#This Row],[Start Date]]&gt;TODAY(),1,)</f>
        <v>0</v>
      </c>
    </row>
    <row r="367" spans="1:27" s="52" customFormat="1" x14ac:dyDescent="0.25">
      <c r="B367" s="86"/>
      <c r="C367" s="70" t="e">
        <v>#N/A</v>
      </c>
      <c r="D367" s="70" t="e">
        <v>#N/A</v>
      </c>
      <c r="E367" s="69"/>
      <c r="F367" s="72"/>
      <c r="G367" s="72"/>
      <c r="H367" s="72"/>
      <c r="I367" s="71"/>
      <c r="J367" s="71"/>
      <c r="K367" s="71"/>
      <c r="L367" s="71"/>
      <c r="M367" s="71"/>
      <c r="N367" s="71"/>
      <c r="O367" s="69"/>
      <c r="P367" s="69"/>
      <c r="Q367" s="14" t="e">
        <v>#N/A</v>
      </c>
      <c r="R367" s="14" t="e">
        <v>#N/A</v>
      </c>
      <c r="S367" s="14"/>
      <c r="T367" s="73"/>
      <c r="U367" s="14"/>
      <c r="V367" s="14"/>
      <c r="W367" s="70"/>
      <c r="X367" s="69"/>
      <c r="Y367" s="79">
        <f ca="1">Table24[[#This Row],[End Date]]+2-TODAY()</f>
        <v>-46005</v>
      </c>
      <c r="Z367" s="14">
        <f>IF(ISBLANK(Table24[[#This Row],[Roster Received By]]),1,0)</f>
        <v>1</v>
      </c>
      <c r="AA367" s="70">
        <f ca="1">IF(Table24[[#This Row],[Start Date]]&gt;TODAY(),1,)</f>
        <v>0</v>
      </c>
    </row>
    <row r="368" spans="1:27" s="52" customFormat="1" x14ac:dyDescent="0.25">
      <c r="B368" s="86"/>
      <c r="C368" s="70" t="e">
        <v>#N/A</v>
      </c>
      <c r="D368" s="70" t="e">
        <v>#N/A</v>
      </c>
      <c r="E368" s="86"/>
      <c r="F368" s="72"/>
      <c r="G368" s="72"/>
      <c r="H368" s="75"/>
      <c r="I368" s="75"/>
      <c r="J368" s="72"/>
      <c r="K368" s="72"/>
      <c r="L368" s="72"/>
      <c r="M368" s="72"/>
      <c r="N368" s="72"/>
      <c r="O368" s="69"/>
      <c r="P368" s="69"/>
      <c r="Q368" s="14" t="e">
        <v>#N/A</v>
      </c>
      <c r="R368" s="14" t="e">
        <v>#N/A</v>
      </c>
      <c r="S368" s="14"/>
      <c r="T368" s="73"/>
      <c r="U368" s="14"/>
      <c r="V368" s="14"/>
      <c r="W368" s="70"/>
      <c r="X368" s="69"/>
      <c r="Y368" s="79">
        <f ca="1">Table24[[#This Row],[End Date]]+2-TODAY()</f>
        <v>-46005</v>
      </c>
      <c r="Z368" s="14">
        <f>IF(ISBLANK(Table24[[#This Row],[Roster Received By]]),1,0)</f>
        <v>1</v>
      </c>
      <c r="AA368" s="70">
        <f ca="1">IF(Table24[[#This Row],[Start Date]]&gt;TODAY(),1,)</f>
        <v>0</v>
      </c>
    </row>
    <row r="369" spans="1:27" s="52" customFormat="1" x14ac:dyDescent="0.25">
      <c r="B369" s="86"/>
      <c r="C369" s="70" t="e">
        <v>#N/A</v>
      </c>
      <c r="D369" s="70" t="e">
        <v>#N/A</v>
      </c>
      <c r="E369" s="86"/>
      <c r="F369" s="72"/>
      <c r="G369" s="72"/>
      <c r="H369" s="75"/>
      <c r="I369" s="75"/>
      <c r="J369" s="72"/>
      <c r="K369" s="72"/>
      <c r="L369" s="72"/>
      <c r="M369" s="72"/>
      <c r="N369" s="72"/>
      <c r="O369" s="69"/>
      <c r="P369" s="69"/>
      <c r="Q369" s="14" t="e">
        <v>#N/A</v>
      </c>
      <c r="R369" s="14" t="e">
        <v>#N/A</v>
      </c>
      <c r="S369" s="14"/>
      <c r="T369" s="73"/>
      <c r="U369" s="14"/>
      <c r="V369" s="14"/>
      <c r="W369" s="70"/>
      <c r="X369" s="69"/>
      <c r="Y369" s="79">
        <f ca="1">Table24[[#This Row],[End Date]]+2-TODAY()</f>
        <v>-46005</v>
      </c>
      <c r="Z369" s="14">
        <f>IF(ISBLANK(Table24[[#This Row],[Roster Received By]]),1,0)</f>
        <v>1</v>
      </c>
      <c r="AA369" s="70">
        <f ca="1">IF(Table24[[#This Row],[Start Date]]&gt;TODAY(),1,)</f>
        <v>0</v>
      </c>
    </row>
    <row r="370" spans="1:27" s="52" customFormat="1" x14ac:dyDescent="0.25">
      <c r="B370" s="86"/>
      <c r="C370" s="70" t="e">
        <v>#N/A</v>
      </c>
      <c r="D370" s="70" t="e">
        <v>#N/A</v>
      </c>
      <c r="E370" s="86"/>
      <c r="F370" s="72"/>
      <c r="G370" s="72"/>
      <c r="H370" s="75"/>
      <c r="I370" s="75"/>
      <c r="J370" s="72"/>
      <c r="K370" s="72"/>
      <c r="L370" s="72"/>
      <c r="M370" s="72"/>
      <c r="N370" s="72"/>
      <c r="O370" s="69"/>
      <c r="P370" s="69"/>
      <c r="Q370" s="14" t="e">
        <v>#N/A</v>
      </c>
      <c r="R370" s="14" t="e">
        <v>#N/A</v>
      </c>
      <c r="S370" s="14"/>
      <c r="T370" s="73"/>
      <c r="U370" s="14"/>
      <c r="V370" s="14"/>
      <c r="W370" s="70"/>
      <c r="X370" s="69"/>
      <c r="Y370" s="79">
        <f ca="1">Table24[[#This Row],[End Date]]+2-TODAY()</f>
        <v>-46005</v>
      </c>
      <c r="Z370" s="14">
        <f>IF(ISBLANK(Table24[[#This Row],[Roster Received By]]),1,0)</f>
        <v>1</v>
      </c>
      <c r="AA370" s="70">
        <f ca="1">IF(Table24[[#This Row],[Start Date]]&gt;TODAY(),1,)</f>
        <v>0</v>
      </c>
    </row>
    <row r="371" spans="1:27" s="52" customFormat="1" x14ac:dyDescent="0.25">
      <c r="B371" s="86"/>
      <c r="C371" s="70" t="e">
        <v>#N/A</v>
      </c>
      <c r="D371" s="70" t="e">
        <v>#N/A</v>
      </c>
      <c r="E371" s="86"/>
      <c r="F371" s="72"/>
      <c r="G371" s="72"/>
      <c r="H371" s="75"/>
      <c r="I371" s="75"/>
      <c r="J371" s="72"/>
      <c r="K371" s="72"/>
      <c r="L371" s="72"/>
      <c r="M371" s="72"/>
      <c r="N371" s="72"/>
      <c r="O371" s="69"/>
      <c r="P371" s="69"/>
      <c r="Q371" s="14" t="e">
        <v>#N/A</v>
      </c>
      <c r="R371" s="14" t="e">
        <v>#N/A</v>
      </c>
      <c r="S371" s="14"/>
      <c r="T371" s="73"/>
      <c r="U371" s="14"/>
      <c r="V371" s="14"/>
      <c r="W371" s="70"/>
      <c r="X371" s="69"/>
      <c r="Y371" s="79">
        <f ca="1">Table24[[#This Row],[End Date]]+2-TODAY()</f>
        <v>-46005</v>
      </c>
      <c r="Z371" s="14">
        <f>IF(ISBLANK(Table24[[#This Row],[Roster Received By]]),1,0)</f>
        <v>1</v>
      </c>
      <c r="AA371" s="70">
        <f ca="1">IF(Table24[[#This Row],[Start Date]]&gt;TODAY(),1,)</f>
        <v>0</v>
      </c>
    </row>
    <row r="372" spans="1:27" s="52" customFormat="1" x14ac:dyDescent="0.25">
      <c r="B372" s="86"/>
      <c r="C372" s="70" t="e">
        <v>#N/A</v>
      </c>
      <c r="D372" s="70" t="e">
        <v>#N/A</v>
      </c>
      <c r="E372" s="55"/>
      <c r="F372" s="68"/>
      <c r="G372" s="68"/>
      <c r="H372" s="56"/>
      <c r="I372" s="71"/>
      <c r="J372" s="71"/>
      <c r="K372" s="71"/>
      <c r="L372" s="71"/>
      <c r="M372" s="71"/>
      <c r="N372" s="71"/>
      <c r="O372" s="69"/>
      <c r="P372" s="69"/>
      <c r="Q372" s="14" t="e">
        <v>#N/A</v>
      </c>
      <c r="R372" s="14" t="e">
        <v>#N/A</v>
      </c>
      <c r="S372" s="14"/>
      <c r="T372" s="73"/>
      <c r="U372" s="14"/>
      <c r="V372" s="14"/>
      <c r="W372" s="70"/>
      <c r="X372" s="69"/>
      <c r="Y372" s="79">
        <f ca="1">Table24[[#This Row],[End Date]]+2-TODAY()</f>
        <v>-46005</v>
      </c>
      <c r="Z372" s="14">
        <f>IF(ISBLANK(Table24[[#This Row],[Roster Received By]]),1,0)</f>
        <v>1</v>
      </c>
      <c r="AA372" s="70">
        <f ca="1">IF(Table24[[#This Row],[Start Date]]&gt;TODAY(),1,)</f>
        <v>0</v>
      </c>
    </row>
    <row r="373" spans="1:27" s="52" customFormat="1" x14ac:dyDescent="0.25">
      <c r="B373" s="86"/>
      <c r="C373" s="70" t="e">
        <v>#N/A</v>
      </c>
      <c r="D373" s="70" t="e">
        <v>#N/A</v>
      </c>
      <c r="E373" s="86"/>
      <c r="F373" s="80"/>
      <c r="G373" s="80"/>
      <c r="H373" s="75"/>
      <c r="I373" s="75"/>
      <c r="J373" s="72"/>
      <c r="K373" s="72"/>
      <c r="L373" s="72"/>
      <c r="M373" s="72"/>
      <c r="N373" s="72"/>
      <c r="O373" s="69"/>
      <c r="P373" s="69"/>
      <c r="Q373" s="14" t="e">
        <v>#N/A</v>
      </c>
      <c r="R373" s="14" t="e">
        <v>#N/A</v>
      </c>
      <c r="S373" s="14"/>
      <c r="T373" s="73"/>
      <c r="U373" s="14"/>
      <c r="V373" s="14"/>
      <c r="W373" s="70"/>
      <c r="X373" s="69"/>
      <c r="Y373" s="79">
        <f ca="1">Table24[[#This Row],[End Date]]+2-TODAY()</f>
        <v>-46005</v>
      </c>
      <c r="Z373" s="14">
        <f>IF(ISBLANK(Table24[[#This Row],[Roster Received By]]),1,0)</f>
        <v>1</v>
      </c>
      <c r="AA373" s="70">
        <f ca="1">IF(Table24[[#This Row],[Start Date]]&gt;TODAY(),1,)</f>
        <v>0</v>
      </c>
    </row>
    <row r="374" spans="1:27" s="52" customFormat="1" x14ac:dyDescent="0.25">
      <c r="A374" s="69"/>
      <c r="B374" s="86"/>
      <c r="C374" s="70" t="e">
        <v>#N/A</v>
      </c>
      <c r="D374" s="70" t="e">
        <v>#N/A</v>
      </c>
      <c r="E374" s="86"/>
      <c r="F374" s="80"/>
      <c r="G374" s="80"/>
      <c r="H374" s="75"/>
      <c r="I374" s="75"/>
      <c r="J374" s="72"/>
      <c r="K374" s="72"/>
      <c r="L374" s="72"/>
      <c r="M374" s="72"/>
      <c r="N374" s="72"/>
      <c r="O374" s="69"/>
      <c r="P374" s="69"/>
      <c r="Q374" s="14" t="e">
        <v>#N/A</v>
      </c>
      <c r="R374" s="14" t="e">
        <v>#N/A</v>
      </c>
      <c r="S374" s="14"/>
      <c r="T374" s="73"/>
      <c r="U374" s="14"/>
      <c r="V374" s="14"/>
      <c r="W374" s="70"/>
      <c r="X374" s="69"/>
      <c r="Y374" s="79">
        <f ca="1">Table24[[#This Row],[End Date]]+2-TODAY()</f>
        <v>-46005</v>
      </c>
      <c r="Z374" s="14">
        <f>IF(ISBLANK(Table24[[#This Row],[Roster Received By]]),1,0)</f>
        <v>1</v>
      </c>
      <c r="AA374" s="70">
        <f ca="1">IF(Table24[[#This Row],[Start Date]]&gt;TODAY(),1,)</f>
        <v>0</v>
      </c>
    </row>
    <row r="375" spans="1:27" s="52" customFormat="1" x14ac:dyDescent="0.25">
      <c r="B375" s="86"/>
      <c r="C375" s="70" t="e">
        <v>#N/A</v>
      </c>
      <c r="D375" s="70" t="e">
        <v>#N/A</v>
      </c>
      <c r="E375" s="55"/>
      <c r="F375" s="80"/>
      <c r="G375" s="80"/>
      <c r="H375" s="75"/>
      <c r="I375" s="75"/>
      <c r="J375" s="72"/>
      <c r="K375" s="72"/>
      <c r="L375" s="72"/>
      <c r="M375" s="72"/>
      <c r="N375" s="72"/>
      <c r="O375" s="69"/>
      <c r="P375" s="69"/>
      <c r="Q375" s="14" t="e">
        <v>#N/A</v>
      </c>
      <c r="R375" s="14" t="e">
        <v>#N/A</v>
      </c>
      <c r="S375" s="14"/>
      <c r="T375" s="73"/>
      <c r="U375" s="14"/>
      <c r="V375" s="14"/>
      <c r="W375" s="70"/>
      <c r="X375" s="69"/>
      <c r="Y375" s="79">
        <f ca="1">Table24[[#This Row],[End Date]]+2-TODAY()</f>
        <v>-46005</v>
      </c>
      <c r="Z375" s="14">
        <f>IF(ISBLANK(Table24[[#This Row],[Roster Received By]]),1,0)</f>
        <v>1</v>
      </c>
      <c r="AA375" s="70">
        <f ca="1">IF(Table24[[#This Row],[Start Date]]&gt;TODAY(),1,)</f>
        <v>0</v>
      </c>
    </row>
    <row r="376" spans="1:27" s="52" customFormat="1" x14ac:dyDescent="0.25">
      <c r="B376" s="86"/>
      <c r="C376" s="70" t="e">
        <v>#N/A</v>
      </c>
      <c r="D376" s="70" t="e">
        <v>#N/A</v>
      </c>
      <c r="E376" s="86"/>
      <c r="F376" s="80"/>
      <c r="G376" s="80"/>
      <c r="H376" s="75"/>
      <c r="I376" s="75"/>
      <c r="J376" s="72"/>
      <c r="K376" s="72"/>
      <c r="L376" s="72"/>
      <c r="M376" s="72"/>
      <c r="N376" s="72"/>
      <c r="O376" s="69"/>
      <c r="P376" s="69"/>
      <c r="Q376" s="14" t="e">
        <v>#N/A</v>
      </c>
      <c r="R376" s="14" t="e">
        <v>#N/A</v>
      </c>
      <c r="S376" s="14"/>
      <c r="T376" s="73"/>
      <c r="U376" s="14"/>
      <c r="V376" s="14"/>
      <c r="W376" s="70"/>
      <c r="X376" s="69"/>
      <c r="Y376" s="79">
        <f ca="1">Table24[[#This Row],[End Date]]+2-TODAY()</f>
        <v>-46005</v>
      </c>
      <c r="Z376" s="14">
        <f>IF(ISBLANK(Table24[[#This Row],[Roster Received By]]),1,0)</f>
        <v>1</v>
      </c>
      <c r="AA376" s="70">
        <f ca="1">IF(Table24[[#This Row],[Start Date]]&gt;TODAY(),1,)</f>
        <v>0</v>
      </c>
    </row>
    <row r="377" spans="1:27" s="52" customFormat="1" x14ac:dyDescent="0.25">
      <c r="B377" s="86"/>
      <c r="C377" s="70" t="e">
        <v>#N/A</v>
      </c>
      <c r="D377" s="70" t="e">
        <v>#N/A</v>
      </c>
      <c r="E377" s="86"/>
      <c r="F377" s="80"/>
      <c r="G377" s="80"/>
      <c r="H377" s="72"/>
      <c r="I377" s="71"/>
      <c r="J377" s="71"/>
      <c r="K377" s="71"/>
      <c r="L377" s="71"/>
      <c r="M377" s="71"/>
      <c r="N377" s="71"/>
      <c r="O377" s="69"/>
      <c r="P377" s="69"/>
      <c r="Q377" s="14" t="e">
        <v>#N/A</v>
      </c>
      <c r="R377" s="14" t="e">
        <v>#N/A</v>
      </c>
      <c r="S377" s="14"/>
      <c r="T377" s="73"/>
      <c r="U377" s="14"/>
      <c r="V377" s="14"/>
      <c r="W377" s="70"/>
      <c r="X377" s="69"/>
      <c r="Y377" s="79">
        <f ca="1">Table24[[#This Row],[End Date]]+2-TODAY()</f>
        <v>-46005</v>
      </c>
      <c r="Z377" s="14">
        <f>IF(ISBLANK(Table24[[#This Row],[Roster Received By]]),1,0)</f>
        <v>1</v>
      </c>
      <c r="AA377" s="70">
        <f ca="1">IF(Table24[[#This Row],[Start Date]]&gt;TODAY(),1,)</f>
        <v>0</v>
      </c>
    </row>
    <row r="378" spans="1:27" s="52" customFormat="1" x14ac:dyDescent="0.25">
      <c r="B378" s="86"/>
      <c r="C378" s="70" t="e">
        <v>#N/A</v>
      </c>
      <c r="D378" s="70" t="e">
        <v>#N/A</v>
      </c>
      <c r="E378" s="86"/>
      <c r="F378" s="80"/>
      <c r="G378" s="80"/>
      <c r="H378" s="72"/>
      <c r="I378" s="71"/>
      <c r="J378" s="71"/>
      <c r="K378" s="71"/>
      <c r="L378" s="71"/>
      <c r="M378" s="71"/>
      <c r="N378" s="71"/>
      <c r="O378" s="69"/>
      <c r="P378" s="69"/>
      <c r="Q378" s="14" t="e">
        <v>#N/A</v>
      </c>
      <c r="R378" s="14" t="e">
        <v>#N/A</v>
      </c>
      <c r="S378" s="14"/>
      <c r="T378" s="73"/>
      <c r="U378" s="14"/>
      <c r="V378" s="14"/>
      <c r="W378" s="70"/>
      <c r="X378" s="69"/>
      <c r="Y378" s="79">
        <f ca="1">Table24[[#This Row],[End Date]]+2-TODAY()</f>
        <v>-46005</v>
      </c>
      <c r="Z378" s="14">
        <f>IF(ISBLANK(Table24[[#This Row],[Roster Received By]]),1,0)</f>
        <v>1</v>
      </c>
      <c r="AA378" s="70">
        <f ca="1">IF(Table24[[#This Row],[Start Date]]&gt;TODAY(),1,)</f>
        <v>0</v>
      </c>
    </row>
    <row r="379" spans="1:27" s="52" customFormat="1" x14ac:dyDescent="0.25">
      <c r="B379" s="96"/>
      <c r="C379" s="70" t="e">
        <v>#N/A</v>
      </c>
      <c r="D379" s="70" t="e">
        <v>#N/A</v>
      </c>
      <c r="E379" s="86"/>
      <c r="F379" s="80"/>
      <c r="G379" s="80"/>
      <c r="H379" s="72"/>
      <c r="I379" s="71"/>
      <c r="J379" s="71"/>
      <c r="K379" s="71"/>
      <c r="L379" s="71"/>
      <c r="M379" s="71"/>
      <c r="N379" s="71"/>
      <c r="O379" s="69"/>
      <c r="P379" s="69"/>
      <c r="Q379" s="14" t="e">
        <v>#N/A</v>
      </c>
      <c r="R379" s="14" t="e">
        <v>#N/A</v>
      </c>
      <c r="S379" s="14"/>
      <c r="T379" s="73"/>
      <c r="U379" s="14"/>
      <c r="V379" s="14"/>
      <c r="W379" s="70"/>
      <c r="X379" s="69"/>
      <c r="Y379" s="79">
        <f ca="1">Table24[[#This Row],[End Date]]+2-TODAY()</f>
        <v>-46005</v>
      </c>
      <c r="Z379" s="14">
        <f>IF(ISBLANK(Table24[[#This Row],[Roster Received By]]),1,0)</f>
        <v>1</v>
      </c>
      <c r="AA379" s="70">
        <f ca="1">IF(Table24[[#This Row],[Start Date]]&gt;TODAY(),1,)</f>
        <v>0</v>
      </c>
    </row>
    <row r="380" spans="1:27" s="52" customFormat="1" x14ac:dyDescent="0.25">
      <c r="B380" s="86"/>
      <c r="C380" s="70" t="e">
        <v>#N/A</v>
      </c>
      <c r="D380" s="70" t="e">
        <v>#N/A</v>
      </c>
      <c r="E380" s="69"/>
      <c r="F380" s="72"/>
      <c r="G380" s="72"/>
      <c r="H380" s="75"/>
      <c r="I380" s="75"/>
      <c r="J380" s="72"/>
      <c r="K380" s="72"/>
      <c r="L380" s="72"/>
      <c r="M380" s="72"/>
      <c r="N380" s="72"/>
      <c r="O380" s="69"/>
      <c r="P380" s="69"/>
      <c r="Q380" s="14" t="e">
        <v>#N/A</v>
      </c>
      <c r="R380" s="14" t="e">
        <v>#N/A</v>
      </c>
      <c r="S380" s="73"/>
      <c r="T380" s="73"/>
      <c r="U380" s="14"/>
      <c r="V380" s="14"/>
      <c r="W380" s="70"/>
      <c r="X380" s="69"/>
      <c r="Y380" s="79">
        <f ca="1">Table24[[#This Row],[End Date]]+2-TODAY()</f>
        <v>-46005</v>
      </c>
      <c r="Z380" s="14">
        <f>IF(ISBLANK(Table24[[#This Row],[Roster Received By]]),1,0)</f>
        <v>1</v>
      </c>
      <c r="AA380" s="70">
        <f ca="1">IF(Table24[[#This Row],[Start Date]]&gt;TODAY(),1,)</f>
        <v>0</v>
      </c>
    </row>
    <row r="381" spans="1:27" s="52" customFormat="1" x14ac:dyDescent="0.25">
      <c r="B381" s="55"/>
      <c r="C381" s="70" t="e">
        <v>#N/A</v>
      </c>
      <c r="D381" s="70" t="e">
        <v>#N/A</v>
      </c>
      <c r="E381" s="57"/>
      <c r="F381" s="56"/>
      <c r="G381" s="56"/>
      <c r="H381" s="71"/>
      <c r="I381" s="71"/>
      <c r="J381" s="72"/>
      <c r="K381" s="72"/>
      <c r="L381" s="72"/>
      <c r="M381" s="72"/>
      <c r="N381" s="72"/>
      <c r="O381" s="69"/>
      <c r="P381" s="69"/>
      <c r="Q381" s="14" t="e">
        <v>#N/A</v>
      </c>
      <c r="R381" s="14" t="e">
        <v>#N/A</v>
      </c>
      <c r="S381" s="14"/>
      <c r="T381" s="73"/>
      <c r="U381" s="14"/>
      <c r="V381" s="14"/>
      <c r="W381" s="70"/>
      <c r="X381" s="69"/>
      <c r="Y381" s="79">
        <f ca="1">Table24[[#This Row],[End Date]]+2-TODAY()</f>
        <v>-46005</v>
      </c>
      <c r="Z381" s="14">
        <f>IF(ISBLANK(Table24[[#This Row],[Roster Received By]]),1,0)</f>
        <v>1</v>
      </c>
      <c r="AA381" s="70">
        <f ca="1">IF(Table24[[#This Row],[Start Date]]&gt;TODAY(),1,)</f>
        <v>0</v>
      </c>
    </row>
    <row r="382" spans="1:27" s="52" customFormat="1" x14ac:dyDescent="0.25">
      <c r="A382" s="69"/>
      <c r="B382" s="86"/>
      <c r="C382" s="70" t="e">
        <v>#N/A</v>
      </c>
      <c r="D382" s="70" t="e">
        <v>#N/A</v>
      </c>
      <c r="E382" s="92"/>
      <c r="F382" s="72"/>
      <c r="G382" s="72"/>
      <c r="H382" s="72"/>
      <c r="I382" s="71"/>
      <c r="J382" s="71"/>
      <c r="K382" s="71"/>
      <c r="L382" s="71"/>
      <c r="M382" s="71"/>
      <c r="N382" s="71"/>
      <c r="O382" s="69"/>
      <c r="P382" s="69"/>
      <c r="Q382" s="14" t="e">
        <v>#N/A</v>
      </c>
      <c r="R382" s="14" t="e">
        <v>#N/A</v>
      </c>
      <c r="S382" s="14"/>
      <c r="T382" s="73"/>
      <c r="U382" s="14"/>
      <c r="V382" s="14"/>
      <c r="W382" s="70"/>
      <c r="X382" s="69"/>
      <c r="Y382" s="79">
        <f ca="1">Table24[[#This Row],[End Date]]+2-TODAY()</f>
        <v>-46005</v>
      </c>
      <c r="Z382" s="14">
        <f>IF(ISBLANK(Table24[[#This Row],[Roster Received By]]),1,0)</f>
        <v>1</v>
      </c>
      <c r="AA382" s="70">
        <f ca="1">IF(Table24[[#This Row],[Start Date]]&gt;TODAY(),1,)</f>
        <v>0</v>
      </c>
    </row>
    <row r="383" spans="1:27" s="52" customFormat="1" x14ac:dyDescent="0.25">
      <c r="B383" s="86"/>
      <c r="C383" s="70" t="e">
        <v>#N/A</v>
      </c>
      <c r="D383" s="70" t="e">
        <v>#N/A</v>
      </c>
      <c r="E383" s="57"/>
      <c r="F383" s="56"/>
      <c r="G383" s="56"/>
      <c r="H383" s="56"/>
      <c r="I383" s="71"/>
      <c r="J383" s="71"/>
      <c r="K383" s="71"/>
      <c r="L383" s="71"/>
      <c r="M383" s="71"/>
      <c r="N383" s="71"/>
      <c r="O383" s="69"/>
      <c r="P383" s="69"/>
      <c r="Q383" s="14" t="e">
        <v>#N/A</v>
      </c>
      <c r="R383" s="14" t="e">
        <v>#N/A</v>
      </c>
      <c r="S383" s="14"/>
      <c r="T383" s="73"/>
      <c r="U383" s="14"/>
      <c r="V383" s="14"/>
      <c r="W383" s="70"/>
      <c r="X383" s="69"/>
      <c r="Y383" s="79">
        <f ca="1">Table24[[#This Row],[End Date]]+2-TODAY()</f>
        <v>-46005</v>
      </c>
      <c r="Z383" s="14">
        <f>IF(ISBLANK(Table24[[#This Row],[Roster Received By]]),1,0)</f>
        <v>1</v>
      </c>
      <c r="AA383" s="70">
        <f ca="1">IF(Table24[[#This Row],[Start Date]]&gt;TODAY(),1,)</f>
        <v>0</v>
      </c>
    </row>
    <row r="384" spans="1:27" s="52" customFormat="1" x14ac:dyDescent="0.25">
      <c r="B384" s="86"/>
      <c r="C384" s="70" t="e">
        <v>#N/A</v>
      </c>
      <c r="D384" s="70" t="e">
        <v>#N/A</v>
      </c>
      <c r="E384" s="57"/>
      <c r="F384" s="56"/>
      <c r="G384" s="56"/>
      <c r="H384" s="56"/>
      <c r="I384" s="71"/>
      <c r="J384" s="71"/>
      <c r="K384" s="71"/>
      <c r="L384" s="71"/>
      <c r="M384" s="71"/>
      <c r="N384" s="71"/>
      <c r="O384" s="69"/>
      <c r="P384" s="69"/>
      <c r="Q384" s="14" t="e">
        <v>#N/A</v>
      </c>
      <c r="R384" s="14" t="e">
        <v>#N/A</v>
      </c>
      <c r="S384" s="14"/>
      <c r="T384" s="73"/>
      <c r="U384" s="14"/>
      <c r="V384" s="14"/>
      <c r="W384" s="70"/>
      <c r="X384" s="69"/>
      <c r="Y384" s="79">
        <f ca="1">Table24[[#This Row],[End Date]]+2-TODAY()</f>
        <v>-46005</v>
      </c>
      <c r="Z384" s="14">
        <f>IF(ISBLANK(Table24[[#This Row],[Roster Received By]]),1,0)</f>
        <v>1</v>
      </c>
      <c r="AA384" s="70">
        <f ca="1">IF(Table24[[#This Row],[Start Date]]&gt;TODAY(),1,)</f>
        <v>0</v>
      </c>
    </row>
    <row r="385" spans="1:27" s="52" customFormat="1" x14ac:dyDescent="0.25">
      <c r="B385" s="86"/>
      <c r="C385" s="70" t="e">
        <v>#N/A</v>
      </c>
      <c r="D385" s="70" t="e">
        <v>#N/A</v>
      </c>
      <c r="E385" s="57"/>
      <c r="F385" s="56"/>
      <c r="G385" s="56"/>
      <c r="H385" s="71"/>
      <c r="I385" s="71"/>
      <c r="J385" s="72"/>
      <c r="K385" s="72"/>
      <c r="L385" s="72"/>
      <c r="M385" s="72"/>
      <c r="N385" s="72"/>
      <c r="O385" s="69"/>
      <c r="P385" s="69"/>
      <c r="Q385" s="14" t="e">
        <v>#N/A</v>
      </c>
      <c r="R385" s="14" t="e">
        <v>#N/A</v>
      </c>
      <c r="S385" s="14"/>
      <c r="T385" s="73"/>
      <c r="U385" s="14"/>
      <c r="V385" s="14"/>
      <c r="W385" s="70"/>
      <c r="X385" s="69"/>
      <c r="Y385" s="79">
        <f ca="1">Table24[[#This Row],[End Date]]+2-TODAY()</f>
        <v>-46005</v>
      </c>
      <c r="Z385" s="14">
        <f>IF(ISBLANK(Table24[[#This Row],[Roster Received By]]),1,0)</f>
        <v>1</v>
      </c>
      <c r="AA385" s="70">
        <f ca="1">IF(Table24[[#This Row],[Start Date]]&gt;TODAY(),1,)</f>
        <v>0</v>
      </c>
    </row>
    <row r="386" spans="1:27" s="52" customFormat="1" x14ac:dyDescent="0.25">
      <c r="B386" s="86"/>
      <c r="C386" s="70" t="e">
        <v>#N/A</v>
      </c>
      <c r="D386" s="70" t="e">
        <v>#N/A</v>
      </c>
      <c r="E386" s="69"/>
      <c r="F386" s="56"/>
      <c r="G386" s="72"/>
      <c r="H386" s="72"/>
      <c r="I386" s="71"/>
      <c r="J386" s="71"/>
      <c r="K386" s="71"/>
      <c r="L386" s="71"/>
      <c r="M386" s="71"/>
      <c r="N386" s="71"/>
      <c r="O386" s="69"/>
      <c r="P386" s="69"/>
      <c r="Q386" s="14" t="e">
        <v>#N/A</v>
      </c>
      <c r="R386" s="14" t="e">
        <v>#N/A</v>
      </c>
      <c r="S386" s="14"/>
      <c r="T386" s="73"/>
      <c r="U386" s="14"/>
      <c r="V386" s="14"/>
      <c r="W386" s="70"/>
      <c r="X386" s="69"/>
      <c r="Y386" s="79">
        <f ca="1">Table24[[#This Row],[End Date]]+2-TODAY()</f>
        <v>-46005</v>
      </c>
      <c r="Z386" s="14">
        <f>IF(ISBLANK(Table24[[#This Row],[Roster Received By]]),1,0)</f>
        <v>1</v>
      </c>
      <c r="AA386" s="70">
        <f ca="1">IF(Table24[[#This Row],[Start Date]]&gt;TODAY(),1,)</f>
        <v>0</v>
      </c>
    </row>
    <row r="387" spans="1:27" s="52" customFormat="1" x14ac:dyDescent="0.25">
      <c r="B387" s="86"/>
      <c r="C387" s="70" t="e">
        <v>#N/A</v>
      </c>
      <c r="D387" s="70" t="e">
        <v>#N/A</v>
      </c>
      <c r="E387" s="86"/>
      <c r="F387" s="72"/>
      <c r="G387" s="72"/>
      <c r="H387" s="72"/>
      <c r="I387" s="71"/>
      <c r="J387" s="71"/>
      <c r="K387" s="71"/>
      <c r="L387" s="71"/>
      <c r="M387" s="71"/>
      <c r="N387" s="71"/>
      <c r="O387" s="69"/>
      <c r="P387" s="69"/>
      <c r="Q387" s="14" t="e">
        <v>#N/A</v>
      </c>
      <c r="R387" s="14" t="e">
        <v>#N/A</v>
      </c>
      <c r="S387" s="14"/>
      <c r="T387" s="73"/>
      <c r="U387" s="14"/>
      <c r="V387" s="14"/>
      <c r="W387" s="70"/>
      <c r="X387" s="69"/>
      <c r="Y387" s="79">
        <f ca="1">Table24[[#This Row],[End Date]]+2-TODAY()</f>
        <v>-46005</v>
      </c>
      <c r="Z387" s="14">
        <f>IF(ISBLANK(Table24[[#This Row],[Roster Received By]]),1,0)</f>
        <v>1</v>
      </c>
      <c r="AA387" s="70">
        <f ca="1">IF(Table24[[#This Row],[Start Date]]&gt;TODAY(),1,)</f>
        <v>0</v>
      </c>
    </row>
    <row r="388" spans="1:27" s="52" customFormat="1" x14ac:dyDescent="0.25">
      <c r="B388" s="55"/>
      <c r="C388" s="70" t="e">
        <v>#N/A</v>
      </c>
      <c r="D388" s="70" t="e">
        <v>#N/A</v>
      </c>
      <c r="E388" s="57"/>
      <c r="F388" s="56"/>
      <c r="G388" s="56"/>
      <c r="H388" s="71"/>
      <c r="I388" s="71"/>
      <c r="J388" s="72"/>
      <c r="K388" s="72"/>
      <c r="L388" s="72"/>
      <c r="M388" s="72"/>
      <c r="N388" s="72"/>
      <c r="O388" s="69"/>
      <c r="P388" s="69"/>
      <c r="Q388" s="14" t="e">
        <v>#N/A</v>
      </c>
      <c r="R388" s="14" t="e">
        <v>#N/A</v>
      </c>
      <c r="S388" s="14"/>
      <c r="T388" s="73"/>
      <c r="U388" s="14"/>
      <c r="V388" s="14"/>
      <c r="W388" s="70"/>
      <c r="X388" s="69"/>
      <c r="Y388" s="79">
        <f ca="1">Table24[[#This Row],[End Date]]+2-TODAY()</f>
        <v>-46005</v>
      </c>
      <c r="Z388" s="14">
        <f>IF(ISBLANK(Table24[[#This Row],[Roster Received By]]),1,0)</f>
        <v>1</v>
      </c>
      <c r="AA388" s="70">
        <f ca="1">IF(Table24[[#This Row],[Start Date]]&gt;TODAY(),1,)</f>
        <v>0</v>
      </c>
    </row>
    <row r="389" spans="1:27" s="52" customFormat="1" x14ac:dyDescent="0.25">
      <c r="B389" s="86"/>
      <c r="C389" s="70" t="e">
        <v>#N/A</v>
      </c>
      <c r="D389" s="70" t="e">
        <v>#N/A</v>
      </c>
      <c r="E389" s="57"/>
      <c r="F389" s="72"/>
      <c r="G389" s="72"/>
      <c r="H389" s="75"/>
      <c r="I389" s="75"/>
      <c r="J389" s="72"/>
      <c r="K389" s="72"/>
      <c r="L389" s="72"/>
      <c r="M389" s="72"/>
      <c r="N389" s="72"/>
      <c r="O389" s="69"/>
      <c r="P389" s="69"/>
      <c r="Q389" s="14" t="e">
        <v>#N/A</v>
      </c>
      <c r="R389" s="14" t="e">
        <v>#N/A</v>
      </c>
      <c r="S389" s="14"/>
      <c r="T389" s="73"/>
      <c r="U389" s="14"/>
      <c r="V389" s="14"/>
      <c r="W389" s="70"/>
      <c r="X389" s="69"/>
      <c r="Y389" s="79">
        <f ca="1">Table24[[#This Row],[End Date]]+2-TODAY()</f>
        <v>-46005</v>
      </c>
      <c r="Z389" s="14">
        <f>IF(ISBLANK(Table24[[#This Row],[Roster Received By]]),1,0)</f>
        <v>1</v>
      </c>
      <c r="AA389" s="70">
        <f ca="1">IF(Table24[[#This Row],[Start Date]]&gt;TODAY(),1,)</f>
        <v>0</v>
      </c>
    </row>
    <row r="390" spans="1:27" s="52" customFormat="1" x14ac:dyDescent="0.25">
      <c r="A390" s="69"/>
      <c r="B390" s="69"/>
      <c r="C390" s="70" t="e">
        <v>#N/A</v>
      </c>
      <c r="D390" s="70" t="e">
        <v>#N/A</v>
      </c>
      <c r="E390" s="92"/>
      <c r="F390" s="72"/>
      <c r="G390" s="72"/>
      <c r="H390" s="72"/>
      <c r="I390" s="71"/>
      <c r="J390" s="71"/>
      <c r="K390" s="71"/>
      <c r="L390" s="71"/>
      <c r="M390" s="71"/>
      <c r="N390" s="71"/>
      <c r="O390" s="69"/>
      <c r="P390" s="69"/>
      <c r="Q390" s="14" t="e">
        <v>#N/A</v>
      </c>
      <c r="R390" s="14" t="e">
        <v>#N/A</v>
      </c>
      <c r="S390" s="14"/>
      <c r="T390" s="73"/>
      <c r="U390" s="14"/>
      <c r="V390" s="14"/>
      <c r="W390" s="70"/>
      <c r="X390" s="69"/>
      <c r="Y390" s="79">
        <f ca="1">Table24[[#This Row],[End Date]]+2-TODAY()</f>
        <v>-46005</v>
      </c>
      <c r="Z390" s="14">
        <f>IF(ISBLANK(Table24[[#This Row],[Roster Received By]]),1,0)</f>
        <v>1</v>
      </c>
      <c r="AA390" s="70">
        <f ca="1">IF(Table24[[#This Row],[Start Date]]&gt;TODAY(),1,)</f>
        <v>0</v>
      </c>
    </row>
    <row r="391" spans="1:27" s="52" customFormat="1" x14ac:dyDescent="0.25">
      <c r="B391" s="69"/>
      <c r="C391" s="70" t="e">
        <v>#N/A</v>
      </c>
      <c r="D391" s="70" t="e">
        <v>#N/A</v>
      </c>
      <c r="E391" s="92"/>
      <c r="F391" s="72"/>
      <c r="G391" s="72"/>
      <c r="H391" s="72"/>
      <c r="I391" s="71"/>
      <c r="J391" s="71"/>
      <c r="K391" s="71"/>
      <c r="L391" s="71"/>
      <c r="M391" s="71"/>
      <c r="N391" s="71"/>
      <c r="O391" s="69"/>
      <c r="P391" s="69"/>
      <c r="Q391" s="14" t="e">
        <v>#N/A</v>
      </c>
      <c r="R391" s="14" t="e">
        <v>#N/A</v>
      </c>
      <c r="S391" s="14"/>
      <c r="T391" s="73"/>
      <c r="U391" s="14"/>
      <c r="V391" s="14"/>
      <c r="W391" s="70"/>
      <c r="X391" s="69"/>
      <c r="Y391" s="79">
        <f ca="1">Table24[[#This Row],[End Date]]+2-TODAY()</f>
        <v>-46005</v>
      </c>
      <c r="Z391" s="14">
        <f>IF(ISBLANK(Table24[[#This Row],[Roster Received By]]),1,0)</f>
        <v>1</v>
      </c>
      <c r="AA391" s="70">
        <f ca="1">IF(Table24[[#This Row],[Start Date]]&gt;TODAY(),1,)</f>
        <v>0</v>
      </c>
    </row>
    <row r="392" spans="1:27" s="52" customFormat="1" x14ac:dyDescent="0.25">
      <c r="B392" s="86"/>
      <c r="C392" s="70" t="e">
        <v>#N/A</v>
      </c>
      <c r="D392" s="70" t="e">
        <v>#N/A</v>
      </c>
      <c r="E392" s="92"/>
      <c r="F392" s="72"/>
      <c r="G392" s="72"/>
      <c r="H392" s="72"/>
      <c r="I392" s="71"/>
      <c r="J392" s="71"/>
      <c r="K392" s="71"/>
      <c r="L392" s="71"/>
      <c r="M392" s="71"/>
      <c r="N392" s="71"/>
      <c r="O392" s="69"/>
      <c r="P392" s="69"/>
      <c r="Q392" s="14" t="e">
        <v>#N/A</v>
      </c>
      <c r="R392" s="14" t="e">
        <v>#N/A</v>
      </c>
      <c r="S392" s="14"/>
      <c r="T392" s="73"/>
      <c r="U392" s="14"/>
      <c r="V392" s="14"/>
      <c r="W392" s="70"/>
      <c r="X392" s="69"/>
      <c r="Y392" s="79">
        <f ca="1">Table24[[#This Row],[End Date]]+2-TODAY()</f>
        <v>-46005</v>
      </c>
      <c r="Z392" s="14">
        <f>IF(ISBLANK(Table24[[#This Row],[Roster Received By]]),1,0)</f>
        <v>1</v>
      </c>
      <c r="AA392" s="70">
        <f ca="1">IF(Table24[[#This Row],[Start Date]]&gt;TODAY(),1,)</f>
        <v>0</v>
      </c>
    </row>
    <row r="393" spans="1:27" s="52" customFormat="1" x14ac:dyDescent="0.25">
      <c r="B393" s="86"/>
      <c r="C393" s="70" t="e">
        <v>#N/A</v>
      </c>
      <c r="D393" s="70" t="e">
        <v>#N/A</v>
      </c>
      <c r="E393" s="57"/>
      <c r="F393" s="72"/>
      <c r="G393" s="72"/>
      <c r="H393" s="78"/>
      <c r="I393" s="78"/>
      <c r="J393" s="72"/>
      <c r="K393" s="72"/>
      <c r="L393" s="72"/>
      <c r="M393" s="72"/>
      <c r="N393" s="72"/>
      <c r="O393" s="69"/>
      <c r="P393" s="69"/>
      <c r="Q393" s="14" t="e">
        <v>#N/A</v>
      </c>
      <c r="R393" s="14" t="e">
        <v>#N/A</v>
      </c>
      <c r="S393" s="14"/>
      <c r="T393" s="73"/>
      <c r="U393" s="14"/>
      <c r="V393" s="14"/>
      <c r="W393" s="70"/>
      <c r="X393" s="69"/>
      <c r="Y393" s="79">
        <f ca="1">Table24[[#This Row],[End Date]]+2-TODAY()</f>
        <v>-46005</v>
      </c>
      <c r="Z393" s="14">
        <f>IF(ISBLANK(Table24[[#This Row],[Roster Received By]]),1,0)</f>
        <v>1</v>
      </c>
      <c r="AA393" s="70">
        <f ca="1">IF(Table24[[#This Row],[Start Date]]&gt;TODAY(),1,)</f>
        <v>0</v>
      </c>
    </row>
    <row r="394" spans="1:27" s="52" customFormat="1" x14ac:dyDescent="0.25">
      <c r="B394" s="69"/>
      <c r="C394" s="70" t="e">
        <v>#N/A</v>
      </c>
      <c r="D394" s="70" t="e">
        <v>#N/A</v>
      </c>
      <c r="E394" s="69"/>
      <c r="F394" s="72"/>
      <c r="G394" s="72"/>
      <c r="H394" s="72"/>
      <c r="I394" s="71"/>
      <c r="J394" s="71"/>
      <c r="K394" s="71"/>
      <c r="L394" s="71"/>
      <c r="M394" s="71"/>
      <c r="N394" s="71"/>
      <c r="O394" s="69"/>
      <c r="P394" s="69"/>
      <c r="Q394" s="14" t="e">
        <v>#N/A</v>
      </c>
      <c r="R394" s="14" t="e">
        <v>#N/A</v>
      </c>
      <c r="S394" s="14"/>
      <c r="T394" s="73"/>
      <c r="U394" s="14"/>
      <c r="V394" s="14"/>
      <c r="W394" s="70"/>
      <c r="X394" s="69"/>
      <c r="Y394" s="79">
        <f ca="1">Table24[[#This Row],[End Date]]+2-TODAY()</f>
        <v>-46005</v>
      </c>
      <c r="Z394" s="14">
        <f>IF(ISBLANK(Table24[[#This Row],[Roster Received By]]),1,0)</f>
        <v>1</v>
      </c>
      <c r="AA394" s="70">
        <f ca="1">IF(Table24[[#This Row],[Start Date]]&gt;TODAY(),1,)</f>
        <v>0</v>
      </c>
    </row>
    <row r="395" spans="1:27" s="52" customFormat="1" x14ac:dyDescent="0.25">
      <c r="A395" s="69"/>
      <c r="B395" s="69"/>
      <c r="C395" s="70" t="e">
        <v>#N/A</v>
      </c>
      <c r="D395" s="70" t="e">
        <v>#N/A</v>
      </c>
      <c r="E395" s="92"/>
      <c r="F395" s="72"/>
      <c r="G395" s="72"/>
      <c r="H395" s="72"/>
      <c r="I395" s="71"/>
      <c r="J395" s="71"/>
      <c r="K395" s="71"/>
      <c r="L395" s="71"/>
      <c r="M395" s="71"/>
      <c r="N395" s="71"/>
      <c r="O395" s="69"/>
      <c r="P395" s="69"/>
      <c r="Q395" s="14" t="e">
        <v>#N/A</v>
      </c>
      <c r="R395" s="14" t="e">
        <v>#N/A</v>
      </c>
      <c r="S395" s="14"/>
      <c r="T395" s="73"/>
      <c r="U395" s="14"/>
      <c r="V395" s="14"/>
      <c r="W395" s="70"/>
      <c r="X395" s="69"/>
      <c r="Y395" s="79">
        <f ca="1">Table24[[#This Row],[End Date]]+2-TODAY()</f>
        <v>-46005</v>
      </c>
      <c r="Z395" s="14">
        <f>IF(ISBLANK(Table24[[#This Row],[Roster Received By]]),1,0)</f>
        <v>1</v>
      </c>
      <c r="AA395" s="70">
        <f ca="1">IF(Table24[[#This Row],[Start Date]]&gt;TODAY(),1,)</f>
        <v>0</v>
      </c>
    </row>
    <row r="396" spans="1:27" s="52" customFormat="1" x14ac:dyDescent="0.25">
      <c r="B396" s="69"/>
      <c r="C396" s="70" t="e">
        <v>#N/A</v>
      </c>
      <c r="D396" s="70" t="e">
        <v>#N/A</v>
      </c>
      <c r="E396" s="92"/>
      <c r="F396" s="72"/>
      <c r="G396" s="72"/>
      <c r="H396" s="75"/>
      <c r="I396" s="75"/>
      <c r="J396" s="72"/>
      <c r="K396" s="72"/>
      <c r="L396" s="95"/>
      <c r="M396" s="72"/>
      <c r="N396" s="72"/>
      <c r="O396" s="69"/>
      <c r="P396" s="69"/>
      <c r="Q396" s="14" t="e">
        <v>#N/A</v>
      </c>
      <c r="R396" s="14" t="e">
        <v>#N/A</v>
      </c>
      <c r="S396" s="73"/>
      <c r="T396" s="73"/>
      <c r="U396" s="14"/>
      <c r="V396" s="14"/>
      <c r="W396" s="70"/>
      <c r="X396" s="69"/>
      <c r="Y396" s="79">
        <f ca="1">Table24[[#This Row],[End Date]]+2-TODAY()</f>
        <v>-46005</v>
      </c>
      <c r="Z396" s="14">
        <f>IF(ISBLANK(Table24[[#This Row],[Roster Received By]]),1,0)</f>
        <v>1</v>
      </c>
      <c r="AA396" s="70">
        <f ca="1">IF(Table24[[#This Row],[Start Date]]&gt;TODAY(),1,)</f>
        <v>0</v>
      </c>
    </row>
    <row r="397" spans="1:27" s="52" customFormat="1" x14ac:dyDescent="0.25">
      <c r="B397" s="69"/>
      <c r="C397" s="70" t="e">
        <v>#N/A</v>
      </c>
      <c r="D397" s="70" t="e">
        <v>#N/A</v>
      </c>
      <c r="E397" s="92"/>
      <c r="F397" s="72"/>
      <c r="G397" s="72"/>
      <c r="H397" s="75"/>
      <c r="I397" s="75"/>
      <c r="J397" s="72"/>
      <c r="K397" s="72"/>
      <c r="L397" s="72"/>
      <c r="M397" s="72"/>
      <c r="N397" s="72"/>
      <c r="O397" s="69"/>
      <c r="P397" s="69"/>
      <c r="Q397" s="14" t="e">
        <v>#N/A</v>
      </c>
      <c r="R397" s="14" t="e">
        <v>#N/A</v>
      </c>
      <c r="S397" s="14"/>
      <c r="T397" s="73"/>
      <c r="U397" s="14"/>
      <c r="V397" s="14"/>
      <c r="W397" s="14"/>
      <c r="X397" s="69"/>
      <c r="Y397" s="60">
        <f ca="1">Table24[[#This Row],[End Date]]+2-TODAY()</f>
        <v>-46005</v>
      </c>
      <c r="Z397" s="14">
        <f>IF(ISBLANK(Table24[[#This Row],[Roster Received By]]),1,0)</f>
        <v>1</v>
      </c>
      <c r="AA397" s="14">
        <f ca="1">IF(Table24[[#This Row],[Start Date]]&gt;TODAY(),1,)</f>
        <v>0</v>
      </c>
    </row>
    <row r="398" spans="1:27" s="52" customFormat="1" x14ac:dyDescent="0.25">
      <c r="B398" s="69"/>
      <c r="C398" s="70" t="e">
        <v>#N/A</v>
      </c>
      <c r="D398" s="70" t="e">
        <v>#N/A</v>
      </c>
      <c r="E398" s="55"/>
      <c r="F398" s="56"/>
      <c r="G398" s="56"/>
      <c r="H398" s="71"/>
      <c r="I398" s="71"/>
      <c r="J398" s="72"/>
      <c r="K398" s="72"/>
      <c r="L398" s="72"/>
      <c r="M398" s="72"/>
      <c r="N398" s="72"/>
      <c r="O398" s="69"/>
      <c r="P398" s="69"/>
      <c r="Q398" s="14" t="e">
        <v>#N/A</v>
      </c>
      <c r="R398" s="14" t="e">
        <v>#N/A</v>
      </c>
      <c r="S398" s="14"/>
      <c r="T398" s="73"/>
      <c r="U398" s="14"/>
      <c r="V398" s="14"/>
      <c r="W398" s="14"/>
      <c r="X398" s="69"/>
      <c r="Y398" s="60">
        <f ca="1">Table24[[#This Row],[End Date]]+2-TODAY()</f>
        <v>-46005</v>
      </c>
      <c r="Z398" s="14">
        <f>IF(ISBLANK(Table24[[#This Row],[Roster Received By]]),1,0)</f>
        <v>1</v>
      </c>
      <c r="AA398" s="14">
        <f ca="1">IF(Table24[[#This Row],[Start Date]]&gt;TODAY(),1,)</f>
        <v>0</v>
      </c>
    </row>
    <row r="399" spans="1:27" s="52" customFormat="1" x14ac:dyDescent="0.25">
      <c r="B399" s="69"/>
      <c r="C399" s="70" t="e">
        <v>#N/A</v>
      </c>
      <c r="D399" s="70" t="e">
        <v>#N/A</v>
      </c>
      <c r="E399" s="57"/>
      <c r="F399" s="72"/>
      <c r="G399" s="72"/>
      <c r="H399" s="75"/>
      <c r="I399" s="75"/>
      <c r="J399" s="72"/>
      <c r="K399" s="72"/>
      <c r="L399" s="72"/>
      <c r="M399" s="72"/>
      <c r="N399" s="72"/>
      <c r="O399" s="69"/>
      <c r="P399" s="69"/>
      <c r="Q399" s="14" t="e">
        <v>#N/A</v>
      </c>
      <c r="R399" s="14" t="e">
        <v>#N/A</v>
      </c>
      <c r="S399" s="14"/>
      <c r="T399" s="73"/>
      <c r="U399" s="14"/>
      <c r="V399" s="14"/>
      <c r="W399" s="70"/>
      <c r="X399" s="69"/>
      <c r="Y399" s="79">
        <f ca="1">Table24[[#This Row],[End Date]]+2-TODAY()</f>
        <v>-46005</v>
      </c>
      <c r="Z399" s="14">
        <f>IF(ISBLANK(Table24[[#This Row],[Roster Received By]]),1,0)</f>
        <v>1</v>
      </c>
      <c r="AA399" s="70">
        <f ca="1">IF(Table24[[#This Row],[Start Date]]&gt;TODAY(),1,)</f>
        <v>0</v>
      </c>
    </row>
    <row r="400" spans="1:27" s="52" customFormat="1" x14ac:dyDescent="0.25">
      <c r="B400" s="86"/>
      <c r="C400" s="70" t="e">
        <v>#N/A</v>
      </c>
      <c r="D400" s="70" t="e">
        <v>#N/A</v>
      </c>
      <c r="E400" s="57"/>
      <c r="F400" s="72"/>
      <c r="G400" s="72"/>
      <c r="H400" s="75"/>
      <c r="I400" s="75"/>
      <c r="J400" s="72"/>
      <c r="K400" s="72"/>
      <c r="L400" s="72"/>
      <c r="M400" s="72"/>
      <c r="N400" s="72"/>
      <c r="O400" s="69"/>
      <c r="P400" s="69"/>
      <c r="Q400" s="14" t="e">
        <v>#N/A</v>
      </c>
      <c r="R400" s="14" t="e">
        <v>#N/A</v>
      </c>
      <c r="S400" s="14"/>
      <c r="T400" s="73"/>
      <c r="U400" s="14"/>
      <c r="V400" s="14"/>
      <c r="W400" s="70"/>
      <c r="X400" s="69"/>
      <c r="Y400" s="79">
        <f ca="1">Table24[[#This Row],[End Date]]+2-TODAY()</f>
        <v>-46005</v>
      </c>
      <c r="Z400" s="14">
        <f>IF(ISBLANK(Table24[[#This Row],[Roster Received By]]),1,0)</f>
        <v>1</v>
      </c>
      <c r="AA400" s="70">
        <f ca="1">IF(Table24[[#This Row],[Start Date]]&gt;TODAY(),1,)</f>
        <v>0</v>
      </c>
    </row>
    <row r="401" spans="1:27" s="52" customFormat="1" x14ac:dyDescent="0.25">
      <c r="B401" s="69"/>
      <c r="C401" s="70" t="e">
        <v>#N/A</v>
      </c>
      <c r="D401" s="70" t="e">
        <v>#N/A</v>
      </c>
      <c r="E401" s="92"/>
      <c r="F401" s="72"/>
      <c r="G401" s="72"/>
      <c r="H401" s="75"/>
      <c r="I401" s="75"/>
      <c r="J401" s="72"/>
      <c r="K401" s="72"/>
      <c r="L401" s="72"/>
      <c r="M401" s="72"/>
      <c r="N401" s="72"/>
      <c r="O401" s="69"/>
      <c r="P401" s="69"/>
      <c r="Q401" s="14" t="e">
        <v>#N/A</v>
      </c>
      <c r="R401" s="14" t="e">
        <v>#N/A</v>
      </c>
      <c r="S401" s="73"/>
      <c r="T401" s="73"/>
      <c r="U401" s="14"/>
      <c r="V401" s="14"/>
      <c r="W401" s="70"/>
      <c r="X401" s="69"/>
      <c r="Y401" s="79">
        <f ca="1">Table24[[#This Row],[End Date]]+2-TODAY()</f>
        <v>-46005</v>
      </c>
      <c r="Z401" s="14">
        <f>IF(ISBLANK(Table24[[#This Row],[Roster Received By]]),1,0)</f>
        <v>1</v>
      </c>
      <c r="AA401" s="70">
        <f ca="1">IF(Table24[[#This Row],[Start Date]]&gt;TODAY(),1,)</f>
        <v>0</v>
      </c>
    </row>
    <row r="402" spans="1:27" s="52" customFormat="1" x14ac:dyDescent="0.25">
      <c r="B402" s="69"/>
      <c r="C402" s="70" t="e">
        <v>#N/A</v>
      </c>
      <c r="D402" s="70" t="e">
        <v>#N/A</v>
      </c>
      <c r="E402" s="92"/>
      <c r="F402" s="72"/>
      <c r="G402" s="72"/>
      <c r="H402" s="75"/>
      <c r="I402" s="75"/>
      <c r="J402" s="75"/>
      <c r="K402" s="75"/>
      <c r="L402" s="75"/>
      <c r="M402" s="75"/>
      <c r="N402" s="75"/>
      <c r="O402" s="69"/>
      <c r="P402" s="69"/>
      <c r="Q402" s="14" t="e">
        <v>#N/A</v>
      </c>
      <c r="R402" s="14" t="e">
        <v>#N/A</v>
      </c>
      <c r="S402" s="14"/>
      <c r="T402" s="73"/>
      <c r="U402" s="14"/>
      <c r="V402" s="14"/>
      <c r="W402" s="14"/>
      <c r="X402" s="69"/>
      <c r="Y402" s="79">
        <f ca="1">Table24[[#This Row],[End Date]]+2-TODAY()</f>
        <v>-46005</v>
      </c>
      <c r="Z402" s="14">
        <f>IF(ISBLANK(Table24[[#This Row],[Roster Received By]]),1,0)</f>
        <v>1</v>
      </c>
      <c r="AA402" s="70">
        <f ca="1">IF(Table24[[#This Row],[Start Date]]&gt;TODAY(),1,)</f>
        <v>0</v>
      </c>
    </row>
    <row r="403" spans="1:27" s="52" customFormat="1" x14ac:dyDescent="0.25">
      <c r="B403" s="69"/>
      <c r="C403" s="70" t="e">
        <v>#N/A</v>
      </c>
      <c r="D403" s="70" t="e">
        <v>#N/A</v>
      </c>
      <c r="E403" s="69"/>
      <c r="F403" s="72"/>
      <c r="G403" s="72"/>
      <c r="H403" s="72"/>
      <c r="I403" s="71"/>
      <c r="J403" s="71"/>
      <c r="K403" s="71"/>
      <c r="L403" s="71"/>
      <c r="M403" s="71"/>
      <c r="N403" s="71"/>
      <c r="O403" s="69"/>
      <c r="P403" s="69"/>
      <c r="Q403" s="14" t="e">
        <v>#N/A</v>
      </c>
      <c r="R403" s="14" t="e">
        <v>#N/A</v>
      </c>
      <c r="S403" s="14"/>
      <c r="T403" s="73"/>
      <c r="U403" s="14"/>
      <c r="V403" s="14"/>
      <c r="W403" s="70"/>
      <c r="X403" s="69"/>
      <c r="Y403" s="79">
        <f ca="1">Table24[[#This Row],[End Date]]+2-TODAY()</f>
        <v>-46005</v>
      </c>
      <c r="Z403" s="14">
        <f>IF(ISBLANK(Table24[[#This Row],[Roster Received By]]),1,0)</f>
        <v>1</v>
      </c>
      <c r="AA403" s="70">
        <f ca="1">IF(Table24[[#This Row],[Start Date]]&gt;TODAY(),1,)</f>
        <v>0</v>
      </c>
    </row>
    <row r="404" spans="1:27" s="52" customFormat="1" x14ac:dyDescent="0.25">
      <c r="B404" s="69"/>
      <c r="C404" s="70" t="e">
        <v>#N/A</v>
      </c>
      <c r="D404" s="70" t="e">
        <v>#N/A</v>
      </c>
      <c r="E404" s="69"/>
      <c r="F404" s="72"/>
      <c r="G404" s="72"/>
      <c r="H404" s="75"/>
      <c r="I404" s="75"/>
      <c r="J404" s="75"/>
      <c r="K404" s="75"/>
      <c r="L404" s="75"/>
      <c r="M404" s="75"/>
      <c r="N404" s="72"/>
      <c r="O404" s="69"/>
      <c r="P404" s="69"/>
      <c r="Q404" s="14" t="e">
        <v>#N/A</v>
      </c>
      <c r="R404" s="14" t="e">
        <v>#N/A</v>
      </c>
      <c r="S404" s="14"/>
      <c r="T404" s="73"/>
      <c r="U404" s="14"/>
      <c r="V404" s="14"/>
      <c r="W404" s="70"/>
      <c r="X404" s="69"/>
      <c r="Y404" s="79">
        <f ca="1">Table24[[#This Row],[End Date]]+2-TODAY()</f>
        <v>-46005</v>
      </c>
      <c r="Z404" s="14">
        <f>IF(ISBLANK(Table24[[#This Row],[Roster Received By]]),1,0)</f>
        <v>1</v>
      </c>
      <c r="AA404" s="70">
        <f ca="1">IF(Table24[[#This Row],[Start Date]]&gt;TODAY(),1,)</f>
        <v>0</v>
      </c>
    </row>
    <row r="405" spans="1:27" s="52" customFormat="1" x14ac:dyDescent="0.25">
      <c r="B405" s="86"/>
      <c r="C405" s="70" t="e">
        <v>#N/A</v>
      </c>
      <c r="D405" s="70" t="e">
        <v>#N/A</v>
      </c>
      <c r="E405" s="69"/>
      <c r="F405" s="72"/>
      <c r="G405" s="72"/>
      <c r="H405" s="75"/>
      <c r="I405" s="75"/>
      <c r="J405" s="72"/>
      <c r="K405" s="72"/>
      <c r="L405" s="72"/>
      <c r="M405" s="72"/>
      <c r="N405" s="72"/>
      <c r="O405" s="69"/>
      <c r="P405" s="69"/>
      <c r="Q405" s="14" t="e">
        <v>#N/A</v>
      </c>
      <c r="R405" s="14" t="e">
        <v>#N/A</v>
      </c>
      <c r="S405" s="14"/>
      <c r="T405" s="73"/>
      <c r="U405" s="14"/>
      <c r="V405" s="14"/>
      <c r="W405" s="70"/>
      <c r="X405" s="69"/>
      <c r="Y405" s="79">
        <f ca="1">Table24[[#This Row],[End Date]]+2-TODAY()</f>
        <v>-46005</v>
      </c>
      <c r="Z405" s="14">
        <f>IF(ISBLANK(Table24[[#This Row],[Roster Received By]]),1,0)</f>
        <v>1</v>
      </c>
      <c r="AA405" s="70">
        <f ca="1">IF(Table24[[#This Row],[Start Date]]&gt;TODAY(),1,)</f>
        <v>0</v>
      </c>
    </row>
    <row r="406" spans="1:27" s="52" customFormat="1" x14ac:dyDescent="0.25">
      <c r="A406" s="112"/>
      <c r="B406" s="69"/>
      <c r="C406" s="70" t="e">
        <v>#N/A</v>
      </c>
      <c r="D406" s="70" t="e">
        <v>#N/A</v>
      </c>
      <c r="E406" s="69"/>
      <c r="F406" s="72"/>
      <c r="G406" s="72"/>
      <c r="H406" s="75"/>
      <c r="I406" s="75"/>
      <c r="J406" s="72"/>
      <c r="K406" s="72"/>
      <c r="L406" s="72"/>
      <c r="M406" s="72"/>
      <c r="N406" s="72"/>
      <c r="O406" s="69"/>
      <c r="P406" s="69"/>
      <c r="Q406" s="14" t="e">
        <v>#N/A</v>
      </c>
      <c r="R406" s="14" t="e">
        <v>#N/A</v>
      </c>
      <c r="S406" s="73"/>
      <c r="T406" s="73"/>
      <c r="U406" s="14"/>
      <c r="V406" s="14"/>
      <c r="W406" s="70"/>
      <c r="X406" s="69"/>
      <c r="Y406" s="79">
        <f ca="1">Table24[[#This Row],[End Date]]+2-TODAY()</f>
        <v>-46005</v>
      </c>
      <c r="Z406" s="14">
        <f>IF(ISBLANK(Table24[[#This Row],[Roster Received By]]),1,0)</f>
        <v>1</v>
      </c>
      <c r="AA406" s="70">
        <f ca="1">IF(Table24[[#This Row],[Start Date]]&gt;TODAY(),1,)</f>
        <v>0</v>
      </c>
    </row>
    <row r="407" spans="1:27" s="52" customFormat="1" x14ac:dyDescent="0.25">
      <c r="B407" s="69"/>
      <c r="C407" s="70" t="e">
        <v>#N/A</v>
      </c>
      <c r="D407" s="70" t="e">
        <v>#N/A</v>
      </c>
      <c r="E407" s="84"/>
      <c r="F407" s="85"/>
      <c r="G407" s="85"/>
      <c r="H407" s="85"/>
      <c r="I407" s="71"/>
      <c r="J407" s="71"/>
      <c r="K407" s="71"/>
      <c r="L407" s="71"/>
      <c r="M407" s="71"/>
      <c r="N407" s="71"/>
      <c r="O407" s="69"/>
      <c r="P407" s="69"/>
      <c r="Q407" s="14" t="e">
        <v>#N/A</v>
      </c>
      <c r="R407" s="14" t="e">
        <v>#N/A</v>
      </c>
      <c r="S407" s="14"/>
      <c r="T407" s="73"/>
      <c r="U407" s="14"/>
      <c r="V407" s="14"/>
      <c r="W407" s="70"/>
      <c r="X407" s="69"/>
      <c r="Y407" s="79">
        <f ca="1">Table24[[#This Row],[End Date]]+2-TODAY()</f>
        <v>-46005</v>
      </c>
      <c r="Z407" s="14">
        <f>IF(ISBLANK(Table24[[#This Row],[Roster Received By]]),1,0)</f>
        <v>1</v>
      </c>
      <c r="AA407" s="70">
        <f ca="1">IF(Table24[[#This Row],[Start Date]]&gt;TODAY(),1,)</f>
        <v>0</v>
      </c>
    </row>
    <row r="408" spans="1:27" s="52" customFormat="1" x14ac:dyDescent="0.25">
      <c r="B408" s="69"/>
      <c r="C408" s="70" t="e">
        <v>#N/A</v>
      </c>
      <c r="D408" s="70" t="e">
        <v>#N/A</v>
      </c>
      <c r="E408" s="54"/>
      <c r="F408" s="72"/>
      <c r="G408" s="72"/>
      <c r="H408" s="75"/>
      <c r="I408" s="75"/>
      <c r="J408" s="72"/>
      <c r="K408" s="72"/>
      <c r="L408" s="72"/>
      <c r="M408" s="72"/>
      <c r="N408" s="72"/>
      <c r="O408" s="69"/>
      <c r="P408" s="69"/>
      <c r="Q408" s="14" t="e">
        <v>#N/A</v>
      </c>
      <c r="R408" s="14" t="e">
        <v>#N/A</v>
      </c>
      <c r="S408" s="14"/>
      <c r="T408" s="73"/>
      <c r="U408" s="14"/>
      <c r="V408" s="14"/>
      <c r="W408" s="70"/>
      <c r="X408" s="69"/>
      <c r="Y408" s="79">
        <f ca="1">Table24[[#This Row],[End Date]]+2-TODAY()</f>
        <v>-46005</v>
      </c>
      <c r="Z408" s="14">
        <f>IF(ISBLANK(Table24[[#This Row],[Roster Received By]]),1,0)</f>
        <v>1</v>
      </c>
      <c r="AA408" s="70">
        <f ca="1">IF(Table24[[#This Row],[Start Date]]&gt;TODAY(),1,)</f>
        <v>0</v>
      </c>
    </row>
    <row r="409" spans="1:27" s="52" customFormat="1" x14ac:dyDescent="0.25">
      <c r="B409" s="69"/>
      <c r="C409" s="70" t="e">
        <v>#N/A</v>
      </c>
      <c r="D409" s="70" t="e">
        <v>#N/A</v>
      </c>
      <c r="E409" s="86"/>
      <c r="F409" s="80"/>
      <c r="G409" s="80"/>
      <c r="H409" s="75"/>
      <c r="I409" s="75"/>
      <c r="J409" s="72"/>
      <c r="K409" s="72"/>
      <c r="L409" s="72"/>
      <c r="M409" s="72"/>
      <c r="N409" s="72"/>
      <c r="O409" s="69"/>
      <c r="P409" s="69"/>
      <c r="Q409" s="14" t="e">
        <v>#N/A</v>
      </c>
      <c r="R409" s="14" t="e">
        <v>#N/A</v>
      </c>
      <c r="S409" s="14"/>
      <c r="T409" s="73"/>
      <c r="U409" s="14"/>
      <c r="V409" s="14"/>
      <c r="W409" s="70"/>
      <c r="X409" s="69"/>
      <c r="Y409" s="79">
        <f ca="1">Table24[[#This Row],[End Date]]+2-TODAY()</f>
        <v>-46005</v>
      </c>
      <c r="Z409" s="14">
        <f>IF(ISBLANK(Table24[[#This Row],[Roster Received By]]),1,0)</f>
        <v>1</v>
      </c>
      <c r="AA409" s="70">
        <f ca="1">IF(Table24[[#This Row],[Start Date]]&gt;TODAY(),1,)</f>
        <v>0</v>
      </c>
    </row>
    <row r="410" spans="1:27" s="52" customFormat="1" x14ac:dyDescent="0.25">
      <c r="B410" s="69"/>
      <c r="C410" s="70" t="e">
        <v>#N/A</v>
      </c>
      <c r="D410" s="70" t="e">
        <v>#N/A</v>
      </c>
      <c r="E410" s="86"/>
      <c r="F410" s="80"/>
      <c r="G410" s="80"/>
      <c r="H410" s="75"/>
      <c r="I410" s="75"/>
      <c r="J410" s="75"/>
      <c r="K410" s="75"/>
      <c r="L410" s="75"/>
      <c r="M410" s="75"/>
      <c r="N410" s="72"/>
      <c r="O410" s="69"/>
      <c r="P410" s="69"/>
      <c r="Q410" s="14" t="e">
        <v>#N/A</v>
      </c>
      <c r="R410" s="14" t="e">
        <v>#N/A</v>
      </c>
      <c r="S410" s="14"/>
      <c r="T410" s="73"/>
      <c r="U410" s="14"/>
      <c r="V410" s="14"/>
      <c r="W410" s="70"/>
      <c r="X410" s="69"/>
      <c r="Y410" s="79">
        <f ca="1">Table24[[#This Row],[End Date]]+2-TODAY()</f>
        <v>-46005</v>
      </c>
      <c r="Z410" s="14">
        <f>IF(ISBLANK(Table24[[#This Row],[Roster Received By]]),1,0)</f>
        <v>1</v>
      </c>
      <c r="AA410" s="70">
        <f ca="1">IF(Table24[[#This Row],[Start Date]]&gt;TODAY(),1,)</f>
        <v>0</v>
      </c>
    </row>
    <row r="411" spans="1:27" s="52" customFormat="1" x14ac:dyDescent="0.25">
      <c r="B411" s="69"/>
      <c r="C411" s="70" t="e">
        <v>#N/A</v>
      </c>
      <c r="D411" s="70" t="e">
        <v>#N/A</v>
      </c>
      <c r="E411" s="55"/>
      <c r="F411" s="68"/>
      <c r="G411" s="80"/>
      <c r="H411" s="75"/>
      <c r="I411" s="75"/>
      <c r="J411" s="72"/>
      <c r="K411" s="72"/>
      <c r="L411" s="72"/>
      <c r="M411" s="72"/>
      <c r="N411" s="72"/>
      <c r="O411" s="69"/>
      <c r="P411" s="69"/>
      <c r="Q411" s="14" t="e">
        <v>#N/A</v>
      </c>
      <c r="R411" s="14" t="e">
        <v>#N/A</v>
      </c>
      <c r="S411" s="14"/>
      <c r="T411" s="73"/>
      <c r="U411" s="14"/>
      <c r="V411" s="14"/>
      <c r="W411" s="70"/>
      <c r="X411" s="69"/>
      <c r="Y411" s="79">
        <f ca="1">Table24[[#This Row],[End Date]]+2-TODAY()</f>
        <v>-46005</v>
      </c>
      <c r="Z411" s="14">
        <f>IF(ISBLANK(Table24[[#This Row],[Roster Received By]]),1,0)</f>
        <v>1</v>
      </c>
      <c r="AA411" s="70">
        <f ca="1">IF(Table24[[#This Row],[Start Date]]&gt;TODAY(),1,)</f>
        <v>0</v>
      </c>
    </row>
    <row r="412" spans="1:27" s="52" customFormat="1" x14ac:dyDescent="0.25">
      <c r="B412" s="69"/>
      <c r="C412" s="70" t="e">
        <v>#N/A</v>
      </c>
      <c r="D412" s="70" t="e">
        <v>#N/A</v>
      </c>
      <c r="E412" s="92"/>
      <c r="F412" s="80"/>
      <c r="G412" s="80"/>
      <c r="H412" s="72"/>
      <c r="I412" s="71"/>
      <c r="J412" s="71"/>
      <c r="K412" s="71"/>
      <c r="L412" s="71"/>
      <c r="M412" s="71"/>
      <c r="N412" s="71"/>
      <c r="O412" s="69"/>
      <c r="P412" s="69"/>
      <c r="Q412" s="14" t="e">
        <v>#N/A</v>
      </c>
      <c r="R412" s="14" t="e">
        <v>#N/A</v>
      </c>
      <c r="S412" s="14"/>
      <c r="T412" s="73"/>
      <c r="U412" s="14"/>
      <c r="V412" s="14"/>
      <c r="W412" s="70"/>
      <c r="X412" s="69"/>
      <c r="Y412" s="79">
        <f ca="1">Table24[[#This Row],[End Date]]+2-TODAY()</f>
        <v>-46005</v>
      </c>
      <c r="Z412" s="14">
        <f>IF(ISBLANK(Table24[[#This Row],[Roster Received By]]),1,0)</f>
        <v>1</v>
      </c>
      <c r="AA412" s="70">
        <f ca="1">IF(Table24[[#This Row],[Start Date]]&gt;TODAY(),1,)</f>
        <v>0</v>
      </c>
    </row>
    <row r="413" spans="1:27" s="52" customFormat="1" x14ac:dyDescent="0.25">
      <c r="B413" s="69"/>
      <c r="C413" s="70" t="e">
        <v>#N/A</v>
      </c>
      <c r="D413" s="70" t="e">
        <v>#N/A</v>
      </c>
      <c r="E413" s="92"/>
      <c r="F413" s="80"/>
      <c r="G413" s="80"/>
      <c r="H413" s="72"/>
      <c r="I413" s="71"/>
      <c r="J413" s="71"/>
      <c r="K413" s="71"/>
      <c r="L413" s="71"/>
      <c r="M413" s="71"/>
      <c r="N413" s="71"/>
      <c r="O413" s="69"/>
      <c r="P413" s="69"/>
      <c r="Q413" s="14" t="e">
        <v>#N/A</v>
      </c>
      <c r="R413" s="14" t="e">
        <v>#N/A</v>
      </c>
      <c r="S413" s="14"/>
      <c r="T413" s="73"/>
      <c r="U413" s="14"/>
      <c r="V413" s="14"/>
      <c r="W413" s="70"/>
      <c r="X413" s="69"/>
      <c r="Y413" s="79">
        <f ca="1">Table24[[#This Row],[End Date]]+2-TODAY()</f>
        <v>-46005</v>
      </c>
      <c r="Z413" s="14">
        <f>IF(ISBLANK(Table24[[#This Row],[Roster Received By]]),1,0)</f>
        <v>1</v>
      </c>
      <c r="AA413" s="70">
        <f ca="1">IF(Table24[[#This Row],[Start Date]]&gt;TODAY(),1,)</f>
        <v>0</v>
      </c>
    </row>
    <row r="414" spans="1:27" s="52" customFormat="1" x14ac:dyDescent="0.25">
      <c r="B414" s="69"/>
      <c r="C414" s="70" t="e">
        <v>#N/A</v>
      </c>
      <c r="D414" s="70" t="e">
        <v>#N/A</v>
      </c>
      <c r="E414" s="92"/>
      <c r="F414" s="80"/>
      <c r="G414" s="80"/>
      <c r="H414" s="72"/>
      <c r="I414" s="71"/>
      <c r="J414" s="71"/>
      <c r="K414" s="71"/>
      <c r="L414" s="71"/>
      <c r="M414" s="71"/>
      <c r="N414" s="71"/>
      <c r="O414" s="69"/>
      <c r="P414" s="69"/>
      <c r="Q414" s="14" t="e">
        <v>#N/A</v>
      </c>
      <c r="R414" s="14" t="e">
        <v>#N/A</v>
      </c>
      <c r="S414" s="14"/>
      <c r="T414" s="73"/>
      <c r="U414" s="14"/>
      <c r="V414" s="14"/>
      <c r="W414" s="70"/>
      <c r="X414" s="69"/>
      <c r="Y414" s="79">
        <f ca="1">Table24[[#This Row],[End Date]]+2-TODAY()</f>
        <v>-46005</v>
      </c>
      <c r="Z414" s="14">
        <f>IF(ISBLANK(Table24[[#This Row],[Roster Received By]]),1,0)</f>
        <v>1</v>
      </c>
      <c r="AA414" s="70">
        <f ca="1">IF(Table24[[#This Row],[Start Date]]&gt;TODAY(),1,)</f>
        <v>0</v>
      </c>
    </row>
    <row r="415" spans="1:27" s="52" customFormat="1" x14ac:dyDescent="0.25">
      <c r="B415" s="69"/>
      <c r="C415" s="70" t="e">
        <v>#N/A</v>
      </c>
      <c r="D415" s="70" t="e">
        <v>#N/A</v>
      </c>
      <c r="E415" s="92"/>
      <c r="F415" s="72"/>
      <c r="G415" s="72"/>
      <c r="H415" s="72"/>
      <c r="I415" s="71"/>
      <c r="J415" s="71"/>
      <c r="K415" s="71"/>
      <c r="L415" s="71"/>
      <c r="M415" s="71"/>
      <c r="N415" s="71"/>
      <c r="O415" s="69"/>
      <c r="P415" s="69"/>
      <c r="Q415" s="14" t="e">
        <v>#N/A</v>
      </c>
      <c r="R415" s="14" t="e">
        <v>#N/A</v>
      </c>
      <c r="S415" s="14"/>
      <c r="T415" s="73"/>
      <c r="U415" s="14"/>
      <c r="V415" s="14"/>
      <c r="W415" s="70"/>
      <c r="X415" s="69"/>
      <c r="Y415" s="79">
        <f ca="1">Table24[[#This Row],[End Date]]+2-TODAY()</f>
        <v>-46005</v>
      </c>
      <c r="Z415" s="14">
        <f>IF(ISBLANK(Table24[[#This Row],[Roster Received By]]),1,0)</f>
        <v>1</v>
      </c>
      <c r="AA415" s="70">
        <f ca="1">IF(Table24[[#This Row],[Start Date]]&gt;TODAY(),1,)</f>
        <v>0</v>
      </c>
    </row>
    <row r="416" spans="1:27" s="52" customFormat="1" x14ac:dyDescent="0.25">
      <c r="B416" s="69"/>
      <c r="C416" s="70" t="e">
        <v>#N/A</v>
      </c>
      <c r="D416" s="70" t="e">
        <v>#N/A</v>
      </c>
      <c r="E416" s="92"/>
      <c r="F416" s="72"/>
      <c r="G416" s="72"/>
      <c r="H416" s="78"/>
      <c r="I416" s="78"/>
      <c r="J416" s="72"/>
      <c r="K416" s="72"/>
      <c r="L416" s="72"/>
      <c r="M416" s="72"/>
      <c r="N416" s="72"/>
      <c r="O416" s="69"/>
      <c r="P416" s="69"/>
      <c r="Q416" s="14" t="e">
        <v>#N/A</v>
      </c>
      <c r="R416" s="14" t="e">
        <v>#N/A</v>
      </c>
      <c r="S416" s="14"/>
      <c r="T416" s="73"/>
      <c r="U416" s="14"/>
      <c r="V416" s="14"/>
      <c r="W416" s="70"/>
      <c r="X416" s="69"/>
      <c r="Y416" s="79">
        <f ca="1">Table24[[#This Row],[End Date]]+2-TODAY()</f>
        <v>-46005</v>
      </c>
      <c r="Z416" s="14">
        <f>IF(ISBLANK(Table24[[#This Row],[Roster Received By]]),1,0)</f>
        <v>1</v>
      </c>
      <c r="AA416" s="70">
        <f ca="1">IF(Table24[[#This Row],[Start Date]]&gt;TODAY(),1,)</f>
        <v>0</v>
      </c>
    </row>
    <row r="417" spans="1:27" s="52" customFormat="1" x14ac:dyDescent="0.25">
      <c r="A417" s="69"/>
      <c r="B417" s="69"/>
      <c r="C417" s="70" t="e">
        <v>#N/A</v>
      </c>
      <c r="D417" s="70" t="e">
        <v>#N/A</v>
      </c>
      <c r="E417" s="92"/>
      <c r="F417" s="72"/>
      <c r="G417" s="72"/>
      <c r="H417" s="78"/>
      <c r="I417" s="78"/>
      <c r="J417" s="72"/>
      <c r="K417" s="72"/>
      <c r="L417" s="72"/>
      <c r="M417" s="72"/>
      <c r="N417" s="72"/>
      <c r="O417" s="69"/>
      <c r="P417" s="69"/>
      <c r="Q417" s="14" t="e">
        <v>#N/A</v>
      </c>
      <c r="R417" s="14" t="e">
        <v>#N/A</v>
      </c>
      <c r="S417" s="14"/>
      <c r="T417" s="73"/>
      <c r="U417" s="14"/>
      <c r="V417" s="14"/>
      <c r="W417" s="70"/>
      <c r="X417" s="69"/>
      <c r="Y417" s="79">
        <f ca="1">Table24[[#This Row],[End Date]]+2-TODAY()</f>
        <v>-46005</v>
      </c>
      <c r="Z417" s="14">
        <f>IF(ISBLANK(Table24[[#This Row],[Roster Received By]]),1,0)</f>
        <v>1</v>
      </c>
      <c r="AA417" s="70">
        <f ca="1">IF(Table24[[#This Row],[Start Date]]&gt;TODAY(),1,)</f>
        <v>0</v>
      </c>
    </row>
    <row r="418" spans="1:27" s="52" customFormat="1" x14ac:dyDescent="0.25">
      <c r="B418" s="69"/>
      <c r="C418" s="70" t="e">
        <v>#N/A</v>
      </c>
      <c r="D418" s="70" t="e">
        <v>#N/A</v>
      </c>
      <c r="E418" s="92"/>
      <c r="F418" s="72"/>
      <c r="G418" s="72"/>
      <c r="H418" s="72"/>
      <c r="I418" s="71"/>
      <c r="J418" s="71"/>
      <c r="K418" s="71"/>
      <c r="L418" s="71"/>
      <c r="M418" s="71"/>
      <c r="N418" s="71"/>
      <c r="O418" s="69"/>
      <c r="P418" s="69"/>
      <c r="Q418" s="14" t="e">
        <v>#N/A</v>
      </c>
      <c r="R418" s="14" t="e">
        <v>#N/A</v>
      </c>
      <c r="S418" s="14"/>
      <c r="T418" s="73"/>
      <c r="U418" s="14"/>
      <c r="V418" s="14"/>
      <c r="W418" s="70"/>
      <c r="X418" s="69"/>
      <c r="Y418" s="79">
        <f ca="1">Table24[[#This Row],[End Date]]+2-TODAY()</f>
        <v>-46005</v>
      </c>
      <c r="Z418" s="14">
        <f>IF(ISBLANK(Table24[[#This Row],[Roster Received By]]),1,0)</f>
        <v>1</v>
      </c>
      <c r="AA418" s="70">
        <f ca="1">IF(Table24[[#This Row],[Start Date]]&gt;TODAY(),1,)</f>
        <v>0</v>
      </c>
    </row>
    <row r="419" spans="1:27" s="52" customFormat="1" x14ac:dyDescent="0.25">
      <c r="B419" s="69"/>
      <c r="C419" s="70" t="e">
        <v>#N/A</v>
      </c>
      <c r="D419" s="70" t="e">
        <v>#N/A</v>
      </c>
      <c r="E419" s="69"/>
      <c r="F419" s="72"/>
      <c r="G419" s="72"/>
      <c r="H419" s="72"/>
      <c r="I419" s="71"/>
      <c r="J419" s="71"/>
      <c r="K419" s="71"/>
      <c r="L419" s="71"/>
      <c r="M419" s="71"/>
      <c r="N419" s="71"/>
      <c r="O419" s="69"/>
      <c r="P419" s="69"/>
      <c r="Q419" s="14" t="e">
        <v>#N/A</v>
      </c>
      <c r="R419" s="14" t="e">
        <v>#N/A</v>
      </c>
      <c r="S419" s="14"/>
      <c r="T419" s="73"/>
      <c r="U419" s="14"/>
      <c r="V419" s="14"/>
      <c r="W419" s="70"/>
      <c r="X419" s="69"/>
      <c r="Y419" s="79">
        <f ca="1">Table24[[#This Row],[End Date]]+2-TODAY()</f>
        <v>-46005</v>
      </c>
      <c r="Z419" s="14">
        <f>IF(ISBLANK(Table24[[#This Row],[Roster Received By]]),1,0)</f>
        <v>1</v>
      </c>
      <c r="AA419" s="70">
        <f ca="1">IF(Table24[[#This Row],[Start Date]]&gt;TODAY(),1,)</f>
        <v>0</v>
      </c>
    </row>
    <row r="420" spans="1:27" s="52" customFormat="1" x14ac:dyDescent="0.25">
      <c r="B420" s="69"/>
      <c r="C420" s="70" t="e">
        <v>#N/A</v>
      </c>
      <c r="D420" s="70" t="e">
        <v>#N/A</v>
      </c>
      <c r="E420" s="69"/>
      <c r="F420" s="72"/>
      <c r="G420" s="72"/>
      <c r="H420" s="75"/>
      <c r="I420" s="82"/>
      <c r="J420" s="82"/>
      <c r="K420" s="82"/>
      <c r="L420" s="82"/>
      <c r="M420" s="82"/>
      <c r="N420" s="82"/>
      <c r="O420" s="69"/>
      <c r="P420" s="69"/>
      <c r="Q420" s="14" t="e">
        <v>#N/A</v>
      </c>
      <c r="R420" s="14" t="e">
        <v>#N/A</v>
      </c>
      <c r="S420" s="73"/>
      <c r="T420" s="83"/>
      <c r="U420" s="83"/>
      <c r="V420" s="83"/>
      <c r="W420" s="83"/>
      <c r="X420" s="69"/>
      <c r="Y420" s="83"/>
    </row>
    <row r="421" spans="1:27" s="52" customFormat="1" x14ac:dyDescent="0.25">
      <c r="B421" s="69"/>
      <c r="C421" s="70" t="e">
        <v>#N/A</v>
      </c>
      <c r="D421" s="70" t="e">
        <v>#N/A</v>
      </c>
      <c r="E421" s="69"/>
      <c r="F421" s="72"/>
      <c r="G421" s="72"/>
      <c r="H421" s="75"/>
      <c r="I421" s="75"/>
      <c r="J421" s="72"/>
      <c r="K421" s="72"/>
      <c r="L421" s="72"/>
      <c r="M421" s="72"/>
      <c r="N421" s="72"/>
      <c r="O421" s="69"/>
      <c r="P421" s="69"/>
      <c r="Q421" s="14" t="e">
        <v>#N/A</v>
      </c>
      <c r="R421" s="14" t="e">
        <v>#N/A</v>
      </c>
      <c r="S421" s="73"/>
      <c r="T421" s="73"/>
      <c r="U421" s="14"/>
      <c r="V421" s="14"/>
      <c r="W421" s="70"/>
      <c r="X421" s="69"/>
      <c r="Y421" s="79">
        <f ca="1">Table24[[#This Row],[End Date]]+2-TODAY()</f>
        <v>-46005</v>
      </c>
      <c r="Z421" s="14">
        <f>IF(ISBLANK(Table24[[#This Row],[Roster Received By]]),1,0)</f>
        <v>1</v>
      </c>
      <c r="AA421" s="70">
        <f ca="1">IF(Table24[[#This Row],[Start Date]]&gt;TODAY(),1,)</f>
        <v>0</v>
      </c>
    </row>
    <row r="422" spans="1:27" s="52" customFormat="1" x14ac:dyDescent="0.25">
      <c r="B422" s="69"/>
      <c r="C422" s="70" t="e">
        <v>#N/A</v>
      </c>
      <c r="D422" s="70" t="e">
        <v>#N/A</v>
      </c>
      <c r="E422" s="54"/>
      <c r="F422" s="72"/>
      <c r="G422" s="72"/>
      <c r="H422" s="75"/>
      <c r="I422" s="75"/>
      <c r="J422" s="72"/>
      <c r="K422" s="72"/>
      <c r="L422" s="72"/>
      <c r="M422" s="72"/>
      <c r="N422" s="72"/>
      <c r="O422" s="69"/>
      <c r="P422" s="69"/>
      <c r="Q422" s="14" t="e">
        <v>#N/A</v>
      </c>
      <c r="R422" s="14" t="e">
        <v>#N/A</v>
      </c>
      <c r="S422" s="14"/>
      <c r="T422" s="73"/>
      <c r="U422" s="14"/>
      <c r="V422" s="14"/>
      <c r="W422" s="14"/>
      <c r="X422" s="69"/>
      <c r="Y422" s="60">
        <f ca="1">Table24[[#This Row],[End Date]]+2-TODAY()</f>
        <v>-46005</v>
      </c>
      <c r="Z422" s="14">
        <f>IF(ISBLANK(Table24[[#This Row],[Roster Received By]]),1,0)</f>
        <v>1</v>
      </c>
      <c r="AA422" s="14">
        <f ca="1">IF(Table24[[#This Row],[Start Date]]&gt;TODAY(),1,)</f>
        <v>0</v>
      </c>
    </row>
    <row r="423" spans="1:27" s="52" customFormat="1" x14ac:dyDescent="0.25">
      <c r="B423" s="69"/>
      <c r="C423" s="70" t="e">
        <v>#N/A</v>
      </c>
      <c r="D423" s="70" t="e">
        <v>#N/A</v>
      </c>
      <c r="E423" s="69"/>
      <c r="F423" s="72"/>
      <c r="G423" s="72"/>
      <c r="H423" s="75"/>
      <c r="I423" s="75"/>
      <c r="J423" s="72"/>
      <c r="K423" s="72"/>
      <c r="L423" s="72"/>
      <c r="M423" s="72"/>
      <c r="N423" s="72"/>
      <c r="O423" s="69"/>
      <c r="P423" s="69"/>
      <c r="Q423" s="14" t="e">
        <v>#N/A</v>
      </c>
      <c r="R423" s="14" t="e">
        <v>#N/A</v>
      </c>
      <c r="S423" s="14"/>
      <c r="T423" s="73"/>
      <c r="U423" s="14"/>
      <c r="V423" s="14"/>
      <c r="W423" s="70"/>
      <c r="X423" s="69"/>
      <c r="Y423" s="79">
        <f ca="1">Table24[[#This Row],[End Date]]+2-TODAY()</f>
        <v>-46005</v>
      </c>
      <c r="Z423" s="14">
        <f>IF(ISBLANK(Table24[[#This Row],[Roster Received By]]),1,0)</f>
        <v>1</v>
      </c>
      <c r="AA423" s="70">
        <f ca="1">IF(Table24[[#This Row],[Start Date]]&gt;TODAY(),1,)</f>
        <v>0</v>
      </c>
    </row>
    <row r="424" spans="1:27" s="52" customFormat="1" x14ac:dyDescent="0.25">
      <c r="B424" s="69"/>
      <c r="C424" s="70" t="e">
        <v>#N/A</v>
      </c>
      <c r="D424" s="70" t="e">
        <v>#N/A</v>
      </c>
      <c r="E424" s="54"/>
      <c r="F424" s="72"/>
      <c r="G424" s="72"/>
      <c r="H424" s="75"/>
      <c r="I424" s="75"/>
      <c r="J424" s="72"/>
      <c r="K424" s="72"/>
      <c r="L424" s="72"/>
      <c r="M424" s="72"/>
      <c r="N424" s="72"/>
      <c r="O424" s="69"/>
      <c r="P424" s="69"/>
      <c r="Q424" s="14" t="e">
        <v>#N/A</v>
      </c>
      <c r="R424" s="14" t="e">
        <v>#N/A</v>
      </c>
      <c r="S424" s="14"/>
      <c r="T424" s="73"/>
      <c r="U424" s="14"/>
      <c r="V424" s="14"/>
      <c r="W424" s="70"/>
      <c r="X424" s="69"/>
      <c r="Y424" s="79">
        <f ca="1">Table24[[#This Row],[End Date]]+2-TODAY()</f>
        <v>-46005</v>
      </c>
      <c r="Z424" s="14">
        <f>IF(ISBLANK(Table24[[#This Row],[Roster Received By]]),1,0)</f>
        <v>1</v>
      </c>
      <c r="AA424" s="70">
        <f ca="1">IF(Table24[[#This Row],[Start Date]]&gt;TODAY(),1,)</f>
        <v>0</v>
      </c>
    </row>
    <row r="425" spans="1:27" s="52" customFormat="1" x14ac:dyDescent="0.25">
      <c r="B425" s="69"/>
      <c r="C425" s="70" t="e">
        <v>#N/A</v>
      </c>
      <c r="D425" s="70" t="e">
        <v>#N/A</v>
      </c>
      <c r="E425" s="69"/>
      <c r="F425" s="72"/>
      <c r="G425" s="72"/>
      <c r="H425" s="75"/>
      <c r="I425" s="75"/>
      <c r="J425" s="72"/>
      <c r="K425" s="72"/>
      <c r="L425" s="72"/>
      <c r="M425" s="72"/>
      <c r="N425" s="72"/>
      <c r="O425" s="69"/>
      <c r="P425" s="69"/>
      <c r="Q425" s="14" t="e">
        <v>#N/A</v>
      </c>
      <c r="R425" s="14" t="e">
        <v>#N/A</v>
      </c>
      <c r="S425" s="14"/>
      <c r="T425" s="73"/>
      <c r="U425" s="14"/>
      <c r="V425" s="14"/>
      <c r="W425" s="14"/>
      <c r="X425" s="69"/>
      <c r="Y425" s="79">
        <f ca="1">Table24[[#This Row],[End Date]]+2-TODAY()</f>
        <v>-46005</v>
      </c>
      <c r="Z425" s="14">
        <f>IF(ISBLANK(Table24[[#This Row],[Roster Received By]]),1,0)</f>
        <v>1</v>
      </c>
      <c r="AA425" s="70">
        <f ca="1">IF(Table24[[#This Row],[Start Date]]&gt;TODAY(),1,)</f>
        <v>0</v>
      </c>
    </row>
    <row r="426" spans="1:27" s="52" customFormat="1" x14ac:dyDescent="0.25">
      <c r="A426" s="69"/>
      <c r="B426" s="69"/>
      <c r="C426" s="70" t="e">
        <v>#N/A</v>
      </c>
      <c r="D426" s="70" t="e">
        <v>#N/A</v>
      </c>
      <c r="E426" s="69"/>
      <c r="F426" s="72"/>
      <c r="G426" s="72"/>
      <c r="H426" s="75"/>
      <c r="I426" s="75"/>
      <c r="J426" s="72"/>
      <c r="K426" s="72"/>
      <c r="L426" s="72"/>
      <c r="M426" s="72"/>
      <c r="N426" s="72"/>
      <c r="O426" s="69"/>
      <c r="P426" s="69"/>
      <c r="Q426" s="14" t="e">
        <v>#N/A</v>
      </c>
      <c r="R426" s="14" t="e">
        <v>#N/A</v>
      </c>
      <c r="S426" s="14"/>
      <c r="T426" s="73"/>
      <c r="U426" s="14"/>
      <c r="V426" s="14"/>
      <c r="W426" s="70"/>
      <c r="X426" s="69"/>
      <c r="Y426" s="79">
        <f ca="1">Table24[[#This Row],[End Date]]+2-TODAY()</f>
        <v>-46005</v>
      </c>
      <c r="Z426" s="14">
        <f>IF(ISBLANK(Table24[[#This Row],[Roster Received By]]),1,0)</f>
        <v>1</v>
      </c>
      <c r="AA426" s="70">
        <f ca="1">IF(Table24[[#This Row],[Start Date]]&gt;TODAY(),1,)</f>
        <v>0</v>
      </c>
    </row>
    <row r="427" spans="1:27" s="52" customFormat="1" x14ac:dyDescent="0.25">
      <c r="B427" s="69"/>
      <c r="C427" s="70" t="e">
        <v>#N/A</v>
      </c>
      <c r="D427" s="70" t="e">
        <v>#N/A</v>
      </c>
      <c r="E427" s="69"/>
      <c r="F427" s="72"/>
      <c r="G427" s="72"/>
      <c r="H427" s="75"/>
      <c r="I427" s="75"/>
      <c r="J427" s="72"/>
      <c r="K427" s="72"/>
      <c r="L427" s="72"/>
      <c r="M427" s="72"/>
      <c r="N427" s="72"/>
      <c r="O427" s="69"/>
      <c r="P427" s="69"/>
      <c r="Q427" s="14" t="e">
        <v>#N/A</v>
      </c>
      <c r="R427" s="14" t="e">
        <v>#N/A</v>
      </c>
      <c r="S427" s="14"/>
      <c r="T427" s="73"/>
      <c r="U427" s="14"/>
      <c r="V427" s="14"/>
      <c r="W427" s="70"/>
      <c r="X427" s="69"/>
      <c r="Y427" s="79">
        <f ca="1">Table24[[#This Row],[End Date]]+2-TODAY()</f>
        <v>-46005</v>
      </c>
      <c r="Z427" s="14">
        <f>IF(ISBLANK(Table24[[#This Row],[Roster Received By]]),1,0)</f>
        <v>1</v>
      </c>
      <c r="AA427" s="70">
        <f ca="1">IF(Table24[[#This Row],[Start Date]]&gt;TODAY(),1,)</f>
        <v>0</v>
      </c>
    </row>
    <row r="428" spans="1:27" s="52" customFormat="1" x14ac:dyDescent="0.25">
      <c r="B428" s="69"/>
      <c r="C428" s="70" t="e">
        <v>#N/A</v>
      </c>
      <c r="D428" s="70" t="e">
        <v>#N/A</v>
      </c>
      <c r="E428" s="69"/>
      <c r="F428" s="72"/>
      <c r="G428" s="72"/>
      <c r="H428" s="75"/>
      <c r="I428" s="75"/>
      <c r="J428" s="72"/>
      <c r="K428" s="72"/>
      <c r="L428" s="72"/>
      <c r="M428" s="72"/>
      <c r="N428" s="72"/>
      <c r="O428" s="69"/>
      <c r="P428" s="69"/>
      <c r="Q428" s="14" t="e">
        <v>#N/A</v>
      </c>
      <c r="R428" s="14" t="e">
        <v>#N/A</v>
      </c>
      <c r="S428" s="73"/>
      <c r="T428" s="73"/>
      <c r="U428" s="14"/>
      <c r="V428" s="14"/>
      <c r="W428" s="14"/>
      <c r="X428" s="69"/>
      <c r="Y428" s="60">
        <f ca="1">Table24[[#This Row],[End Date]]+2-TODAY()</f>
        <v>-46005</v>
      </c>
      <c r="Z428" s="14">
        <f>IF(ISBLANK(Table24[[#This Row],[Roster Received By]]),1,0)</f>
        <v>1</v>
      </c>
      <c r="AA428" s="14">
        <f ca="1">IF(Table24[[#This Row],[Start Date]]&gt;TODAY(),1,)</f>
        <v>0</v>
      </c>
    </row>
    <row r="429" spans="1:27" s="52" customFormat="1" x14ac:dyDescent="0.25">
      <c r="B429" s="69"/>
      <c r="C429" s="70" t="e">
        <v>#N/A</v>
      </c>
      <c r="D429" s="70" t="e">
        <v>#N/A</v>
      </c>
      <c r="E429" s="54"/>
      <c r="F429" s="72"/>
      <c r="G429" s="72"/>
      <c r="H429" s="75"/>
      <c r="I429" s="75"/>
      <c r="J429" s="72"/>
      <c r="K429" s="72"/>
      <c r="L429" s="72"/>
      <c r="M429" s="72"/>
      <c r="N429" s="72"/>
      <c r="O429" s="69"/>
      <c r="P429" s="69"/>
      <c r="Q429" s="14" t="e">
        <v>#N/A</v>
      </c>
      <c r="R429" s="14" t="e">
        <v>#N/A</v>
      </c>
      <c r="S429" s="14"/>
      <c r="T429" s="73"/>
      <c r="U429" s="14"/>
      <c r="V429" s="14"/>
      <c r="W429" s="70"/>
      <c r="X429" s="69"/>
      <c r="Y429" s="79">
        <f ca="1">Table24[[#This Row],[End Date]]+2-TODAY()</f>
        <v>-46005</v>
      </c>
      <c r="Z429" s="14">
        <f>IF(ISBLANK(Table24[[#This Row],[Roster Received By]]),1,0)</f>
        <v>1</v>
      </c>
      <c r="AA429" s="70">
        <f ca="1">IF(Table24[[#This Row],[Start Date]]&gt;TODAY(),1,)</f>
        <v>0</v>
      </c>
    </row>
    <row r="430" spans="1:27" s="52" customFormat="1" x14ac:dyDescent="0.25">
      <c r="B430" s="69"/>
      <c r="C430" s="70" t="e">
        <v>#N/A</v>
      </c>
      <c r="D430" s="70" t="e">
        <v>#N/A</v>
      </c>
      <c r="E430" s="69"/>
      <c r="F430" s="72"/>
      <c r="G430" s="72"/>
      <c r="H430" s="72"/>
      <c r="I430" s="71"/>
      <c r="J430" s="71"/>
      <c r="K430" s="71"/>
      <c r="L430" s="71"/>
      <c r="M430" s="71"/>
      <c r="N430" s="71"/>
      <c r="O430" s="69"/>
      <c r="P430" s="69"/>
      <c r="Q430" s="14" t="e">
        <v>#N/A</v>
      </c>
      <c r="R430" s="14" t="e">
        <v>#N/A</v>
      </c>
      <c r="S430" s="14"/>
      <c r="T430" s="73"/>
      <c r="U430" s="14"/>
      <c r="V430" s="14"/>
      <c r="W430" s="70"/>
      <c r="X430" s="69"/>
      <c r="Y430" s="79">
        <f ca="1">Table24[[#This Row],[End Date]]+2-TODAY()</f>
        <v>-46005</v>
      </c>
      <c r="Z430" s="14">
        <f>IF(ISBLANK(Table24[[#This Row],[Roster Received By]]),1,0)</f>
        <v>1</v>
      </c>
      <c r="AA430" s="70">
        <f ca="1">IF(Table24[[#This Row],[Start Date]]&gt;TODAY(),1,)</f>
        <v>0</v>
      </c>
    </row>
    <row r="431" spans="1:27" s="52" customFormat="1" x14ac:dyDescent="0.25">
      <c r="A431" s="69"/>
      <c r="B431" s="69"/>
      <c r="C431" s="70" t="e">
        <v>#N/A</v>
      </c>
      <c r="D431" s="70" t="e">
        <v>#N/A</v>
      </c>
      <c r="E431" s="69"/>
      <c r="F431" s="72"/>
      <c r="G431" s="72"/>
      <c r="H431" s="75"/>
      <c r="I431" s="75"/>
      <c r="J431" s="72"/>
      <c r="K431" s="72"/>
      <c r="L431" s="72"/>
      <c r="M431" s="72"/>
      <c r="N431" s="72"/>
      <c r="O431" s="69"/>
      <c r="P431" s="69"/>
      <c r="Q431" s="14" t="e">
        <v>#N/A</v>
      </c>
      <c r="R431" s="14" t="e">
        <v>#N/A</v>
      </c>
      <c r="S431" s="14"/>
      <c r="T431" s="73"/>
      <c r="U431" s="14"/>
      <c r="V431" s="14"/>
      <c r="W431" s="70"/>
      <c r="X431" s="69"/>
      <c r="Y431" s="79">
        <f ca="1">Table24[[#This Row],[End Date]]+2-TODAY()</f>
        <v>-46005</v>
      </c>
      <c r="Z431" s="14">
        <f>IF(ISBLANK(Table24[[#This Row],[Roster Received By]]),1,0)</f>
        <v>1</v>
      </c>
      <c r="AA431" s="70">
        <f ca="1">IF(Table24[[#This Row],[Start Date]]&gt;TODAY(),1,)</f>
        <v>0</v>
      </c>
    </row>
    <row r="432" spans="1:27" s="52" customFormat="1" x14ac:dyDescent="0.25">
      <c r="A432" s="69"/>
      <c r="B432" s="69"/>
      <c r="C432" s="70" t="e">
        <v>#N/A</v>
      </c>
      <c r="D432" s="70" t="e">
        <v>#N/A</v>
      </c>
      <c r="E432" s="54"/>
      <c r="F432" s="72"/>
      <c r="G432" s="72"/>
      <c r="H432" s="75"/>
      <c r="I432" s="75"/>
      <c r="J432" s="72"/>
      <c r="K432" s="72"/>
      <c r="L432" s="72"/>
      <c r="M432" s="72"/>
      <c r="N432" s="72"/>
      <c r="O432" s="69"/>
      <c r="P432" s="69"/>
      <c r="Q432" s="14" t="e">
        <v>#N/A</v>
      </c>
      <c r="R432" s="14" t="e">
        <v>#N/A</v>
      </c>
      <c r="S432" s="14"/>
      <c r="T432" s="73"/>
      <c r="U432" s="14"/>
      <c r="V432" s="14"/>
      <c r="W432" s="70"/>
      <c r="X432" s="69"/>
      <c r="Y432" s="79">
        <f ca="1">Table24[[#This Row],[End Date]]+2-TODAY()</f>
        <v>-46005</v>
      </c>
      <c r="Z432" s="14">
        <f>IF(ISBLANK(Table24[[#This Row],[Roster Received By]]),1,0)</f>
        <v>1</v>
      </c>
      <c r="AA432" s="70">
        <f ca="1">IF(Table24[[#This Row],[Start Date]]&gt;TODAY(),1,)</f>
        <v>0</v>
      </c>
    </row>
    <row r="433" spans="1:27" s="52" customFormat="1" x14ac:dyDescent="0.25">
      <c r="B433" s="69"/>
      <c r="C433" s="70" t="e">
        <v>#N/A</v>
      </c>
      <c r="D433" s="70" t="e">
        <v>#N/A</v>
      </c>
      <c r="E433" s="69"/>
      <c r="F433" s="72"/>
      <c r="G433" s="72"/>
      <c r="H433" s="72"/>
      <c r="I433" s="71"/>
      <c r="J433" s="71"/>
      <c r="K433" s="71"/>
      <c r="L433" s="71"/>
      <c r="M433" s="71"/>
      <c r="N433" s="71"/>
      <c r="O433" s="69"/>
      <c r="P433" s="69"/>
      <c r="Q433" s="14" t="e">
        <v>#N/A</v>
      </c>
      <c r="R433" s="14" t="e">
        <v>#N/A</v>
      </c>
      <c r="S433" s="14"/>
      <c r="T433" s="73"/>
      <c r="U433" s="14"/>
      <c r="V433" s="14"/>
      <c r="W433" s="70"/>
      <c r="X433" s="69"/>
      <c r="Y433" s="79">
        <f ca="1">Table24[[#This Row],[End Date]]+2-TODAY()</f>
        <v>-46005</v>
      </c>
      <c r="Z433" s="14">
        <f>IF(ISBLANK(Table24[[#This Row],[Roster Received By]]),1,0)</f>
        <v>1</v>
      </c>
      <c r="AA433" s="70">
        <f ca="1">IF(Table24[[#This Row],[Start Date]]&gt;TODAY(),1,)</f>
        <v>0</v>
      </c>
    </row>
    <row r="434" spans="1:27" s="52" customFormat="1" x14ac:dyDescent="0.25">
      <c r="B434" s="69"/>
      <c r="C434" s="70" t="e">
        <v>#N/A</v>
      </c>
      <c r="D434" s="70" t="e">
        <v>#N/A</v>
      </c>
      <c r="E434" s="54"/>
      <c r="F434" s="72"/>
      <c r="G434" s="72"/>
      <c r="H434" s="75"/>
      <c r="I434" s="75"/>
      <c r="J434" s="72"/>
      <c r="K434" s="72"/>
      <c r="L434" s="72"/>
      <c r="M434" s="72"/>
      <c r="N434" s="72"/>
      <c r="O434" s="69"/>
      <c r="P434" s="69"/>
      <c r="Q434" s="14" t="e">
        <v>#N/A</v>
      </c>
      <c r="R434" s="14" t="e">
        <v>#N/A</v>
      </c>
      <c r="S434" s="14"/>
      <c r="T434" s="73"/>
      <c r="U434" s="14"/>
      <c r="V434" s="14"/>
      <c r="W434" s="70"/>
      <c r="X434" s="69"/>
      <c r="Y434" s="79">
        <f ca="1">Table24[[#This Row],[End Date]]+2-TODAY()</f>
        <v>-46005</v>
      </c>
      <c r="Z434" s="14">
        <f>IF(ISBLANK(Table24[[#This Row],[Roster Received By]]),1,0)</f>
        <v>1</v>
      </c>
      <c r="AA434" s="70">
        <f ca="1">IF(Table24[[#This Row],[Start Date]]&gt;TODAY(),1,)</f>
        <v>0</v>
      </c>
    </row>
    <row r="435" spans="1:27" s="52" customFormat="1" x14ac:dyDescent="0.25">
      <c r="B435" s="69"/>
      <c r="C435" s="70" t="e">
        <v>#N/A</v>
      </c>
      <c r="D435" s="70" t="e">
        <v>#N/A</v>
      </c>
      <c r="E435" s="54"/>
      <c r="F435" s="72"/>
      <c r="G435" s="72"/>
      <c r="H435" s="75"/>
      <c r="I435" s="75"/>
      <c r="J435" s="72"/>
      <c r="K435" s="72"/>
      <c r="L435" s="72"/>
      <c r="M435" s="72"/>
      <c r="N435" s="72"/>
      <c r="O435" s="69"/>
      <c r="P435" s="69"/>
      <c r="Q435" s="14" t="e">
        <v>#N/A</v>
      </c>
      <c r="R435" s="14" t="e">
        <v>#N/A</v>
      </c>
      <c r="S435" s="14"/>
      <c r="T435" s="73"/>
      <c r="U435" s="14"/>
      <c r="V435" s="14"/>
      <c r="W435" s="14"/>
      <c r="X435" s="69"/>
      <c r="Y435" s="60">
        <f ca="1">Table24[[#This Row],[End Date]]+2-TODAY()</f>
        <v>-46005</v>
      </c>
      <c r="Z435" s="14">
        <f>IF(ISBLANK(Table24[[#This Row],[Roster Received By]]),1,0)</f>
        <v>1</v>
      </c>
      <c r="AA435" s="14">
        <f ca="1">IF(Table24[[#This Row],[Start Date]]&gt;TODAY(),1,)</f>
        <v>0</v>
      </c>
    </row>
    <row r="436" spans="1:27" s="52" customFormat="1" x14ac:dyDescent="0.25">
      <c r="B436" s="69"/>
      <c r="C436" s="70" t="e">
        <v>#N/A</v>
      </c>
      <c r="D436" s="70" t="e">
        <v>#N/A</v>
      </c>
      <c r="E436" s="69"/>
      <c r="F436" s="72"/>
      <c r="G436" s="72"/>
      <c r="H436" s="75"/>
      <c r="I436" s="75"/>
      <c r="J436" s="72"/>
      <c r="K436" s="72"/>
      <c r="L436" s="72"/>
      <c r="M436" s="72"/>
      <c r="N436" s="72"/>
      <c r="O436" s="69"/>
      <c r="P436" s="69"/>
      <c r="Q436" s="14" t="e">
        <v>#N/A</v>
      </c>
      <c r="R436" s="14" t="e">
        <v>#N/A</v>
      </c>
      <c r="S436" s="14"/>
      <c r="T436" s="73"/>
      <c r="U436" s="14"/>
      <c r="V436" s="14"/>
      <c r="W436" s="14"/>
      <c r="X436" s="69"/>
      <c r="Y436" s="60">
        <f ca="1">Table24[[#This Row],[End Date]]+2-TODAY()</f>
        <v>-46005</v>
      </c>
      <c r="Z436" s="14">
        <f>IF(ISBLANK(Table24[[#This Row],[Roster Received By]]),1,0)</f>
        <v>1</v>
      </c>
      <c r="AA436" s="14">
        <f ca="1">IF(Table24[[#This Row],[Start Date]]&gt;TODAY(),1,)</f>
        <v>0</v>
      </c>
    </row>
    <row r="437" spans="1:27" s="52" customFormat="1" x14ac:dyDescent="0.25">
      <c r="B437" s="69"/>
      <c r="C437" s="70" t="e">
        <v>#N/A</v>
      </c>
      <c r="D437" s="70" t="e">
        <v>#N/A</v>
      </c>
      <c r="E437" s="69"/>
      <c r="F437" s="72"/>
      <c r="G437" s="72"/>
      <c r="H437" s="75"/>
      <c r="I437" s="75"/>
      <c r="J437" s="72"/>
      <c r="K437" s="72"/>
      <c r="L437" s="72"/>
      <c r="M437" s="72"/>
      <c r="N437" s="72"/>
      <c r="O437" s="69"/>
      <c r="P437" s="69"/>
      <c r="Q437" s="14" t="e">
        <v>#N/A</v>
      </c>
      <c r="R437" s="14" t="e">
        <v>#N/A</v>
      </c>
      <c r="S437" s="73"/>
      <c r="T437" s="73"/>
      <c r="U437" s="14"/>
      <c r="V437" s="14"/>
      <c r="W437" s="70"/>
      <c r="X437" s="69"/>
      <c r="Y437" s="79">
        <f ca="1">Table24[[#This Row],[End Date]]+2-TODAY()</f>
        <v>-46005</v>
      </c>
      <c r="Z437" s="14">
        <f>IF(ISBLANK(Table24[[#This Row],[Roster Received By]]),1,0)</f>
        <v>1</v>
      </c>
      <c r="AA437" s="70">
        <f ca="1">IF(Table24[[#This Row],[Start Date]]&gt;TODAY(),1,)</f>
        <v>0</v>
      </c>
    </row>
    <row r="438" spans="1:27" s="52" customFormat="1" x14ac:dyDescent="0.25">
      <c r="B438" s="86"/>
      <c r="C438" s="70" t="e">
        <v>#N/A</v>
      </c>
      <c r="D438" s="70" t="e">
        <v>#N/A</v>
      </c>
      <c r="E438" s="69"/>
      <c r="F438" s="56"/>
      <c r="G438" s="72"/>
      <c r="H438" s="72"/>
      <c r="I438" s="71"/>
      <c r="J438" s="71"/>
      <c r="K438" s="71"/>
      <c r="L438" s="71"/>
      <c r="M438" s="71"/>
      <c r="N438" s="71"/>
      <c r="O438" s="69"/>
      <c r="P438" s="69"/>
      <c r="Q438" s="14" t="e">
        <v>#N/A</v>
      </c>
      <c r="R438" s="14" t="e">
        <v>#N/A</v>
      </c>
      <c r="S438" s="14"/>
      <c r="T438" s="73"/>
      <c r="U438" s="14"/>
      <c r="V438" s="14"/>
      <c r="W438" s="70"/>
      <c r="X438" s="69"/>
      <c r="Y438" s="79">
        <f ca="1">Table24[[#This Row],[End Date]]+2-TODAY()</f>
        <v>-46005</v>
      </c>
      <c r="Z438" s="14">
        <f>IF(ISBLANK(Table24[[#This Row],[Roster Received By]]),1,0)</f>
        <v>1</v>
      </c>
      <c r="AA438" s="70">
        <f ca="1">IF(Table24[[#This Row],[Start Date]]&gt;TODAY(),1,)</f>
        <v>0</v>
      </c>
    </row>
    <row r="439" spans="1:27" s="52" customFormat="1" x14ac:dyDescent="0.25">
      <c r="A439" s="69"/>
      <c r="B439" s="86"/>
      <c r="C439" s="70" t="e">
        <v>#N/A</v>
      </c>
      <c r="D439" s="70" t="e">
        <v>#N/A</v>
      </c>
      <c r="E439" s="69"/>
      <c r="F439" s="72"/>
      <c r="G439" s="72"/>
      <c r="H439" s="75"/>
      <c r="I439" s="75"/>
      <c r="J439" s="72"/>
      <c r="K439" s="72"/>
      <c r="L439" s="72"/>
      <c r="M439" s="72"/>
      <c r="N439" s="72"/>
      <c r="O439" s="69"/>
      <c r="P439" s="69"/>
      <c r="Q439" s="14" t="e">
        <v>#N/A</v>
      </c>
      <c r="R439" s="14" t="e">
        <v>#N/A</v>
      </c>
      <c r="S439" s="14"/>
      <c r="T439" s="73"/>
      <c r="U439" s="14"/>
      <c r="V439" s="14"/>
      <c r="W439" s="70"/>
      <c r="X439" s="69"/>
      <c r="Y439" s="79">
        <f ca="1">Table24[[#This Row],[End Date]]+2-TODAY()</f>
        <v>-46005</v>
      </c>
      <c r="Z439" s="14">
        <f>IF(ISBLANK(Table24[[#This Row],[Roster Received By]]),1,0)</f>
        <v>1</v>
      </c>
      <c r="AA439" s="70">
        <f ca="1">IF(Table24[[#This Row],[Start Date]]&gt;TODAY(),1,)</f>
        <v>0</v>
      </c>
    </row>
    <row r="440" spans="1:27" s="52" customFormat="1" x14ac:dyDescent="0.25">
      <c r="B440" s="86"/>
      <c r="C440" s="70" t="e">
        <v>#N/A</v>
      </c>
      <c r="D440" s="70" t="e">
        <v>#N/A</v>
      </c>
      <c r="E440" s="69"/>
      <c r="F440" s="72"/>
      <c r="G440" s="72"/>
      <c r="H440" s="75"/>
      <c r="I440" s="75"/>
      <c r="J440" s="72"/>
      <c r="K440" s="72"/>
      <c r="L440" s="72"/>
      <c r="M440" s="72"/>
      <c r="N440" s="72"/>
      <c r="O440" s="69"/>
      <c r="P440" s="69"/>
      <c r="Q440" s="14" t="e">
        <v>#N/A</v>
      </c>
      <c r="R440" s="14" t="e">
        <v>#N/A</v>
      </c>
      <c r="S440" s="73"/>
      <c r="T440" s="73"/>
      <c r="U440" s="14"/>
      <c r="V440" s="14"/>
      <c r="W440" s="70"/>
      <c r="X440" s="69"/>
      <c r="Y440" s="79">
        <f ca="1">Table24[[#This Row],[End Date]]+2-TODAY()</f>
        <v>-46005</v>
      </c>
      <c r="Z440" s="14">
        <f>IF(ISBLANK(Table24[[#This Row],[Roster Received By]]),1,0)</f>
        <v>1</v>
      </c>
      <c r="AA440" s="70">
        <f ca="1">IF(Table24[[#This Row],[Start Date]]&gt;TODAY(),1,)</f>
        <v>0</v>
      </c>
    </row>
    <row r="441" spans="1:27" s="52" customFormat="1" x14ac:dyDescent="0.25">
      <c r="B441" s="69"/>
      <c r="C441" s="70" t="e">
        <v>#N/A</v>
      </c>
      <c r="D441" s="70" t="e">
        <v>#N/A</v>
      </c>
      <c r="E441" s="69"/>
      <c r="F441" s="72"/>
      <c r="G441" s="72"/>
      <c r="H441" s="72"/>
      <c r="I441" s="71"/>
      <c r="J441" s="71"/>
      <c r="K441" s="71"/>
      <c r="L441" s="71"/>
      <c r="M441" s="71"/>
      <c r="N441" s="71"/>
      <c r="O441" s="69"/>
      <c r="P441" s="69"/>
      <c r="Q441" s="14" t="e">
        <v>#N/A</v>
      </c>
      <c r="R441" s="14" t="e">
        <v>#N/A</v>
      </c>
      <c r="S441" s="14"/>
      <c r="T441" s="73"/>
      <c r="U441" s="14"/>
      <c r="V441" s="14"/>
      <c r="W441" s="70"/>
      <c r="X441" s="69"/>
      <c r="Y441" s="79">
        <f ca="1">Table24[[#This Row],[End Date]]+2-TODAY()</f>
        <v>-46005</v>
      </c>
      <c r="Z441" s="14">
        <f>IF(ISBLANK(Table24[[#This Row],[Roster Received By]]),1,0)</f>
        <v>1</v>
      </c>
      <c r="AA441" s="70">
        <f ca="1">IF(Table24[[#This Row],[Start Date]]&gt;TODAY(),1,)</f>
        <v>0</v>
      </c>
    </row>
    <row r="442" spans="1:27" s="52" customFormat="1" x14ac:dyDescent="0.25">
      <c r="B442" s="86"/>
      <c r="C442" s="70" t="e">
        <v>#N/A</v>
      </c>
      <c r="D442" s="70" t="e">
        <v>#N/A</v>
      </c>
      <c r="E442" s="69"/>
      <c r="F442" s="72"/>
      <c r="G442" s="72"/>
      <c r="H442" s="72"/>
      <c r="I442" s="71"/>
      <c r="J442" s="71"/>
      <c r="K442" s="71"/>
      <c r="L442" s="71"/>
      <c r="M442" s="71"/>
      <c r="N442" s="71"/>
      <c r="O442" s="69"/>
      <c r="P442" s="69"/>
      <c r="Q442" s="14" t="e">
        <v>#N/A</v>
      </c>
      <c r="R442" s="14" t="e">
        <v>#N/A</v>
      </c>
      <c r="S442" s="14"/>
      <c r="T442" s="73"/>
      <c r="U442" s="14"/>
      <c r="V442" s="14"/>
      <c r="W442" s="70"/>
      <c r="X442" s="69"/>
      <c r="Y442" s="79">
        <f ca="1">Table24[[#This Row],[End Date]]+2-TODAY()</f>
        <v>-46005</v>
      </c>
      <c r="Z442" s="14">
        <f>IF(ISBLANK(Table24[[#This Row],[Roster Received By]]),1,0)</f>
        <v>1</v>
      </c>
      <c r="AA442" s="70">
        <f ca="1">IF(Table24[[#This Row],[Start Date]]&gt;TODAY(),1,)</f>
        <v>0</v>
      </c>
    </row>
    <row r="443" spans="1:27" s="52" customFormat="1" x14ac:dyDescent="0.25">
      <c r="B443" s="69"/>
      <c r="C443" s="70" t="e">
        <v>#N/A</v>
      </c>
      <c r="D443" s="70" t="e">
        <v>#N/A</v>
      </c>
      <c r="E443" s="69"/>
      <c r="F443" s="72"/>
      <c r="G443" s="72"/>
      <c r="H443" s="75"/>
      <c r="I443" s="75"/>
      <c r="J443" s="72"/>
      <c r="K443" s="72"/>
      <c r="L443" s="72"/>
      <c r="M443" s="72"/>
      <c r="N443" s="72"/>
      <c r="O443" s="69"/>
      <c r="P443" s="69"/>
      <c r="Q443" s="14" t="e">
        <v>#N/A</v>
      </c>
      <c r="R443" s="14" t="e">
        <v>#N/A</v>
      </c>
      <c r="S443" s="14"/>
      <c r="T443" s="73"/>
      <c r="U443" s="14"/>
      <c r="V443" s="14"/>
      <c r="W443" s="14"/>
      <c r="X443" s="69"/>
      <c r="Y443" s="60">
        <f ca="1">Table24[[#This Row],[End Date]]+2-TODAY()</f>
        <v>-46005</v>
      </c>
      <c r="Z443" s="14">
        <f>IF(ISBLANK(Table24[[#This Row],[Roster Received By]]),1,0)</f>
        <v>1</v>
      </c>
      <c r="AA443" s="14">
        <f ca="1">IF(Table24[[#This Row],[Start Date]]&gt;TODAY(),1,)</f>
        <v>0</v>
      </c>
    </row>
    <row r="444" spans="1:27" s="52" customFormat="1" x14ac:dyDescent="0.25">
      <c r="A444" s="69"/>
      <c r="B444" s="86"/>
      <c r="C444" s="70" t="e">
        <v>#N/A</v>
      </c>
      <c r="D444" s="70" t="e">
        <v>#N/A</v>
      </c>
      <c r="E444" s="69"/>
      <c r="F444" s="56"/>
      <c r="G444" s="56"/>
      <c r="H444" s="56"/>
      <c r="I444" s="71"/>
      <c r="J444" s="71"/>
      <c r="K444" s="71"/>
      <c r="L444" s="71"/>
      <c r="M444" s="71"/>
      <c r="N444" s="71"/>
      <c r="O444" s="69"/>
      <c r="P444" s="69"/>
      <c r="Q444" s="14" t="e">
        <v>#N/A</v>
      </c>
      <c r="R444" s="14" t="e">
        <v>#N/A</v>
      </c>
      <c r="S444" s="14"/>
      <c r="T444" s="73"/>
      <c r="U444" s="14"/>
      <c r="V444" s="14"/>
      <c r="W444" s="70"/>
      <c r="X444" s="69"/>
      <c r="Y444" s="79">
        <f ca="1">Table24[[#This Row],[End Date]]+2-TODAY()</f>
        <v>-46005</v>
      </c>
      <c r="Z444" s="14">
        <f>IF(ISBLANK(Table24[[#This Row],[Roster Received By]]),1,0)</f>
        <v>1</v>
      </c>
      <c r="AA444" s="70">
        <f ca="1">IF(Table24[[#This Row],[Start Date]]&gt;TODAY(),1,)</f>
        <v>0</v>
      </c>
    </row>
    <row r="445" spans="1:27" s="52" customFormat="1" x14ac:dyDescent="0.25">
      <c r="B445" s="69"/>
      <c r="C445" s="70" t="e">
        <v>#N/A</v>
      </c>
      <c r="D445" s="70" t="e">
        <v>#N/A</v>
      </c>
      <c r="E445" s="69"/>
      <c r="F445" s="72"/>
      <c r="G445" s="72"/>
      <c r="H445" s="72"/>
      <c r="I445" s="71"/>
      <c r="J445" s="71"/>
      <c r="K445" s="71"/>
      <c r="L445" s="71"/>
      <c r="M445" s="71"/>
      <c r="N445" s="71"/>
      <c r="O445" s="69"/>
      <c r="P445" s="69"/>
      <c r="Q445" s="14" t="e">
        <v>#N/A</v>
      </c>
      <c r="R445" s="14" t="e">
        <v>#N/A</v>
      </c>
      <c r="S445" s="14"/>
      <c r="T445" s="73"/>
      <c r="U445" s="14"/>
      <c r="V445" s="14"/>
      <c r="W445" s="70"/>
      <c r="X445" s="69"/>
      <c r="Y445" s="79">
        <f ca="1">Table24[[#This Row],[End Date]]+2-TODAY()</f>
        <v>-46005</v>
      </c>
      <c r="Z445" s="14">
        <f>IF(ISBLANK(Table24[[#This Row],[Roster Received By]]),1,0)</f>
        <v>1</v>
      </c>
      <c r="AA445" s="70">
        <f ca="1">IF(Table24[[#This Row],[Start Date]]&gt;TODAY(),1,)</f>
        <v>0</v>
      </c>
    </row>
    <row r="446" spans="1:27" s="52" customFormat="1" x14ac:dyDescent="0.25">
      <c r="B446" s="69"/>
      <c r="C446" s="70" t="e">
        <v>#N/A</v>
      </c>
      <c r="D446" s="70" t="e">
        <v>#N/A</v>
      </c>
      <c r="E446" s="69"/>
      <c r="F446" s="72"/>
      <c r="G446" s="72"/>
      <c r="H446" s="72"/>
      <c r="I446" s="71"/>
      <c r="J446" s="71"/>
      <c r="K446" s="71"/>
      <c r="L446" s="71"/>
      <c r="M446" s="71"/>
      <c r="N446" s="71"/>
      <c r="O446" s="69"/>
      <c r="P446" s="69"/>
      <c r="Q446" s="14" t="e">
        <v>#N/A</v>
      </c>
      <c r="R446" s="14" t="e">
        <v>#N/A</v>
      </c>
      <c r="S446" s="14"/>
      <c r="T446" s="73"/>
      <c r="U446" s="14"/>
      <c r="V446" s="14"/>
      <c r="W446" s="70"/>
      <c r="X446" s="69"/>
      <c r="Y446" s="79">
        <f ca="1">Table24[[#This Row],[End Date]]+2-TODAY()</f>
        <v>-46005</v>
      </c>
      <c r="Z446" s="14">
        <f>IF(ISBLANK(Table24[[#This Row],[Roster Received By]]),1,0)</f>
        <v>1</v>
      </c>
      <c r="AA446" s="70">
        <f ca="1">IF(Table24[[#This Row],[Start Date]]&gt;TODAY(),1,)</f>
        <v>0</v>
      </c>
    </row>
    <row r="447" spans="1:27" s="52" customFormat="1" x14ac:dyDescent="0.25">
      <c r="B447" s="69"/>
      <c r="C447" s="70" t="e">
        <v>#N/A</v>
      </c>
      <c r="D447" s="70" t="e">
        <v>#N/A</v>
      </c>
      <c r="E447" s="69"/>
      <c r="F447" s="72"/>
      <c r="G447" s="72"/>
      <c r="H447" s="72"/>
      <c r="I447" s="71"/>
      <c r="J447" s="71"/>
      <c r="K447" s="71"/>
      <c r="L447" s="71"/>
      <c r="M447" s="71"/>
      <c r="N447" s="71"/>
      <c r="O447" s="69"/>
      <c r="P447" s="69"/>
      <c r="Q447" s="14" t="e">
        <v>#N/A</v>
      </c>
      <c r="R447" s="14" t="e">
        <v>#N/A</v>
      </c>
      <c r="S447" s="14"/>
      <c r="T447" s="73"/>
      <c r="U447" s="14"/>
      <c r="V447" s="14"/>
      <c r="W447" s="70"/>
      <c r="X447" s="69"/>
      <c r="Y447" s="79">
        <f ca="1">Table24[[#This Row],[End Date]]+2-TODAY()</f>
        <v>-46005</v>
      </c>
      <c r="Z447" s="14">
        <f>IF(ISBLANK(Table24[[#This Row],[Roster Received By]]),1,0)</f>
        <v>1</v>
      </c>
      <c r="AA447" s="70">
        <f ca="1">IF(Table24[[#This Row],[Start Date]]&gt;TODAY(),1,)</f>
        <v>0</v>
      </c>
    </row>
    <row r="448" spans="1:27" s="52" customFormat="1" x14ac:dyDescent="0.25">
      <c r="A448" s="112"/>
      <c r="B448" s="69"/>
      <c r="C448" s="70" t="e">
        <v>#N/A</v>
      </c>
      <c r="D448" s="70" t="e">
        <v>#N/A</v>
      </c>
      <c r="E448" s="69"/>
      <c r="F448" s="72"/>
      <c r="G448" s="72"/>
      <c r="H448" s="75"/>
      <c r="I448" s="75"/>
      <c r="J448" s="72"/>
      <c r="K448" s="72"/>
      <c r="L448" s="72"/>
      <c r="M448" s="72"/>
      <c r="N448" s="72"/>
      <c r="O448" s="69"/>
      <c r="P448" s="69"/>
      <c r="Q448" s="14" t="e">
        <v>#N/A</v>
      </c>
      <c r="R448" s="14" t="e">
        <v>#N/A</v>
      </c>
      <c r="S448" s="73"/>
      <c r="T448" s="73"/>
      <c r="U448" s="14"/>
      <c r="V448" s="14"/>
      <c r="W448" s="70"/>
      <c r="X448" s="69"/>
      <c r="Y448" s="79">
        <f ca="1">Table24[[#This Row],[End Date]]+2-TODAY()</f>
        <v>-46005</v>
      </c>
      <c r="Z448" s="14">
        <f>IF(ISBLANK(Table24[[#This Row],[Roster Received By]]),1,0)</f>
        <v>1</v>
      </c>
      <c r="AA448" s="70">
        <f ca="1">IF(Table24[[#This Row],[Start Date]]&gt;TODAY(),1,)</f>
        <v>0</v>
      </c>
    </row>
    <row r="449" spans="1:27" s="52" customFormat="1" x14ac:dyDescent="0.25">
      <c r="B449" s="69"/>
      <c r="C449" s="70" t="e">
        <v>#N/A</v>
      </c>
      <c r="D449" s="70" t="e">
        <v>#N/A</v>
      </c>
      <c r="E449" s="69"/>
      <c r="F449" s="72"/>
      <c r="G449" s="72"/>
      <c r="H449" s="72"/>
      <c r="I449" s="71"/>
      <c r="J449" s="71"/>
      <c r="K449" s="71"/>
      <c r="L449" s="71"/>
      <c r="M449" s="71"/>
      <c r="N449" s="71"/>
      <c r="O449" s="69"/>
      <c r="P449" s="69"/>
      <c r="Q449" s="14" t="e">
        <v>#N/A</v>
      </c>
      <c r="R449" s="14" t="e">
        <v>#N/A</v>
      </c>
      <c r="S449" s="14"/>
      <c r="T449" s="73"/>
      <c r="U449" s="14"/>
      <c r="V449" s="14"/>
      <c r="W449" s="70"/>
      <c r="X449" s="69"/>
      <c r="Y449" s="79">
        <f ca="1">Table24[[#This Row],[End Date]]+2-TODAY()</f>
        <v>-46005</v>
      </c>
      <c r="Z449" s="14">
        <f>IF(ISBLANK(Table24[[#This Row],[Roster Received By]]),1,0)</f>
        <v>1</v>
      </c>
      <c r="AA449" s="70">
        <f ca="1">IF(Table24[[#This Row],[Start Date]]&gt;TODAY(),1,)</f>
        <v>0</v>
      </c>
    </row>
    <row r="450" spans="1:27" s="52" customFormat="1" x14ac:dyDescent="0.25">
      <c r="A450" s="69"/>
      <c r="B450" s="69"/>
      <c r="C450" s="70" t="e">
        <v>#N/A</v>
      </c>
      <c r="D450" s="70" t="e">
        <v>#N/A</v>
      </c>
      <c r="E450" s="69"/>
      <c r="F450" s="72"/>
      <c r="G450" s="72"/>
      <c r="H450" s="72"/>
      <c r="I450" s="71"/>
      <c r="J450" s="71"/>
      <c r="K450" s="71"/>
      <c r="L450" s="71"/>
      <c r="M450" s="71"/>
      <c r="N450" s="71"/>
      <c r="O450" s="69"/>
      <c r="P450" s="69"/>
      <c r="Q450" s="14" t="e">
        <v>#N/A</v>
      </c>
      <c r="R450" s="14" t="e">
        <v>#N/A</v>
      </c>
      <c r="S450" s="14"/>
      <c r="T450" s="73"/>
      <c r="U450" s="14"/>
      <c r="V450" s="14"/>
      <c r="W450" s="70"/>
      <c r="X450" s="69"/>
      <c r="Y450" s="79">
        <f ca="1">Table24[[#This Row],[End Date]]+2-TODAY()</f>
        <v>-46005</v>
      </c>
      <c r="Z450" s="14">
        <f>IF(ISBLANK(Table24[[#This Row],[Roster Received By]]),1,0)</f>
        <v>1</v>
      </c>
      <c r="AA450" s="70">
        <f ca="1">IF(Table24[[#This Row],[Start Date]]&gt;TODAY(),1,)</f>
        <v>0</v>
      </c>
    </row>
    <row r="451" spans="1:27" s="52" customFormat="1" x14ac:dyDescent="0.25">
      <c r="B451" s="69"/>
      <c r="C451" s="70" t="e">
        <v>#N/A</v>
      </c>
      <c r="D451" s="70" t="e">
        <v>#N/A</v>
      </c>
      <c r="E451" s="69"/>
      <c r="F451" s="72"/>
      <c r="G451" s="72"/>
      <c r="H451" s="75"/>
      <c r="I451" s="75"/>
      <c r="J451" s="72"/>
      <c r="K451" s="72"/>
      <c r="L451" s="72"/>
      <c r="M451" s="72"/>
      <c r="N451" s="72"/>
      <c r="O451" s="69"/>
      <c r="P451" s="69"/>
      <c r="Q451" s="14" t="e">
        <v>#N/A</v>
      </c>
      <c r="R451" s="14" t="e">
        <v>#N/A</v>
      </c>
      <c r="S451" s="73"/>
      <c r="T451" s="73"/>
      <c r="U451" s="14"/>
      <c r="V451" s="14"/>
      <c r="W451" s="70"/>
      <c r="X451" s="69"/>
      <c r="Y451" s="79">
        <f ca="1">Table24[[#This Row],[End Date]]+2-TODAY()</f>
        <v>-46005</v>
      </c>
      <c r="Z451" s="14">
        <f>IF(ISBLANK(Table24[[#This Row],[Roster Received By]]),1,0)</f>
        <v>1</v>
      </c>
      <c r="AA451" s="70">
        <f ca="1">IF(Table24[[#This Row],[Start Date]]&gt;TODAY(),1,)</f>
        <v>0</v>
      </c>
    </row>
    <row r="452" spans="1:27" s="52" customFormat="1" x14ac:dyDescent="0.25">
      <c r="B452" s="69"/>
      <c r="C452" s="70" t="e">
        <v>#N/A</v>
      </c>
      <c r="D452" s="70" t="e">
        <v>#N/A</v>
      </c>
      <c r="E452" s="69"/>
      <c r="F452" s="72"/>
      <c r="G452" s="72"/>
      <c r="H452" s="75"/>
      <c r="I452" s="75"/>
      <c r="J452" s="72"/>
      <c r="K452" s="72"/>
      <c r="L452" s="72"/>
      <c r="M452" s="72"/>
      <c r="N452" s="72"/>
      <c r="O452" s="69"/>
      <c r="P452" s="69"/>
      <c r="Q452" s="14" t="e">
        <v>#N/A</v>
      </c>
      <c r="R452" s="14" t="e">
        <v>#N/A</v>
      </c>
      <c r="S452" s="14"/>
      <c r="T452" s="73"/>
      <c r="U452" s="14"/>
      <c r="V452" s="14"/>
      <c r="W452" s="70"/>
      <c r="X452" s="69"/>
      <c r="Y452" s="79">
        <f ca="1">Table24[[#This Row],[End Date]]+2-TODAY()</f>
        <v>-46005</v>
      </c>
      <c r="Z452" s="14">
        <f>IF(ISBLANK(Table24[[#This Row],[Roster Received By]]),1,0)</f>
        <v>1</v>
      </c>
      <c r="AA452" s="70">
        <f ca="1">IF(Table24[[#This Row],[Start Date]]&gt;TODAY(),1,)</f>
        <v>0</v>
      </c>
    </row>
    <row r="453" spans="1:27" s="52" customFormat="1" x14ac:dyDescent="0.25">
      <c r="B453" s="69"/>
      <c r="C453" s="70" t="e">
        <v>#N/A</v>
      </c>
      <c r="D453" s="70" t="e">
        <v>#N/A</v>
      </c>
      <c r="E453" s="69"/>
      <c r="F453" s="72"/>
      <c r="G453" s="72"/>
      <c r="H453" s="75"/>
      <c r="I453" s="75"/>
      <c r="J453" s="72"/>
      <c r="K453" s="72"/>
      <c r="L453" s="72"/>
      <c r="M453" s="72"/>
      <c r="N453" s="72"/>
      <c r="O453" s="69"/>
      <c r="P453" s="69"/>
      <c r="Q453" s="14" t="e">
        <v>#N/A</v>
      </c>
      <c r="R453" s="14" t="e">
        <v>#N/A</v>
      </c>
      <c r="S453" s="73"/>
      <c r="T453" s="73"/>
      <c r="U453" s="14"/>
      <c r="V453" s="14"/>
      <c r="W453" s="70"/>
      <c r="X453" s="69"/>
      <c r="Y453" s="79">
        <f ca="1">Table24[[#This Row],[End Date]]+2-TODAY()</f>
        <v>-46005</v>
      </c>
      <c r="Z453" s="14">
        <f>IF(ISBLANK(Table24[[#This Row],[Roster Received By]]),1,0)</f>
        <v>1</v>
      </c>
      <c r="AA453" s="70">
        <f ca="1">IF(Table24[[#This Row],[Start Date]]&gt;TODAY(),1,)</f>
        <v>0</v>
      </c>
    </row>
    <row r="454" spans="1:27" s="52" customFormat="1" x14ac:dyDescent="0.25">
      <c r="B454" s="69"/>
      <c r="C454" s="70" t="e">
        <v>#N/A</v>
      </c>
      <c r="D454" s="70" t="e">
        <v>#N/A</v>
      </c>
      <c r="E454" s="69"/>
      <c r="F454" s="72"/>
      <c r="G454" s="72"/>
      <c r="H454" s="75"/>
      <c r="I454" s="75"/>
      <c r="J454" s="72"/>
      <c r="K454" s="72"/>
      <c r="L454" s="72"/>
      <c r="M454" s="72"/>
      <c r="N454" s="72"/>
      <c r="O454" s="69"/>
      <c r="P454" s="69"/>
      <c r="Q454" s="14" t="e">
        <v>#N/A</v>
      </c>
      <c r="R454" s="14" t="e">
        <v>#N/A</v>
      </c>
      <c r="S454" s="14"/>
      <c r="T454" s="73"/>
      <c r="U454" s="14"/>
      <c r="V454" s="14"/>
      <c r="W454" s="14"/>
      <c r="X454" s="69"/>
      <c r="Y454" s="60">
        <f ca="1">Table24[[#This Row],[End Date]]+2-TODAY()</f>
        <v>-46005</v>
      </c>
      <c r="Z454" s="14">
        <f>IF(ISBLANK(Table24[[#This Row],[Roster Received By]]),1,0)</f>
        <v>1</v>
      </c>
      <c r="AA454" s="14">
        <f ca="1">IF(Table24[[#This Row],[Start Date]]&gt;TODAY(),1,)</f>
        <v>0</v>
      </c>
    </row>
    <row r="455" spans="1:27" s="52" customFormat="1" x14ac:dyDescent="0.25">
      <c r="B455" s="69"/>
      <c r="C455" s="70" t="e">
        <v>#N/A</v>
      </c>
      <c r="D455" s="70" t="e">
        <v>#N/A</v>
      </c>
      <c r="E455" s="69"/>
      <c r="F455" s="72"/>
      <c r="G455" s="72"/>
      <c r="H455" s="75"/>
      <c r="I455" s="75"/>
      <c r="J455" s="72"/>
      <c r="K455" s="72"/>
      <c r="L455" s="72"/>
      <c r="M455" s="72"/>
      <c r="N455" s="72"/>
      <c r="O455" s="69"/>
      <c r="P455" s="69"/>
      <c r="Q455" s="14" t="e">
        <v>#N/A</v>
      </c>
      <c r="R455" s="14" t="e">
        <v>#N/A</v>
      </c>
      <c r="S455" s="14"/>
      <c r="T455" s="73"/>
      <c r="U455" s="14"/>
      <c r="V455" s="14"/>
      <c r="W455" s="70"/>
      <c r="X455" s="69"/>
      <c r="Y455" s="79">
        <f ca="1">Table24[[#This Row],[End Date]]+2-TODAY()</f>
        <v>-46005</v>
      </c>
      <c r="Z455" s="14">
        <f>IF(ISBLANK(Table24[[#This Row],[Roster Received By]]),1,0)</f>
        <v>1</v>
      </c>
      <c r="AA455" s="70">
        <f ca="1">IF(Table24[[#This Row],[Start Date]]&gt;TODAY(),1,)</f>
        <v>0</v>
      </c>
    </row>
    <row r="456" spans="1:27" s="52" customFormat="1" x14ac:dyDescent="0.25">
      <c r="B456" s="69"/>
      <c r="C456" s="70" t="e">
        <v>#N/A</v>
      </c>
      <c r="D456" s="70" t="e">
        <v>#N/A</v>
      </c>
      <c r="E456" s="54"/>
      <c r="F456" s="72"/>
      <c r="G456" s="72"/>
      <c r="H456" s="75"/>
      <c r="I456" s="75"/>
      <c r="J456" s="72"/>
      <c r="K456" s="72"/>
      <c r="L456" s="72"/>
      <c r="M456" s="72"/>
      <c r="N456" s="72"/>
      <c r="O456" s="69"/>
      <c r="P456" s="69"/>
      <c r="Q456" s="14" t="e">
        <v>#N/A</v>
      </c>
      <c r="R456" s="14" t="e">
        <v>#N/A</v>
      </c>
      <c r="S456" s="14"/>
      <c r="T456" s="73"/>
      <c r="U456" s="14"/>
      <c r="V456" s="14"/>
      <c r="W456" s="70"/>
      <c r="X456" s="69"/>
      <c r="Y456" s="79">
        <f ca="1">Table24[[#This Row],[End Date]]+2-TODAY()</f>
        <v>-46005</v>
      </c>
      <c r="Z456" s="14">
        <f>IF(ISBLANK(Table24[[#This Row],[Roster Received By]]),1,0)</f>
        <v>1</v>
      </c>
      <c r="AA456" s="70">
        <f ca="1">IF(Table24[[#This Row],[Start Date]]&gt;TODAY(),1,)</f>
        <v>0</v>
      </c>
    </row>
    <row r="457" spans="1:27" s="52" customFormat="1" x14ac:dyDescent="0.25">
      <c r="B457" s="69"/>
      <c r="C457" s="70" t="e">
        <v>#N/A</v>
      </c>
      <c r="D457" s="70" t="e">
        <v>#N/A</v>
      </c>
      <c r="E457" s="69"/>
      <c r="F457" s="72"/>
      <c r="G457" s="72"/>
      <c r="H457" s="75"/>
      <c r="I457" s="75"/>
      <c r="J457" s="72"/>
      <c r="K457" s="72"/>
      <c r="L457" s="72"/>
      <c r="M457" s="72"/>
      <c r="N457" s="72"/>
      <c r="O457" s="69"/>
      <c r="P457" s="69"/>
      <c r="Q457" s="14" t="e">
        <v>#N/A</v>
      </c>
      <c r="R457" s="14" t="e">
        <v>#N/A</v>
      </c>
      <c r="S457" s="73"/>
      <c r="T457" s="73"/>
      <c r="U457" s="14"/>
      <c r="V457" s="14"/>
      <c r="W457" s="70"/>
      <c r="X457" s="69"/>
      <c r="Y457" s="79">
        <f ca="1">Table24[[#This Row],[End Date]]+2-TODAY()</f>
        <v>-46005</v>
      </c>
      <c r="Z457" s="14">
        <f>IF(ISBLANK(Table24[[#This Row],[Roster Received By]]),1,0)</f>
        <v>1</v>
      </c>
      <c r="AA457" s="70">
        <f ca="1">IF(Table24[[#This Row],[Start Date]]&gt;TODAY(),1,)</f>
        <v>0</v>
      </c>
    </row>
    <row r="458" spans="1:27" s="52" customFormat="1" ht="15.75" thickBot="1" x14ac:dyDescent="0.3">
      <c r="A458" s="113"/>
      <c r="B458" s="113"/>
      <c r="C458" s="114" t="e">
        <v>#N/A</v>
      </c>
      <c r="D458" s="114" t="e">
        <v>#N/A</v>
      </c>
      <c r="E458" s="69"/>
      <c r="F458" s="72"/>
      <c r="G458" s="72"/>
      <c r="H458" s="75"/>
      <c r="I458" s="75"/>
      <c r="J458" s="115"/>
      <c r="K458" s="115"/>
      <c r="L458" s="115"/>
      <c r="M458" s="115"/>
      <c r="N458" s="115"/>
      <c r="O458" s="69"/>
      <c r="P458" s="69"/>
      <c r="Q458" s="14" t="e">
        <v>#N/A</v>
      </c>
      <c r="R458" s="14" t="e">
        <v>#N/A</v>
      </c>
      <c r="S458" s="116"/>
      <c r="T458" s="73"/>
      <c r="U458" s="14"/>
      <c r="V458" s="14"/>
      <c r="W458" s="14"/>
      <c r="X458" s="69"/>
      <c r="Y458" s="60">
        <f ca="1">Table24[[#This Row],[End Date]]+2-TODAY()</f>
        <v>-46005</v>
      </c>
      <c r="Z458" s="14">
        <f>IF(ISBLANK(Table24[[#This Row],[Roster Received By]]),1,0)</f>
        <v>1</v>
      </c>
      <c r="AA458" s="14">
        <f ca="1">IF(Table24[[#This Row],[Start Date]]&gt;TODAY(),1,)</f>
        <v>0</v>
      </c>
    </row>
    <row r="459" spans="1:27" ht="15.75" thickTop="1" x14ac:dyDescent="0.25">
      <c r="A459" s="139" t="s">
        <v>128</v>
      </c>
      <c r="B459" s="139">
        <f>SUBTOTAL(103,Table24[Course Title])</f>
        <v>161</v>
      </c>
      <c r="C459" s="139"/>
      <c r="D459" s="139"/>
      <c r="E459" s="139"/>
      <c r="F459" s="140"/>
      <c r="G459" s="140"/>
      <c r="H459" s="139"/>
      <c r="I459" s="139"/>
      <c r="J459" s="139"/>
      <c r="K459" s="139"/>
      <c r="L459" s="139"/>
      <c r="M459" s="139"/>
      <c r="N459" s="139"/>
      <c r="O459" s="139"/>
      <c r="P459" s="139"/>
      <c r="Q459" s="141" t="e">
        <f>SUBTOTAL(109,Q4:Q458)</f>
        <v>#N/A</v>
      </c>
      <c r="R459" s="141" t="e">
        <f>SUBTOTAL(109,Table24[Course Length (Days)])</f>
        <v>#N/A</v>
      </c>
      <c r="S459" s="141">
        <f>SUBTOTAL(109,S4:S458)</f>
        <v>0</v>
      </c>
      <c r="T459" s="141">
        <f>SUBTOTAL(109,T4:T458)</f>
        <v>0</v>
      </c>
      <c r="U459" s="141">
        <f>SUBTOTAL(109,U4:U458)</f>
        <v>0</v>
      </c>
      <c r="V459" s="141">
        <f>SUBTOTAL(109,V4:V458)</f>
        <v>0</v>
      </c>
      <c r="W459" s="141">
        <f>SUBTOTAL(109,W4:W458)</f>
        <v>0</v>
      </c>
      <c r="X459" s="139">
        <f>SUBTOTAL(103,Table24[Roster Received By])</f>
        <v>0</v>
      </c>
      <c r="Y459" s="142"/>
      <c r="Z459" s="139"/>
      <c r="AA459" s="139"/>
    </row>
  </sheetData>
  <protectedRanges>
    <protectedRange algorithmName="SHA-512" hashValue="n6K25g9uzAcpntxjqTQaPVdKX1eij75CLB1gBuUNBybVL5B3VaxVW/Tcen54TXijIel0fCN9KO3xZiLZCJMSZw==" saltValue="89UdTK4UUElaUoKBccfOYw==" spinCount="100000" sqref="C3:D3" name="CIN CDP"/>
    <protectedRange algorithmName="SHA-512" hashValue="n6K25g9uzAcpntxjqTQaPVdKX1eij75CLB1gBuUNBybVL5B3VaxVW/Tcen54TXijIel0fCN9KO3xZiLZCJMSZw==" saltValue="89UdTK4UUElaUoKBccfOYw==" spinCount="100000" sqref="C183:D458 C107:D181 C4:D101" name="CIN CDP_1"/>
    <protectedRange algorithmName="SHA-512" hashValue="n6K25g9uzAcpntxjqTQaPVdKX1eij75CLB1gBuUNBybVL5B3VaxVW/Tcen54TXijIel0fCN9KO3xZiLZCJMSZw==" saltValue="89UdTK4UUElaUoKBccfOYw==" spinCount="100000" sqref="C102:D103" name="CIN CDP_1_1"/>
    <protectedRange algorithmName="SHA-512" hashValue="n6K25g9uzAcpntxjqTQaPVdKX1eij75CLB1gBuUNBybVL5B3VaxVW/Tcen54TXijIel0fCN9KO3xZiLZCJMSZw==" saltValue="89UdTK4UUElaUoKBccfOYw==" spinCount="100000" sqref="C104:D105" name="CIN CDP_2"/>
    <protectedRange algorithmName="SHA-512" hashValue="n6K25g9uzAcpntxjqTQaPVdKX1eij75CLB1gBuUNBybVL5B3VaxVW/Tcen54TXijIel0fCN9KO3xZiLZCJMSZw==" saltValue="89UdTK4UUElaUoKBccfOYw==" spinCount="100000" sqref="C106:D106" name="CIN CDP_3"/>
    <protectedRange algorithmName="SHA-512" hashValue="n6K25g9uzAcpntxjqTQaPVdKX1eij75CLB1gBuUNBybVL5B3VaxVW/Tcen54TXijIel0fCN9KO3xZiLZCJMSZw==" saltValue="89UdTK4UUElaUoKBccfOYw==" spinCount="100000" sqref="C182:D182" name="CIN CDP_1_1_2"/>
  </protectedRanges>
  <conditionalFormatting sqref="A19:A42 J24:N30 F27:G30 E31:G31 F32:G32 E33:G34 F35:G35 F36:H36 J37:N37 F37:F38 E39:F39 J39:N39 E40:H40 E43 E44:F48 A44:A55 F49:F52 E53:F53 E54 A57:A59 J63:N63 A64 A79:A85 A96 E107:G107 E108:E116 A110 A120 A130:A134 A143:A145 J147:N147 A147:A153 I149:N149 J152:N152 A155:A171 B155:B172 J158:N162 J165:N165 E167:E168 J167:N168 E170:E172 A173:B173 J174:N174 B174:B181 E174:E181 A175:A176 J176:N177 A178 J180:N181 J183:N186 E183:E190 B183:B191 A185:A189 F186:G186 F188:H190 E192:E198 A192:B200 E200 B201:B202 A201:A214 B208 A216:A230 B217:B219 B222 B226 A232:A236 J236:N236 A240 A248 A269 A280 A287 E288:E295 E297:E310 F299:H299 F301:H301 E312:E315 A315 A328 A371 E381:E386 E388:E393 M394:N394 E395:E397 E399:E403 A411 E412:E419 A417 A422">
    <cfRule type="expression" dxfId="1419" priority="297">
      <formula>$T19="McQueen, Jennifer"</formula>
    </cfRule>
    <cfRule type="expression" dxfId="1418" priority="296">
      <formula>$T19="Jenne, Richard"</formula>
    </cfRule>
    <cfRule type="expression" dxfId="1417" priority="295">
      <formula>$T19="Benzick, Sue"</formula>
    </cfRule>
  </conditionalFormatting>
  <conditionalFormatting sqref="A136:A141 E150:E153">
    <cfRule type="expression" dxfId="1416" priority="119">
      <formula>$T136="Jenne, Richard"</formula>
    </cfRule>
    <cfRule type="expression" dxfId="1415" priority="120">
      <formula>$T136="McQueen, Jennifer"</formula>
    </cfRule>
    <cfRule type="expression" dxfId="1414" priority="118">
      <formula>$T136="Benzick, Sue"</formula>
    </cfRule>
  </conditionalFormatting>
  <conditionalFormatting sqref="A182:B182">
    <cfRule type="expression" dxfId="1413" priority="138">
      <formula>$T182="McQueen, Jennifer"</formula>
    </cfRule>
    <cfRule type="expression" dxfId="1412" priority="137">
      <formula>$T182="Jenne, Richard"</formula>
    </cfRule>
    <cfRule type="expression" dxfId="1411" priority="136">
      <formula>$T182="Benzick, Sue"</formula>
    </cfRule>
  </conditionalFormatting>
  <conditionalFormatting sqref="E117:G117 E118:E126 E199:G199 H219:I219 H220 H221:I226 I234 H235:I236 H239:I245 H255:I256 H258:I258 H274:I274 H275 H276:I280 H288:I288">
    <cfRule type="expression" dxfId="1410" priority="270">
      <formula>#REF!="McQueen, Jennifer"</formula>
    </cfRule>
    <cfRule type="expression" dxfId="1409" priority="269">
      <formula>#REF!="Jenne, Richard"</formula>
    </cfRule>
    <cfRule type="expression" dxfId="1408" priority="268">
      <formula>#REF!="Benzick, Sue"</formula>
    </cfRule>
  </conditionalFormatting>
  <conditionalFormatting sqref="E213:G217">
    <cfRule type="expression" dxfId="1407" priority="247">
      <formula>#REF!="Benzick, Sue"</formula>
    </cfRule>
    <cfRule type="expression" dxfId="1406" priority="248">
      <formula>#REF!="Jenne, Richard"</formula>
    </cfRule>
    <cfRule type="expression" dxfId="1405" priority="249">
      <formula>#REF!="McQueen, Jennifer"</formula>
    </cfRule>
  </conditionalFormatting>
  <conditionalFormatting sqref="E445:G445 E458:G458">
    <cfRule type="expression" dxfId="1404" priority="237">
      <formula>#REF!="McQueen, Jennifer"</formula>
    </cfRule>
    <cfRule type="expression" dxfId="1403" priority="235">
      <formula>#REF!="Benzick, Sue"</formula>
    </cfRule>
    <cfRule type="expression" dxfId="1402" priority="236">
      <formula>#REF!="Jenne, Richard"</formula>
    </cfRule>
  </conditionalFormatting>
  <conditionalFormatting sqref="E200:H200 E201:G205 F206:G206 E207:G207 E208:I210 E211:H211 H229:I233 H247:I248 H250:I250 H263:I264 H269:I269 H271:I272 H282:I282 H287:N287">
    <cfRule type="expression" dxfId="1401" priority="253">
      <formula>#REF!="Benzick, Sue"</formula>
    </cfRule>
    <cfRule type="expression" dxfId="1400" priority="254">
      <formula>#REF!="Jenne, Richard"</formula>
    </cfRule>
    <cfRule type="expression" dxfId="1399" priority="255">
      <formula>#REF!="McQueen, Jennifer"</formula>
    </cfRule>
  </conditionalFormatting>
  <conditionalFormatting sqref="E218:H218">
    <cfRule type="expression" dxfId="1398" priority="250">
      <formula>#REF!="Benzick, Sue"</formula>
    </cfRule>
    <cfRule type="expression" dxfId="1397" priority="251">
      <formula>#REF!="Jenne, Richard"</formula>
    </cfRule>
    <cfRule type="expression" dxfId="1396" priority="252">
      <formula>#REF!="McQueen, Jennifer"</formula>
    </cfRule>
  </conditionalFormatting>
  <conditionalFormatting sqref="F98">
    <cfRule type="expression" dxfId="1395" priority="97">
      <formula>$R98="Benzick, Sue"</formula>
    </cfRule>
    <cfRule type="expression" dxfId="1394" priority="99">
      <formula>$R98="McQueen, Jennifer"</formula>
    </cfRule>
    <cfRule type="expression" dxfId="1393" priority="98">
      <formula>$R98="Jenne, Richard"</formula>
    </cfRule>
  </conditionalFormatting>
  <conditionalFormatting sqref="F100">
    <cfRule type="expression" dxfId="1392" priority="80">
      <formula>$R100="Jenne, Richard"</formula>
    </cfRule>
    <cfRule type="expression" dxfId="1391" priority="79">
      <formula>$R100="Benzick, Sue"</formula>
    </cfRule>
    <cfRule type="expression" dxfId="1390" priority="81">
      <formula>$R100="McQueen, Jennifer"</formula>
    </cfRule>
  </conditionalFormatting>
  <conditionalFormatting sqref="F129">
    <cfRule type="expression" dxfId="1389" priority="95">
      <formula>$R129="Jenne, Richard"</formula>
    </cfRule>
    <cfRule type="expression" dxfId="1388" priority="96">
      <formula>$R129="McQueen, Jennifer"</formula>
    </cfRule>
    <cfRule type="expression" dxfId="1387" priority="94">
      <formula>$R129="Benzick, Sue"</formula>
    </cfRule>
  </conditionalFormatting>
  <conditionalFormatting sqref="F155 F164">
    <cfRule type="expression" dxfId="1386" priority="231">
      <formula>$S157="McQueen, Jennifer"</formula>
    </cfRule>
    <cfRule type="expression" dxfId="1385" priority="230">
      <formula>$S157="Jenne, Richard"</formula>
    </cfRule>
    <cfRule type="expression" dxfId="1384" priority="229">
      <formula>$S157="Benzick, Sue"</formula>
    </cfRule>
  </conditionalFormatting>
  <conditionalFormatting sqref="F159:F160 F163">
    <cfRule type="expression" dxfId="1383" priority="233">
      <formula>$S160="Jenne, Richard"</formula>
    </cfRule>
    <cfRule type="expression" dxfId="1382" priority="232">
      <formula>$S160="Benzick, Sue"</formula>
    </cfRule>
    <cfRule type="expression" dxfId="1381" priority="234">
      <formula>$S160="McQueen, Jennifer"</formula>
    </cfRule>
  </conditionalFormatting>
  <conditionalFormatting sqref="F162">
    <cfRule type="expression" dxfId="1380" priority="225">
      <formula>#REF!="McQueen, Jennifer"</formula>
    </cfRule>
    <cfRule type="expression" dxfId="1379" priority="224">
      <formula>#REF!="Jenne, Richard"</formula>
    </cfRule>
    <cfRule type="expression" dxfId="1378" priority="223">
      <formula>#REF!="Benzick, Sue"</formula>
    </cfRule>
  </conditionalFormatting>
  <conditionalFormatting sqref="F166">
    <cfRule type="expression" dxfId="1377" priority="221">
      <formula>$S170="Jenne, Richard"</formula>
    </cfRule>
    <cfRule type="expression" dxfId="1376" priority="220">
      <formula>$S170="Benzick, Sue"</formula>
    </cfRule>
    <cfRule type="expression" dxfId="1375" priority="222">
      <formula>$S170="McQueen, Jennifer"</formula>
    </cfRule>
  </conditionalFormatting>
  <conditionalFormatting sqref="F193 F195">
    <cfRule type="expression" dxfId="1374" priority="289">
      <formula>$T194="Benzick, Sue"</formula>
    </cfRule>
    <cfRule type="expression" dxfId="1373" priority="291">
      <formula>$T194="McQueen, Jennifer"</formula>
    </cfRule>
    <cfRule type="expression" dxfId="1372" priority="290">
      <formula>$T194="Jenne, Richard"</formula>
    </cfRule>
  </conditionalFormatting>
  <conditionalFormatting sqref="F194">
    <cfRule type="expression" dxfId="1371" priority="312">
      <formula>#REF!="McQueen, Jennifer"</formula>
    </cfRule>
    <cfRule type="expression" dxfId="1370" priority="310">
      <formula>#REF!="Benzick, Sue"</formula>
    </cfRule>
    <cfRule type="expression" dxfId="1369" priority="311">
      <formula>#REF!="Jenne, Richard"</formula>
    </cfRule>
  </conditionalFormatting>
  <conditionalFormatting sqref="F302">
    <cfRule type="expression" dxfId="1368" priority="307">
      <formula>#REF!="Benzick, Sue"</formula>
    </cfRule>
    <cfRule type="expression" dxfId="1367" priority="308">
      <formula>#REF!="Jenne, Richard"</formula>
    </cfRule>
    <cfRule type="expression" dxfId="1366" priority="309">
      <formula>#REF!="McQueen, Jennifer"</formula>
    </cfRule>
  </conditionalFormatting>
  <conditionalFormatting sqref="F55:G55 E56:H56 E79:F80 F81:F85 F87 F95:F96 F140:G140 F153 J217:M217">
    <cfRule type="expression" dxfId="1365" priority="292">
      <formula>$R55="Benzick, Sue"</formula>
    </cfRule>
    <cfRule type="expression" dxfId="1364" priority="294">
      <formula>$R55="McQueen, Jennifer"</formula>
    </cfRule>
    <cfRule type="expression" dxfId="1363" priority="293">
      <formula>$R55="Jenne, Richard"</formula>
    </cfRule>
  </conditionalFormatting>
  <conditionalFormatting sqref="F92:G93">
    <cfRule type="expression" dxfId="1362" priority="107">
      <formula>#REF!="Jenne, Richard"</formula>
    </cfRule>
    <cfRule type="expression" dxfId="1361" priority="108">
      <formula>#REF!="McQueen, Jennifer"</formula>
    </cfRule>
    <cfRule type="expression" dxfId="1360" priority="106">
      <formula>#REF!="Benzick, Sue"</formula>
    </cfRule>
  </conditionalFormatting>
  <conditionalFormatting sqref="F99:G99">
    <cfRule type="expression" dxfId="1359" priority="110">
      <formula>#REF!="Jenne, Richard"</formula>
    </cfRule>
    <cfRule type="expression" dxfId="1358" priority="111">
      <formula>#REF!="McQueen, Jennifer"</formula>
    </cfRule>
    <cfRule type="expression" dxfId="1357" priority="109">
      <formula>#REF!="Benzick, Sue"</formula>
    </cfRule>
  </conditionalFormatting>
  <conditionalFormatting sqref="F114:G116">
    <cfRule type="expression" dxfId="1356" priority="83">
      <formula>#REF!="Jenne, Richard"</formula>
    </cfRule>
    <cfRule type="expression" dxfId="1355" priority="82">
      <formula>#REF!="Benzick, Sue"</formula>
    </cfRule>
    <cfRule type="expression" dxfId="1354" priority="84">
      <formula>#REF!="McQueen, Jennifer"</formula>
    </cfRule>
  </conditionalFormatting>
  <conditionalFormatting sqref="F118:G118">
    <cfRule type="expression" dxfId="1353" priority="115">
      <formula>$T118="Benzick, Sue"</formula>
    </cfRule>
    <cfRule type="expression" dxfId="1352" priority="117">
      <formula>$T118="McQueen, Jennifer"</formula>
    </cfRule>
    <cfRule type="expression" dxfId="1351" priority="116">
      <formula>$T118="Jenne, Richard"</formula>
    </cfRule>
  </conditionalFormatting>
  <conditionalFormatting sqref="F119:G121">
    <cfRule type="expression" dxfId="1350" priority="113">
      <formula>#REF!="Jenne, Richard"</formula>
    </cfRule>
    <cfRule type="expression" dxfId="1349" priority="114">
      <formula>#REF!="McQueen, Jennifer"</formula>
    </cfRule>
    <cfRule type="expression" dxfId="1348" priority="112">
      <formula>#REF!="Benzick, Sue"</formula>
    </cfRule>
  </conditionalFormatting>
  <conditionalFormatting sqref="F130:G133">
    <cfRule type="expression" dxfId="1347" priority="88">
      <formula>#REF!="Benzick, Sue"</formula>
    </cfRule>
    <cfRule type="expression" dxfId="1346" priority="90">
      <formula>#REF!="McQueen, Jennifer"</formula>
    </cfRule>
    <cfRule type="expression" dxfId="1345" priority="89">
      <formula>#REF!="Jenne, Richard"</formula>
    </cfRule>
  </conditionalFormatting>
  <conditionalFormatting sqref="F162:G162">
    <cfRule type="expression" dxfId="1344" priority="226">
      <formula>#REF!="Benzick, Sue"</formula>
    </cfRule>
    <cfRule type="expression" dxfId="1343" priority="228">
      <formula>#REF!="McQueen, Jennifer"</formula>
    </cfRule>
    <cfRule type="expression" dxfId="1342" priority="227">
      <formula>#REF!="Jenne, Richard"</formula>
    </cfRule>
  </conditionalFormatting>
  <conditionalFormatting sqref="F113:H113 H119:I121">
    <cfRule type="expression" dxfId="1341" priority="271">
      <formula>#REF!="Benzick, Sue"</formula>
    </cfRule>
    <cfRule type="expression" dxfId="1340" priority="272">
      <formula>#REF!="Jenne, Richard"</formula>
    </cfRule>
    <cfRule type="expression" dxfId="1339" priority="273">
      <formula>#REF!="McQueen, Jennifer"</formula>
    </cfRule>
  </conditionalFormatting>
  <conditionalFormatting sqref="F136:H136 E137:I137 H138 H139:I140 H143:I148 H149 H150:I150 H152:I152 I153 H160:H161 H162:I162 H165:I165 H167:I168 H170:I170 H172:I174 H177:I177 I184 H185:I186 H187 H191">
    <cfRule type="expression" dxfId="1338" priority="265">
      <formula>#REF!="Benzick, Sue"</formula>
    </cfRule>
    <cfRule type="expression" dxfId="1337" priority="266">
      <formula>#REF!="Jenne, Richard"</formula>
    </cfRule>
    <cfRule type="expression" dxfId="1336" priority="267">
      <formula>#REF!="McQueen, Jennifer"</formula>
    </cfRule>
  </conditionalFormatting>
  <conditionalFormatting sqref="F296:H296 H397:I402 H403">
    <cfRule type="expression" dxfId="1335" priority="245">
      <formula>#REF!="Jenne, Richard"</formula>
    </cfRule>
    <cfRule type="expression" dxfId="1334" priority="244">
      <formula>#REF!="Benzick, Sue"</formula>
    </cfRule>
    <cfRule type="expression" dxfId="1333" priority="246">
      <formula>#REF!="McQueen, Jennifer"</formula>
    </cfRule>
  </conditionalFormatting>
  <conditionalFormatting sqref="F297:H298 F382:H382 F384:H384 F385:G386">
    <cfRule type="expression" dxfId="1332" priority="243">
      <formula>$P297="McQueen, Jennifer"</formula>
    </cfRule>
    <cfRule type="expression" dxfId="1331" priority="242">
      <formula>$P297="Jenne, Richard"</formula>
    </cfRule>
    <cfRule type="expression" dxfId="1330" priority="241">
      <formula>$P297="Benzick, Sue"</formula>
    </cfRule>
  </conditionalFormatting>
  <conditionalFormatting sqref="F381:H381 F383:H383 F387:H388 F389:G390 F391:H393 F394:I394 F395:H396 F397:G398 H404:I404 H406:I409">
    <cfRule type="expression" dxfId="1329" priority="239">
      <formula>#REF!="Jenne, Richard"</formula>
    </cfRule>
    <cfRule type="expression" dxfId="1328" priority="238">
      <formula>#REF!="Benzick, Sue"</formula>
    </cfRule>
    <cfRule type="expression" dxfId="1327" priority="240">
      <formula>#REF!="McQueen, Jennifer"</formula>
    </cfRule>
  </conditionalFormatting>
  <conditionalFormatting sqref="G16:I20 G21:N21 G22:I22 F23:I26 H27:I30 H31:H35 J31:N36 I31:I63 H37:H39 J40:N40 H41:H43 J53:N53 J55:N57 H57:H59 J60:N61 H62:H63 I64:N64 J87:N87 K88:N91 I90:I91 H91 H92:I96 H97 H98:I98 I99:N100 H101:I102 J103:N104 I103:I116 J112:N112 I122 K122:N122 H123:I124 I125:I126 K125:N126 N128:N129 I129:M129 K130:N130 I130:I133 J132:N132 K133:N133 J141:N141 I151:N151 J153:N153 J155:N155 I156 K156:N156 I157:K157 M157:N157 H158:I159 J163:N163 I164:K164 M164:N164 H166:N166 I169:N169 H171:N171 I173:N173 I178:N179 H180:I181 H183:I183 I192:N192 I194:N198 H200:N200 H203 H206:N206 I211 H212:I217 I218 I227:N228 I237:N238 I249:N249 I251:N253 I254 I259:N262 I265:N268 I270:N270 I273:N273 I281:N281 I283:N284 I286:N286 I290:N290 I293:N294 H295:I295 I296:N299 H300:I300 I301:N301 I305:N305 H306:I306 H307:N307 I308:N311 H314:I314 I316:N316 I319:N321 I325:N325 I329:N330 I333:N333 I336:N336 I340:N340 I345:N345 I349:N349 I351:N351 I353:N353 H354:I354 I359:N359 H362:I362 I364:N367 I374:N374 I378:N384 I387:N388 I391:N391 I392 I393:N393 I395:N396 I405:N405 I410:N411 H412:I412 I413:N414 H415:I416 I417:N417 H418:I418 I419 H420:I429 I430:N431 H432:I432 I433:N434 H435:I436 H443:I450 F446:G457 I451 H452:I458">
    <cfRule type="expression" dxfId="1326" priority="287">
      <formula>#REF!="Jenne, Richard"</formula>
    </cfRule>
    <cfRule type="expression" dxfId="1325" priority="288">
      <formula>#REF!="McQueen, Jennifer"</formula>
    </cfRule>
    <cfRule type="expression" dxfId="1324" priority="286">
      <formula>#REF!="Benzick, Sue"</formula>
    </cfRule>
  </conditionalFormatting>
  <conditionalFormatting sqref="G182:N182">
    <cfRule type="expression" dxfId="1323" priority="133">
      <formula>#REF!="Benzick, Sue"</formula>
    </cfRule>
    <cfRule type="expression" dxfId="1322" priority="134">
      <formula>#REF!="Jenne, Richard"</formula>
    </cfRule>
    <cfRule type="expression" dxfId="1321" priority="135">
      <formula>#REF!="McQueen, Jennifer"</formula>
    </cfRule>
  </conditionalFormatting>
  <conditionalFormatting sqref="H46:H55 H114:H118 H127:I128 H129:H133 H134:I134 H135 H142 H169 H173 H175:H176 H184">
    <cfRule type="expression" dxfId="1320" priority="257">
      <formula>#REF!="Jenne, Richard"</formula>
    </cfRule>
    <cfRule type="expression" dxfId="1319" priority="258">
      <formula>#REF!="McQueen, Jennifer"</formula>
    </cfRule>
    <cfRule type="expression" dxfId="1318" priority="256">
      <formula>#REF!="Benzick, Sue"</formula>
    </cfRule>
  </conditionalFormatting>
  <conditionalFormatting sqref="H65 I65:I76 J66:N76 H77:I89 E127:G127 E128:E133 I154:N154">
    <cfRule type="expression" dxfId="1317" priority="259">
      <formula>#REF!="Benzick, Sue"</formula>
    </cfRule>
    <cfRule type="expression" dxfId="1316" priority="261">
      <formula>#REF!="McQueen, Jennifer"</formula>
    </cfRule>
    <cfRule type="expression" dxfId="1315" priority="260">
      <formula>#REF!="Jenne, Richard"</formula>
    </cfRule>
  </conditionalFormatting>
  <conditionalFormatting sqref="H125:H126">
    <cfRule type="expression" dxfId="1314" priority="282">
      <formula>#REF!="McQueen, Jennifer"</formula>
    </cfRule>
    <cfRule type="expression" dxfId="1313" priority="281">
      <formula>#REF!="Jenne, Richard"</formula>
    </cfRule>
    <cfRule type="expression" dxfId="1312" priority="280">
      <formula>#REF!="Benzick, Sue"</formula>
    </cfRule>
  </conditionalFormatting>
  <conditionalFormatting sqref="H234">
    <cfRule type="expression" dxfId="1311" priority="131">
      <formula>#REF!="Jenne, Richard"</formula>
    </cfRule>
    <cfRule type="expression" dxfId="1310" priority="130">
      <formula>#REF!="Benzick, Sue"</formula>
    </cfRule>
    <cfRule type="expression" dxfId="1309" priority="132">
      <formula>#REF!="McQueen, Jennifer"</formula>
    </cfRule>
  </conditionalFormatting>
  <conditionalFormatting sqref="H4:I15 H105:H112 F108:G110 F122:H122">
    <cfRule type="expression" dxfId="1308" priority="283">
      <formula>#REF!="Benzick, Sue"</formula>
    </cfRule>
    <cfRule type="expression" dxfId="1307" priority="284">
      <formula>#REF!="Jenne, Richard"</formula>
    </cfRule>
    <cfRule type="expression" dxfId="1306" priority="285">
      <formula>#REF!="McQueen, Jennifer"</formula>
    </cfRule>
  </conditionalFormatting>
  <conditionalFormatting sqref="I97">
    <cfRule type="expression" dxfId="1305" priority="216">
      <formula>#REF!="McQueen, Jennifer"</formula>
    </cfRule>
    <cfRule type="expression" dxfId="1304" priority="215">
      <formula>#REF!="Jenne, Richard"</formula>
    </cfRule>
    <cfRule type="expression" dxfId="1303" priority="214">
      <formula>#REF!="Benzick, Sue"</formula>
    </cfRule>
  </conditionalFormatting>
  <conditionalFormatting sqref="I135">
    <cfRule type="expression" dxfId="1302" priority="77">
      <formula>#REF!="Jenne, Richard"</formula>
    </cfRule>
    <cfRule type="expression" dxfId="1301" priority="78">
      <formula>#REF!="McQueen, Jennifer"</formula>
    </cfRule>
    <cfRule type="expression" dxfId="1300" priority="76">
      <formula>#REF!="Benzick, Sue"</formula>
    </cfRule>
  </conditionalFormatting>
  <conditionalFormatting sqref="I136">
    <cfRule type="expression" dxfId="1299" priority="19">
      <formula>$T136="Benzick, Sue"</formula>
    </cfRule>
    <cfRule type="expression" dxfId="1298" priority="21">
      <formula>$T136="McQueen, Jennifer"</formula>
    </cfRule>
    <cfRule type="expression" dxfId="1297" priority="20">
      <formula>$T136="Jenne, Richard"</formula>
    </cfRule>
  </conditionalFormatting>
  <conditionalFormatting sqref="I138">
    <cfRule type="expression" dxfId="1296" priority="27">
      <formula>$T138="McQueen, Jennifer"</formula>
    </cfRule>
    <cfRule type="expression" dxfId="1295" priority="26">
      <formula>$T138="Jenne, Richard"</formula>
    </cfRule>
    <cfRule type="expression" dxfId="1294" priority="25">
      <formula>$T138="Benzick, Sue"</formula>
    </cfRule>
  </conditionalFormatting>
  <conditionalFormatting sqref="I141:I142">
    <cfRule type="expression" dxfId="1293" priority="35">
      <formula>$T141="Jenne, Richard"</formula>
    </cfRule>
    <cfRule type="expression" dxfId="1292" priority="36">
      <formula>$T141="McQueen, Jennifer"</formula>
    </cfRule>
    <cfRule type="expression" dxfId="1291" priority="34">
      <formula>$T141="Benzick, Sue"</formula>
    </cfRule>
  </conditionalFormatting>
  <conditionalFormatting sqref="I155">
    <cfRule type="expression" dxfId="1290" priority="18">
      <formula>$T155="McQueen, Jennifer"</formula>
    </cfRule>
    <cfRule type="expression" dxfId="1289" priority="17">
      <formula>$T155="Jenne, Richard"</formula>
    </cfRule>
    <cfRule type="expression" dxfId="1288" priority="16">
      <formula>$T155="Benzick, Sue"</formula>
    </cfRule>
  </conditionalFormatting>
  <conditionalFormatting sqref="I160">
    <cfRule type="expression" dxfId="1287" priority="9">
      <formula>$T160="McQueen, Jennifer"</formula>
    </cfRule>
    <cfRule type="expression" dxfId="1286" priority="8">
      <formula>$T160="Jenne, Richard"</formula>
    </cfRule>
    <cfRule type="expression" dxfId="1285" priority="7">
      <formula>$T160="Benzick, Sue"</formula>
    </cfRule>
  </conditionalFormatting>
  <conditionalFormatting sqref="I161">
    <cfRule type="expression" dxfId="1284" priority="127">
      <formula>#REF!="Benzick, Sue"</formula>
    </cfRule>
    <cfRule type="expression" dxfId="1283" priority="128">
      <formula>#REF!="Jenne, Richard"</formula>
    </cfRule>
    <cfRule type="expression" dxfId="1282" priority="129">
      <formula>#REF!="McQueen, Jennifer"</formula>
    </cfRule>
  </conditionalFormatting>
  <conditionalFormatting sqref="I163">
    <cfRule type="expression" dxfId="1281" priority="5">
      <formula>$T163="Jenne, Richard"</formula>
    </cfRule>
    <cfRule type="expression" dxfId="1280" priority="4">
      <formula>$T163="Benzick, Sue"</formula>
    </cfRule>
    <cfRule type="expression" dxfId="1279" priority="6">
      <formula>$T163="McQueen, Jennifer"</formula>
    </cfRule>
  </conditionalFormatting>
  <conditionalFormatting sqref="I175:I176">
    <cfRule type="expression" dxfId="1278" priority="149">
      <formula>#REF!="Jenne, Richard"</formula>
    </cfRule>
    <cfRule type="expression" dxfId="1277" priority="148">
      <formula>#REF!="Benzick, Sue"</formula>
    </cfRule>
    <cfRule type="expression" dxfId="1276" priority="150">
      <formula>#REF!="McQueen, Jennifer"</formula>
    </cfRule>
  </conditionalFormatting>
  <conditionalFormatting sqref="I203">
    <cfRule type="expression" dxfId="1275" priority="212">
      <formula>#REF!="Jenne, Richard"</formula>
    </cfRule>
    <cfRule type="expression" dxfId="1274" priority="211">
      <formula>#REF!="Benzick, Sue"</formula>
    </cfRule>
    <cfRule type="expression" dxfId="1273" priority="213">
      <formula>#REF!="McQueen, Jennifer"</formula>
    </cfRule>
  </conditionalFormatting>
  <conditionalFormatting sqref="I220">
    <cfRule type="expression" dxfId="1272" priority="177">
      <formula>#REF!="McQueen, Jennifer"</formula>
    </cfRule>
    <cfRule type="expression" dxfId="1271" priority="176">
      <formula>#REF!="Jenne, Richard"</formula>
    </cfRule>
    <cfRule type="expression" dxfId="1270" priority="175">
      <formula>#REF!="Benzick, Sue"</formula>
    </cfRule>
  </conditionalFormatting>
  <conditionalFormatting sqref="I246">
    <cfRule type="expression" dxfId="1269" priority="169">
      <formula>#REF!="Benzick, Sue"</formula>
    </cfRule>
    <cfRule type="expression" dxfId="1268" priority="170">
      <formula>#REF!="Jenne, Richard"</formula>
    </cfRule>
    <cfRule type="expression" dxfId="1267" priority="171">
      <formula>#REF!="McQueen, Jennifer"</formula>
    </cfRule>
  </conditionalFormatting>
  <conditionalFormatting sqref="I285">
    <cfRule type="expression" dxfId="1266" priority="205">
      <formula>#REF!="Benzick, Sue"</formula>
    </cfRule>
    <cfRule type="expression" dxfId="1265" priority="206">
      <formula>#REF!="Jenne, Richard"</formula>
    </cfRule>
    <cfRule type="expression" dxfId="1264" priority="207">
      <formula>#REF!="McQueen, Jennifer"</formula>
    </cfRule>
  </conditionalFormatting>
  <conditionalFormatting sqref="I332">
    <cfRule type="expression" dxfId="1263" priority="208">
      <formula>#REF!="Benzick, Sue"</formula>
    </cfRule>
    <cfRule type="expression" dxfId="1262" priority="209">
      <formula>#REF!="Jenne, Richard"</formula>
    </cfRule>
    <cfRule type="expression" dxfId="1261" priority="210">
      <formula>#REF!="McQueen, Jennifer"</formula>
    </cfRule>
  </conditionalFormatting>
  <conditionalFormatting sqref="I187:N190">
    <cfRule type="expression" dxfId="1260" priority="189">
      <formula>#REF!="McQueen, Jennifer"</formula>
    </cfRule>
    <cfRule type="expression" dxfId="1259" priority="188">
      <formula>#REF!="Jenne, Richard"</formula>
    </cfRule>
    <cfRule type="expression" dxfId="1258" priority="187">
      <formula>#REF!="Benzick, Sue"</formula>
    </cfRule>
  </conditionalFormatting>
  <conditionalFormatting sqref="I257:N257">
    <cfRule type="expression" dxfId="1257" priority="123">
      <formula>#REF!="McQueen, Jennifer"</formula>
    </cfRule>
    <cfRule type="expression" dxfId="1256" priority="122">
      <formula>#REF!="Jenne, Richard"</formula>
    </cfRule>
    <cfRule type="expression" dxfId="1255" priority="121">
      <formula>#REF!="Benzick, Sue"</formula>
    </cfRule>
  </conditionalFormatting>
  <conditionalFormatting sqref="I275:N275">
    <cfRule type="expression" dxfId="1254" priority="126">
      <formula>#REF!="McQueen, Jennifer"</formula>
    </cfRule>
    <cfRule type="expression" dxfId="1253" priority="125">
      <formula>#REF!="Jenne, Richard"</formula>
    </cfRule>
    <cfRule type="expression" dxfId="1252" priority="124">
      <formula>#REF!="Benzick, Sue"</formula>
    </cfRule>
  </conditionalFormatting>
  <conditionalFormatting sqref="I403:N403">
    <cfRule type="expression" dxfId="1251" priority="186">
      <formula>#REF!="McQueen, Jennifer"</formula>
    </cfRule>
    <cfRule type="expression" dxfId="1250" priority="185">
      <formula>#REF!="Jenne, Richard"</formula>
    </cfRule>
    <cfRule type="expression" dxfId="1249" priority="184">
      <formula>#REF!="Benzick, Sue"</formula>
    </cfRule>
  </conditionalFormatting>
  <conditionalFormatting sqref="I437:N442">
    <cfRule type="expression" dxfId="1248" priority="218">
      <formula>#REF!="Jenne, Richard"</formula>
    </cfRule>
    <cfRule type="expression" dxfId="1247" priority="217">
      <formula>#REF!="Benzick, Sue"</formula>
    </cfRule>
    <cfRule type="expression" dxfId="1246" priority="219">
      <formula>#REF!="McQueen, Jennifer"</formula>
    </cfRule>
  </conditionalFormatting>
  <conditionalFormatting sqref="J47">
    <cfRule type="expression" dxfId="1245" priority="202">
      <formula>#REF!="Benzick, Sue"</formula>
    </cfRule>
    <cfRule type="expression" dxfId="1244" priority="203">
      <formula>#REF!="Jenne, Richard"</formula>
    </cfRule>
    <cfRule type="expression" dxfId="1243" priority="204">
      <formula>#REF!="McQueen, Jennifer"</formula>
    </cfRule>
  </conditionalFormatting>
  <conditionalFormatting sqref="J88:J91">
    <cfRule type="expression" dxfId="1242" priority="50">
      <formula>#REF!="Jenne, Richard"</formula>
    </cfRule>
    <cfRule type="expression" dxfId="1241" priority="51">
      <formula>#REF!="McQueen, Jennifer"</formula>
    </cfRule>
    <cfRule type="expression" dxfId="1240" priority="49">
      <formula>#REF!="Benzick, Sue"</formula>
    </cfRule>
  </conditionalFormatting>
  <conditionalFormatting sqref="J101:J102">
    <cfRule type="expression" dxfId="1239" priority="65">
      <formula>#REF!="Jenne, Richard"</formula>
    </cfRule>
    <cfRule type="expression" dxfId="1238" priority="66">
      <formula>#REF!="McQueen, Jennifer"</formula>
    </cfRule>
    <cfRule type="expression" dxfId="1237" priority="64">
      <formula>#REF!="Benzick, Sue"</formula>
    </cfRule>
  </conditionalFormatting>
  <conditionalFormatting sqref="J118:J127">
    <cfRule type="expression" dxfId="1236" priority="53">
      <formula>#REF!="Jenne, Richard"</formula>
    </cfRule>
    <cfRule type="expression" dxfId="1235" priority="52">
      <formula>#REF!="Benzick, Sue"</formula>
    </cfRule>
    <cfRule type="expression" dxfId="1234" priority="54">
      <formula>#REF!="McQueen, Jennifer"</formula>
    </cfRule>
  </conditionalFormatting>
  <conditionalFormatting sqref="J130">
    <cfRule type="expression" dxfId="1233" priority="63">
      <formula>#REF!="McQueen, Jennifer"</formula>
    </cfRule>
    <cfRule type="expression" dxfId="1232" priority="62">
      <formula>#REF!="Jenne, Richard"</formula>
    </cfRule>
    <cfRule type="expression" dxfId="1231" priority="61">
      <formula>#REF!="Benzick, Sue"</formula>
    </cfRule>
  </conditionalFormatting>
  <conditionalFormatting sqref="J133">
    <cfRule type="expression" dxfId="1230" priority="60">
      <formula>#REF!="McQueen, Jennifer"</formula>
    </cfRule>
    <cfRule type="expression" dxfId="1229" priority="59">
      <formula>#REF!="Jenne, Richard"</formula>
    </cfRule>
    <cfRule type="expression" dxfId="1228" priority="58">
      <formula>#REF!="Benzick, Sue"</formula>
    </cfRule>
  </conditionalFormatting>
  <conditionalFormatting sqref="J137">
    <cfRule type="expression" dxfId="1227" priority="22">
      <formula>$T137="Benzick, Sue"</formula>
    </cfRule>
    <cfRule type="expression" dxfId="1226" priority="23">
      <formula>$T137="Jenne, Richard"</formula>
    </cfRule>
    <cfRule type="expression" dxfId="1225" priority="24">
      <formula>$T137="McQueen, Jennifer"</formula>
    </cfRule>
  </conditionalFormatting>
  <conditionalFormatting sqref="J139:J140">
    <cfRule type="expression" dxfId="1224" priority="28">
      <formula>$T139="Benzick, Sue"</formula>
    </cfRule>
    <cfRule type="expression" dxfId="1223" priority="29">
      <formula>$T139="Jenne, Richard"</formula>
    </cfRule>
    <cfRule type="expression" dxfId="1222" priority="30">
      <formula>$T139="McQueen, Jennifer"</formula>
    </cfRule>
  </conditionalFormatting>
  <conditionalFormatting sqref="J156">
    <cfRule type="expression" dxfId="1221" priority="13">
      <formula>$T156="Benzick, Sue"</formula>
    </cfRule>
    <cfRule type="expression" dxfId="1220" priority="14">
      <formula>$T156="Jenne, Richard"</formula>
    </cfRule>
    <cfRule type="expression" dxfId="1219" priority="15">
      <formula>$T156="McQueen, Jennifer"</formula>
    </cfRule>
  </conditionalFormatting>
  <conditionalFormatting sqref="J220">
    <cfRule type="expression" dxfId="1218" priority="174">
      <formula>$T220="McQueen, Jennifer"</formula>
    </cfRule>
    <cfRule type="expression" dxfId="1217" priority="173">
      <formula>$T220="Jenne, Richard"</formula>
    </cfRule>
    <cfRule type="expression" dxfId="1216" priority="172">
      <formula>$T220="Benzick, Sue"</formula>
    </cfRule>
  </conditionalFormatting>
  <conditionalFormatting sqref="J246">
    <cfRule type="expression" dxfId="1215" priority="168">
      <formula>$T246="McQueen, Jennifer"</formula>
    </cfRule>
    <cfRule type="expression" dxfId="1214" priority="166">
      <formula>$T246="Benzick, Sue"</formula>
    </cfRule>
    <cfRule type="expression" dxfId="1213" priority="167">
      <formula>$T246="Jenne, Richard"</formula>
    </cfRule>
  </conditionalFormatting>
  <conditionalFormatting sqref="J254">
    <cfRule type="expression" dxfId="1212" priority="163">
      <formula>$T254="Benzick, Sue"</formula>
    </cfRule>
    <cfRule type="expression" dxfId="1211" priority="165">
      <formula>$T254="McQueen, Jennifer"</formula>
    </cfRule>
    <cfRule type="expression" dxfId="1210" priority="164">
      <formula>$T254="Jenne, Richard"</formula>
    </cfRule>
  </conditionalFormatting>
  <conditionalFormatting sqref="J392">
    <cfRule type="expression" dxfId="1209" priority="161">
      <formula>$T392="Jenne, Richard"</formula>
    </cfRule>
    <cfRule type="expression" dxfId="1208" priority="162">
      <formula>$T392="McQueen, Jennifer"</formula>
    </cfRule>
    <cfRule type="expression" dxfId="1207" priority="160">
      <formula>$T392="Benzick, Sue"</formula>
    </cfRule>
  </conditionalFormatting>
  <conditionalFormatting sqref="J449">
    <cfRule type="expression" dxfId="1206" priority="159">
      <formula>$T449="McQueen, Jennifer"</formula>
    </cfRule>
    <cfRule type="expression" dxfId="1205" priority="158">
      <formula>$T449="Jenne, Richard"</formula>
    </cfRule>
    <cfRule type="expression" dxfId="1204" priority="157">
      <formula>$T449="Benzick, Sue"</formula>
    </cfRule>
  </conditionalFormatting>
  <conditionalFormatting sqref="J4:N20 T4:T76 A16:A18 S16:S22 S24:S33 S35 S37:S53 F57:G58 S57:S68 E59:G59 E60:H60 F61:H61 E62:G62 J62:N62 F63:G63 F64:H64 E64:E65 J65:N65 F65:F66 A65:A76 E67:F76 S77:T128 J86:N86 J92:L92 N92 A94:A95 J94:L95 N94:N95 E97:E98 H100 J105:N105 A106:A109 J110:N110 J113:N113 K119:N121 K123:N123 T129 S130:T141 A135 E138 K139:N139 E141:H141 E143:G143 S143:T143 J143:N144 E144 S144:S145 T144:T149 F145 K145 M145:N145 F147:G149 S147:S149 J150:N150 F150:F151 S150:T190 F154 E155:E159 E161:E164 E166 E173 F186:F187 S192:T204 J200:N200 J202:N202 T205:T206 S207:T231 J209:N209 J211:N215 A215 J218:N219 J222:N222 J232:N232 S232:S236 T232:T245 J235:N235 T247 J248:N248 S248:T248 T249:T458 A282 A331 J332:N332 A412 A423">
    <cfRule type="expression" dxfId="1203" priority="300">
      <formula>$S4="McQueen, Jennifer"</formula>
    </cfRule>
    <cfRule type="expression" dxfId="1202" priority="298">
      <formula>$S4="Benzick, Sue"</formula>
    </cfRule>
    <cfRule type="expression" dxfId="1201" priority="299">
      <formula>$S4="Jenne, Richard"</formula>
    </cfRule>
  </conditionalFormatting>
  <conditionalFormatting sqref="J22:N22">
    <cfRule type="expression" dxfId="1200" priority="156">
      <formula>$S22="McQueen, Jennifer"</formula>
    </cfRule>
    <cfRule type="expression" dxfId="1199" priority="154">
      <formula>$S22="Benzick, Sue"</formula>
    </cfRule>
    <cfRule type="expression" dxfId="1198" priority="155">
      <formula>$S22="Jenne, Richard"</formula>
    </cfRule>
  </conditionalFormatting>
  <conditionalFormatting sqref="J49:N52">
    <cfRule type="expression" dxfId="1197" priority="181">
      <formula>$T49="Benzick, Sue"</formula>
    </cfRule>
    <cfRule type="expression" dxfId="1196" priority="182">
      <formula>$T49="Jenne, Richard"</formula>
    </cfRule>
    <cfRule type="expression" dxfId="1195" priority="183">
      <formula>$T49="McQueen, Jennifer"</formula>
    </cfRule>
  </conditionalFormatting>
  <conditionalFormatting sqref="J59:N59">
    <cfRule type="expression" dxfId="1194" priority="178">
      <formula>$T59="Benzick, Sue"</formula>
    </cfRule>
    <cfRule type="expression" dxfId="1193" priority="179">
      <formula>$T59="Jenne, Richard"</formula>
    </cfRule>
    <cfRule type="expression" dxfId="1192" priority="180">
      <formula>$T59="McQueen, Jennifer"</formula>
    </cfRule>
  </conditionalFormatting>
  <conditionalFormatting sqref="J115:N116 I117:L117 N117 I118 K118:N118">
    <cfRule type="expression" dxfId="1191" priority="152">
      <formula>#REF!="Jenne, Richard"</formula>
    </cfRule>
    <cfRule type="expression" dxfId="1190" priority="151">
      <formula>#REF!="Benzick, Sue"</formula>
    </cfRule>
    <cfRule type="expression" dxfId="1189" priority="153">
      <formula>#REF!="McQueen, Jennifer"</formula>
    </cfRule>
  </conditionalFormatting>
  <conditionalFormatting sqref="K47">
    <cfRule type="expression" dxfId="1188" priority="200">
      <formula>#REF!="Jenne, Richard"</formula>
    </cfRule>
    <cfRule type="expression" dxfId="1187" priority="201">
      <formula>#REF!="McQueen, Jennifer"</formula>
    </cfRule>
    <cfRule type="expression" dxfId="1186" priority="199">
      <formula>#REF!="Benzick, Sue"</formula>
    </cfRule>
  </conditionalFormatting>
  <conditionalFormatting sqref="L47">
    <cfRule type="expression" dxfId="1185" priority="197">
      <formula>#REF!="Jenne, Richard"</formula>
    </cfRule>
    <cfRule type="expression" dxfId="1184" priority="196">
      <formula>#REF!="Benzick, Sue"</formula>
    </cfRule>
    <cfRule type="expression" dxfId="1183" priority="198">
      <formula>#REF!="McQueen, Jennifer"</formula>
    </cfRule>
  </conditionalFormatting>
  <conditionalFormatting sqref="L157">
    <cfRule type="expression" dxfId="1182" priority="12">
      <formula>$T157="McQueen, Jennifer"</formula>
    </cfRule>
    <cfRule type="expression" dxfId="1181" priority="11">
      <formula>$T157="Jenne, Richard"</formula>
    </cfRule>
    <cfRule type="expression" dxfId="1180" priority="10">
      <formula>$T157="Benzick, Sue"</formula>
    </cfRule>
  </conditionalFormatting>
  <conditionalFormatting sqref="L164">
    <cfRule type="expression" dxfId="1179" priority="2">
      <formula>$T164="Jenne, Richard"</formula>
    </cfRule>
    <cfRule type="expression" dxfId="1178" priority="1">
      <formula>$T164="Benzick, Sue"</formula>
    </cfRule>
    <cfRule type="expression" dxfId="1177" priority="3">
      <formula>$T164="McQueen, Jennifer"</formula>
    </cfRule>
  </conditionalFormatting>
  <conditionalFormatting sqref="M47">
    <cfRule type="expression" dxfId="1176" priority="195">
      <formula>#REF!="McQueen, Jennifer"</formula>
    </cfRule>
    <cfRule type="expression" dxfId="1175" priority="194">
      <formula>#REF!="Jenne, Richard"</formula>
    </cfRule>
    <cfRule type="expression" dxfId="1174" priority="193">
      <formula>#REF!="Benzick, Sue"</formula>
    </cfRule>
  </conditionalFormatting>
  <conditionalFormatting sqref="M92:M96">
    <cfRule type="expression" dxfId="1173" priority="70">
      <formula>#REF!="Benzick, Sue"</formula>
    </cfRule>
    <cfRule type="expression" dxfId="1172" priority="71">
      <formula>#REF!="Jenne, Richard"</formula>
    </cfRule>
    <cfRule type="expression" dxfId="1171" priority="72">
      <formula>#REF!="McQueen, Jennifer"</formula>
    </cfRule>
  </conditionalFormatting>
  <conditionalFormatting sqref="M117">
    <cfRule type="expression" dxfId="1170" priority="68">
      <formula>#REF!="Jenne, Richard"</formula>
    </cfRule>
    <cfRule type="expression" dxfId="1169" priority="67">
      <formula>#REF!="Benzick, Sue"</formula>
    </cfRule>
    <cfRule type="expression" dxfId="1168" priority="69">
      <formula>#REF!="McQueen, Jennifer"</formula>
    </cfRule>
  </conditionalFormatting>
  <conditionalFormatting sqref="N47">
    <cfRule type="expression" dxfId="1167" priority="192">
      <formula>#REF!="McQueen, Jennifer"</formula>
    </cfRule>
    <cfRule type="expression" dxfId="1166" priority="191">
      <formula>#REF!="Jenne, Richard"</formula>
    </cfRule>
    <cfRule type="expression" dxfId="1165" priority="190">
      <formula>#REF!="Benzick, Sue"</formula>
    </cfRule>
  </conditionalFormatting>
  <conditionalFormatting sqref="N97:N98">
    <cfRule type="expression" dxfId="1164" priority="74">
      <formula>#REF!="Jenne, Richard"</formula>
    </cfRule>
    <cfRule type="expression" dxfId="1163" priority="75">
      <formula>#REF!="McQueen, Jennifer"</formula>
    </cfRule>
    <cfRule type="expression" dxfId="1162" priority="73">
      <formula>#REF!="Benzick, Sue"</formula>
    </cfRule>
  </conditionalFormatting>
  <conditionalFormatting sqref="W4:W22 W130:W141 W182">
    <cfRule type="expression" dxfId="1161" priority="142">
      <formula>$X4="Benzick, Sue"</formula>
    </cfRule>
    <cfRule type="expression" dxfId="1160" priority="143">
      <formula>$X4="Jenne, Richard"</formula>
    </cfRule>
    <cfRule type="expression" dxfId="1159" priority="144">
      <formula>$X4="McQueen, Jennifer"</formula>
    </cfRule>
  </conditionalFormatting>
  <conditionalFormatting sqref="W335:W337">
    <cfRule type="expression" dxfId="1158" priority="301">
      <formula>$Y335="Benzick, Sue"</formula>
    </cfRule>
    <cfRule type="expression" dxfId="1157" priority="303">
      <formula>$Y335="McQueen, Jennifer"</formula>
    </cfRule>
    <cfRule type="expression" dxfId="1156" priority="302">
      <formula>$Y335="Jenne, Richard"</formula>
    </cfRule>
  </conditionalFormatting>
  <conditionalFormatting sqref="Y4:Y141 J23:N23 W24:W33 W35 W37:W53 W57:W68 W77:W128 W143:W157 Y143:Y190 Y192:Y245 Y247:Y458">
    <cfRule type="expression" dxfId="1155" priority="304">
      <formula>$X4="Benzick, Sue"</formula>
    </cfRule>
    <cfRule type="expression" dxfId="1154" priority="305">
      <formula>$X4="Jenne, Richard"</formula>
    </cfRule>
    <cfRule type="expression" dxfId="1153" priority="306">
      <formula>$X4="McQueen, Jennifer"</formula>
    </cfRule>
  </conditionalFormatting>
  <dataValidations count="4">
    <dataValidation allowBlank="1" showInputMessage="1" showErrorMessage="1" sqref="S247:S458 S192:S245 S143:S190 S4:S141" xr:uid="{97157EB6-2C71-49DE-874B-E57713A9CC44}"/>
    <dataValidation type="list" allowBlank="1" showInputMessage="1" showErrorMessage="1" sqref="A60:A62 A179:A181 A183" xr:uid="{6A517CD9-A46C-4C33-B867-D2873C0695E0}">
      <formula1>Location</formula1>
    </dataValidation>
    <dataValidation type="list" allowBlank="1" showInputMessage="1" showErrorMessage="1" sqref="B460:B466 B468:B738 B4:B458" xr:uid="{E603CEEB-9109-49FC-9FA5-34416865A0A7}">
      <formula1>Class</formula1>
    </dataValidation>
    <dataValidation type="list" allowBlank="1" showInputMessage="1" showErrorMessage="1" sqref="O460:O682" xr:uid="{3522E8B9-22A7-4EED-8A66-EC091F7C6E81}">
      <formula1>Instructor</formula1>
    </dataValidation>
  </dataValidations>
  <printOptions horizontalCentered="1" verticalCentered="1"/>
  <pageMargins left="0.7" right="0.7" top="0.75" bottom="0.75" header="0.3" footer="0.3"/>
  <pageSetup paperSize="5" scale="35" fitToHeight="0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14C7FA5466C94E8517B32B1AE5CACC" ma:contentTypeVersion="8" ma:contentTypeDescription="Create a new document." ma:contentTypeScope="" ma:versionID="39c6d2be15a15865ef3cc7e8c8e173ed">
  <xsd:schema xmlns:xsd="http://www.w3.org/2001/XMLSchema" xmlns:xs="http://www.w3.org/2001/XMLSchema" xmlns:p="http://schemas.microsoft.com/office/2006/metadata/properties" xmlns:ns2="3898f6d4-6cb0-4920-8d93-0dc904493100" targetNamespace="http://schemas.microsoft.com/office/2006/metadata/properties" ma:root="true" ma:fieldsID="d134cfd970cdf84bfdb4b40d1db8f27b" ns2:_="">
    <xsd:import namespace="3898f6d4-6cb0-4920-8d93-0dc90449310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98f6d4-6cb0-4920-8d93-0dc904493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CBEE3DD-688F-43CC-82E9-CDBAA99AEC77}">
  <ds:schemaRefs>
    <ds:schemaRef ds:uri="http://schemas.microsoft.com/office/2006/documentManagement/types"/>
    <ds:schemaRef ds:uri="http://schemas.openxmlformats.org/package/2006/metadata/core-properties"/>
    <ds:schemaRef ds:uri="3898f6d4-6cb0-4920-8d93-0dc904493100"/>
    <ds:schemaRef ds:uri="http://www.w3.org/XML/1998/namespace"/>
    <ds:schemaRef ds:uri="http://purl.org/dc/terms/"/>
    <ds:schemaRef ds:uri="http://purl.org/dc/dcmitype/"/>
    <ds:schemaRef ds:uri="http://purl.org/dc/elements/1.1/"/>
    <ds:schemaRef ds:uri="http://schemas.microsoft.com/office/infopath/2007/PartnerControl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F540952E-0D74-4D7C-BAF9-1F2791F40C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898f6d4-6cb0-4920-8d93-0dc904493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D7AA037-0C6E-4E4C-AEA2-4C281CFC06CF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e3333e00-c877-4b87-b6ad-45e942de1750}" enabled="0" method="" siteId="{e3333e00-c877-4b87-b6ad-45e942de175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13</vt:i4>
      </vt:variant>
    </vt:vector>
  </HeadingPairs>
  <TitlesOfParts>
    <vt:vector size="39" baseType="lpstr">
      <vt:lpstr>TSD-%</vt:lpstr>
      <vt:lpstr>Planning-Need vs Planned</vt:lpstr>
      <vt:lpstr>TSD- FY26 Canceled Courses</vt:lpstr>
      <vt:lpstr>Detail1</vt:lpstr>
      <vt:lpstr>Detail2</vt:lpstr>
      <vt:lpstr>Detail3</vt:lpstr>
      <vt:lpstr>FLT</vt:lpstr>
      <vt:lpstr>OH</vt:lpstr>
      <vt:lpstr>SAF</vt:lpstr>
      <vt:lpstr>ENV</vt:lpstr>
      <vt:lpstr>Detail4</vt:lpstr>
      <vt:lpstr>FY26 Status</vt:lpstr>
      <vt:lpstr>Planned vs Need by Course</vt:lpstr>
      <vt:lpstr>FY 2026 Schedule</vt:lpstr>
      <vt:lpstr>Planning-Hours tabulation</vt:lpstr>
      <vt:lpstr>FY26 Needs Assessment Dashboard</vt:lpstr>
      <vt:lpstr>TSD-Data</vt:lpstr>
      <vt:lpstr>FY26 SOH Global Online All</vt:lpstr>
      <vt:lpstr>FY26  SOH Resident Courses All</vt:lpstr>
      <vt:lpstr>FY26 EEM Resident Courses All</vt:lpstr>
      <vt:lpstr>FY26 EEM Online Courses All</vt:lpstr>
      <vt:lpstr>Detail5</vt:lpstr>
      <vt:lpstr>Detail6</vt:lpstr>
      <vt:lpstr>Detail7</vt:lpstr>
      <vt:lpstr>Detail8</vt:lpstr>
      <vt:lpstr>Detail9</vt:lpstr>
      <vt:lpstr>CIN</vt:lpstr>
      <vt:lpstr>Class</vt:lpstr>
      <vt:lpstr>Courses</vt:lpstr>
      <vt:lpstr>Instructor</vt:lpstr>
      <vt:lpstr>Location</vt:lpstr>
      <vt:lpstr>ENV!Print_Area</vt:lpstr>
      <vt:lpstr>FLT!Print_Area</vt:lpstr>
      <vt:lpstr>'FY 2026 Schedule'!Print_Area</vt:lpstr>
      <vt:lpstr>'FY26 Needs Assessment Dashboard'!Print_Area</vt:lpstr>
      <vt:lpstr>'FY26 Status'!Print_Area</vt:lpstr>
      <vt:lpstr>OH!Print_Area</vt:lpstr>
      <vt:lpstr>SAF!Print_Area</vt:lpstr>
      <vt:lpstr>Roster</vt:lpstr>
    </vt:vector>
  </TitlesOfParts>
  <Manager/>
  <Company>HPES NMCI NGEN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McQueen, Jennifer A CIV NAVOSHENVTRACEN, N7TS4</dc:creator>
  <cp:keywords/>
  <dc:description/>
  <cp:lastModifiedBy>Mohler, Hallock N (Hal) CIV USN NAVSAFENVTRACEN NOR (U</cp:lastModifiedBy>
  <cp:revision/>
  <dcterms:created xsi:type="dcterms:W3CDTF">2020-09-15T15:26:38Z</dcterms:created>
  <dcterms:modified xsi:type="dcterms:W3CDTF">2025-12-16T18:59:34Z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0x0101000514C7FA5466C94E8517B32B1AE5CACC</vt:lpwstr>
  </property>
</Properties>
</file>